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khtar\Desktop\"/>
    </mc:Choice>
  </mc:AlternateContent>
  <bookViews>
    <workbookView xWindow="0" yWindow="0" windowWidth="20490" windowHeight="7755" activeTab="6"/>
  </bookViews>
  <sheets>
    <sheet name=" Dash Borad" sheetId="1" r:id="rId1"/>
    <sheet name="A- Company" sheetId="42" r:id="rId2"/>
    <sheet name="A-Outlet" sheetId="43" r:id="rId3"/>
    <sheet name="A-User" sheetId="45" r:id="rId4"/>
    <sheet name="A-User Role" sheetId="44" r:id="rId5"/>
    <sheet name="A-Product Category" sheetId="46" r:id="rId6"/>
    <sheet name="A-Cash Projection " sheetId="47" r:id="rId7"/>
    <sheet name="A-AP" sheetId="48" r:id="rId8"/>
    <sheet name="A-AR" sheetId="49" r:id="rId9"/>
    <sheet name="Sales &amp; Product Costing" sheetId="11" r:id="rId10"/>
    <sheet name="Expense " sheetId="12" r:id="rId11"/>
    <sheet name="Sales Forecast " sheetId="13" r:id="rId12"/>
    <sheet name="Cash Projection - Saad" sheetId="18" r:id="rId13"/>
    <sheet name="Jan July 2017 Income Statement" sheetId="41" r:id="rId14"/>
    <sheet name="Jan July 2017 Balance sheet" sheetId="40" r:id="rId15"/>
    <sheet name="Report and Data input Formats " sheetId="2" state="hidden" r:id="rId16"/>
    <sheet name="Recommended Accounting System" sheetId="3" state="hidden" r:id="rId17"/>
    <sheet name="BS and Income Statement" sheetId="4" state="hidden" r:id="rId18"/>
    <sheet name="Bank Reconciliation Format" sheetId="5" state="hidden" r:id="rId19"/>
    <sheet name="Accounting adjustment workplan" sheetId="19" state="hidden" r:id="rId20"/>
    <sheet name="Journal Entry Template" sheetId="20" state="hidden" r:id="rId21"/>
    <sheet name="Chart of Account" sheetId="21" state="hidden" r:id="rId22"/>
  </sheets>
  <definedNames>
    <definedName name="_xlnm._FilterDatabase" localSheetId="19" hidden="1">'Accounting adjustment workplan'!$A$6:$I$15</definedName>
    <definedName name="_xlnm._FilterDatabase" localSheetId="21" hidden="1">'Chart of Account'!$A$5:$C$51</definedName>
    <definedName name="_xlnm._FilterDatabase" localSheetId="10" hidden="1">'Expense '!$A$239:$Z$259</definedName>
    <definedName name="_xlnm._FilterDatabase" localSheetId="20" hidden="1">'Journal Entry Template'!$A$9:$N$13</definedName>
    <definedName name="_xlnm._FilterDatabase" localSheetId="9" hidden="1">'Sales &amp; Product Costing'!$A$4:$Z$816</definedName>
  </definedNames>
  <calcPr calcId="162913"/>
</workbook>
</file>

<file path=xl/calcChain.xml><?xml version="1.0" encoding="utf-8"?>
<calcChain xmlns="http://schemas.openxmlformats.org/spreadsheetml/2006/main">
  <c r="N7" i="49" l="1"/>
  <c r="N6" i="49"/>
  <c r="N5" i="49"/>
  <c r="N4" i="49"/>
  <c r="N3" i="49"/>
  <c r="AA26" i="41" l="1"/>
  <c r="AA25" i="41"/>
  <c r="T25" i="41"/>
  <c r="P25" i="41"/>
  <c r="H25" i="41"/>
  <c r="AA24" i="41"/>
  <c r="T24" i="41"/>
  <c r="P24" i="41"/>
  <c r="H24" i="41"/>
  <c r="AA23" i="41"/>
  <c r="W23" i="41"/>
  <c r="T23" i="41"/>
  <c r="P23" i="41"/>
  <c r="H23" i="41"/>
  <c r="AA22" i="41"/>
  <c r="W22" i="41"/>
  <c r="T22" i="41"/>
  <c r="P22" i="41"/>
  <c r="H22" i="41"/>
  <c r="AA21" i="41"/>
  <c r="W21" i="41"/>
  <c r="T21" i="41"/>
  <c r="P21" i="41"/>
  <c r="L21" i="41"/>
  <c r="H21" i="41"/>
  <c r="B21" i="41"/>
  <c r="AA20" i="41"/>
  <c r="W20" i="41"/>
  <c r="T20" i="41"/>
  <c r="P20" i="41"/>
  <c r="L20" i="41"/>
  <c r="H20" i="41"/>
  <c r="B20" i="41"/>
  <c r="AA19" i="41"/>
  <c r="W19" i="41"/>
  <c r="T19" i="41"/>
  <c r="P19" i="41"/>
  <c r="L19" i="41"/>
  <c r="H19" i="41"/>
  <c r="B19" i="41"/>
  <c r="AA18" i="41"/>
  <c r="W18" i="41"/>
  <c r="T18" i="41"/>
  <c r="P18" i="41"/>
  <c r="L18" i="41"/>
  <c r="H18" i="41"/>
  <c r="B18" i="41"/>
  <c r="AA17" i="41"/>
  <c r="W17" i="41"/>
  <c r="T17" i="41"/>
  <c r="P17" i="41"/>
  <c r="L17" i="41"/>
  <c r="H17" i="41"/>
  <c r="B17" i="41"/>
  <c r="AA16" i="41"/>
  <c r="W16" i="41"/>
  <c r="W24" i="41" s="1"/>
  <c r="T16" i="41"/>
  <c r="P16" i="41"/>
  <c r="L16" i="41"/>
  <c r="H16" i="41"/>
  <c r="B16" i="41"/>
  <c r="T15" i="41"/>
  <c r="P15" i="41"/>
  <c r="L15" i="41"/>
  <c r="H15" i="41"/>
  <c r="H26" i="41" s="1"/>
  <c r="B15" i="41"/>
  <c r="T14" i="41"/>
  <c r="AA12" i="41"/>
  <c r="AA13" i="41" s="1"/>
  <c r="W12" i="41"/>
  <c r="AA11" i="41"/>
  <c r="W11" i="41"/>
  <c r="W13" i="41" s="1"/>
  <c r="P11" i="41"/>
  <c r="L11" i="41"/>
  <c r="H11" i="41"/>
  <c r="B11" i="41"/>
  <c r="T10" i="41"/>
  <c r="T11" i="41" s="1"/>
  <c r="P10" i="41"/>
  <c r="L10" i="41"/>
  <c r="H10" i="41"/>
  <c r="H12" i="41" s="1"/>
  <c r="B10" i="41"/>
  <c r="B12" i="41" s="1"/>
  <c r="AA8" i="41"/>
  <c r="W8" i="41"/>
  <c r="H8" i="41"/>
  <c r="AA7" i="41"/>
  <c r="AA9" i="41" s="1"/>
  <c r="W7" i="41"/>
  <c r="T7" i="41"/>
  <c r="T8" i="41" s="1"/>
  <c r="P7" i="41"/>
  <c r="P8" i="41" s="1"/>
  <c r="L7" i="41"/>
  <c r="L8" i="41" s="1"/>
  <c r="H7" i="41"/>
  <c r="B7" i="41"/>
  <c r="B8" i="41" s="1"/>
  <c r="AI25" i="40"/>
  <c r="AE25" i="40"/>
  <c r="Y25" i="40"/>
  <c r="S25" i="40"/>
  <c r="N25" i="40"/>
  <c r="H25" i="40"/>
  <c r="AH24" i="40"/>
  <c r="AD24" i="40"/>
  <c r="X24" i="40"/>
  <c r="R24" i="40"/>
  <c r="M24" i="40"/>
  <c r="G24" i="40"/>
  <c r="C24" i="40"/>
  <c r="AH23" i="40"/>
  <c r="AH25" i="40" s="1"/>
  <c r="AD23" i="40"/>
  <c r="X23" i="40"/>
  <c r="R23" i="40"/>
  <c r="R25" i="40" s="1"/>
  <c r="M23" i="40"/>
  <c r="M25" i="40" s="1"/>
  <c r="G23" i="40"/>
  <c r="B23" i="40"/>
  <c r="B22" i="40"/>
  <c r="B24" i="40" s="1"/>
  <c r="AI20" i="40"/>
  <c r="AI21" i="40" s="1"/>
  <c r="AE20" i="40"/>
  <c r="AE21" i="40" s="1"/>
  <c r="AE26" i="40" s="1"/>
  <c r="Y20" i="40"/>
  <c r="Y21" i="40" s="1"/>
  <c r="Y26" i="40" s="1"/>
  <c r="S20" i="40"/>
  <c r="S21" i="40" s="1"/>
  <c r="S26" i="40" s="1"/>
  <c r="N20" i="40"/>
  <c r="N21" i="40" s="1"/>
  <c r="H20" i="40"/>
  <c r="H21" i="40" s="1"/>
  <c r="H26" i="40" s="1"/>
  <c r="AH19" i="40"/>
  <c r="AD19" i="40"/>
  <c r="X19" i="40"/>
  <c r="R19" i="40"/>
  <c r="M19" i="40"/>
  <c r="G19" i="40"/>
  <c r="C19" i="40"/>
  <c r="C20" i="40" s="1"/>
  <c r="AH18" i="40"/>
  <c r="AD18" i="40"/>
  <c r="X18" i="40"/>
  <c r="X20" i="40" s="1"/>
  <c r="X21" i="40" s="1"/>
  <c r="R18" i="40"/>
  <c r="M18" i="40"/>
  <c r="G18" i="40"/>
  <c r="B18" i="40"/>
  <c r="B19" i="40" s="1"/>
  <c r="B20" i="40" s="1"/>
  <c r="B25" i="40" s="1"/>
  <c r="AH13" i="40"/>
  <c r="AD13" i="40"/>
  <c r="X13" i="40"/>
  <c r="R13" i="40"/>
  <c r="M13" i="40"/>
  <c r="G13" i="40"/>
  <c r="AH12" i="40"/>
  <c r="AD12" i="40"/>
  <c r="X12" i="40"/>
  <c r="R12" i="40"/>
  <c r="M12" i="40"/>
  <c r="G12" i="40"/>
  <c r="B12" i="40"/>
  <c r="AI11" i="40"/>
  <c r="AI14" i="40" s="1"/>
  <c r="AI15" i="40" s="1"/>
  <c r="AE11" i="40"/>
  <c r="AE14" i="40" s="1"/>
  <c r="AE15" i="40" s="1"/>
  <c r="Y11" i="40"/>
  <c r="Y14" i="40" s="1"/>
  <c r="Y15" i="40" s="1"/>
  <c r="S11" i="40"/>
  <c r="S14" i="40" s="1"/>
  <c r="S15" i="40" s="1"/>
  <c r="R11" i="40"/>
  <c r="N11" i="40"/>
  <c r="N14" i="40" s="1"/>
  <c r="N15" i="40" s="1"/>
  <c r="H11" i="40"/>
  <c r="H14" i="40" s="1"/>
  <c r="H15" i="40" s="1"/>
  <c r="C11" i="40"/>
  <c r="C13" i="40" s="1"/>
  <c r="C14" i="40" s="1"/>
  <c r="AH10" i="40"/>
  <c r="AH11" i="40" s="1"/>
  <c r="AD10" i="40"/>
  <c r="AD11" i="40" s="1"/>
  <c r="X10" i="40"/>
  <c r="X11" i="40" s="1"/>
  <c r="X14" i="40" s="1"/>
  <c r="X15" i="40" s="1"/>
  <c r="R10" i="40"/>
  <c r="M10" i="40"/>
  <c r="M11" i="40" s="1"/>
  <c r="G10" i="40"/>
  <c r="G11" i="40" s="1"/>
  <c r="B10" i="40"/>
  <c r="B11" i="40" s="1"/>
  <c r="B13" i="40" s="1"/>
  <c r="B14" i="40" s="1"/>
  <c r="H27" i="41" l="1"/>
  <c r="G14" i="40"/>
  <c r="G15" i="40" s="1"/>
  <c r="AD20" i="40"/>
  <c r="AD21" i="40" s="1"/>
  <c r="AD26" i="40" s="1"/>
  <c r="X25" i="40"/>
  <c r="X26" i="40" s="1"/>
  <c r="L22" i="41"/>
  <c r="AH14" i="40"/>
  <c r="AH15" i="40" s="1"/>
  <c r="M20" i="40"/>
  <c r="M21" i="40" s="1"/>
  <c r="AH20" i="40"/>
  <c r="AH21" i="40" s="1"/>
  <c r="G25" i="40"/>
  <c r="AD25" i="40"/>
  <c r="W9" i="41"/>
  <c r="W14" i="41" s="1"/>
  <c r="L12" i="41"/>
  <c r="T26" i="41"/>
  <c r="P26" i="41"/>
  <c r="AA27" i="41"/>
  <c r="AA28" i="41" s="1"/>
  <c r="AD14" i="40"/>
  <c r="AD15" i="40" s="1"/>
  <c r="G20" i="40"/>
  <c r="G21" i="40" s="1"/>
  <c r="G26" i="40" s="1"/>
  <c r="M14" i="40"/>
  <c r="M15" i="40" s="1"/>
  <c r="R14" i="40"/>
  <c r="R15" i="40" s="1"/>
  <c r="R20" i="40"/>
  <c r="R21" i="40" s="1"/>
  <c r="R26" i="40" s="1"/>
  <c r="C25" i="40"/>
  <c r="N26" i="40"/>
  <c r="AI26" i="40"/>
  <c r="P12" i="41"/>
  <c r="P13" i="41" s="1"/>
  <c r="B22" i="41"/>
  <c r="B13" i="41"/>
  <c r="B23" i="41"/>
  <c r="T27" i="41"/>
  <c r="T12" i="41"/>
  <c r="M26" i="40"/>
  <c r="AH26" i="40"/>
  <c r="L13" i="41"/>
  <c r="L23" i="41"/>
  <c r="AA14" i="41"/>
  <c r="H13" i="41"/>
  <c r="P27" i="41"/>
  <c r="W25" i="41" l="1"/>
  <c r="W817" i="11"/>
  <c r="V817" i="11"/>
  <c r="U817" i="11"/>
  <c r="T817" i="11"/>
  <c r="R817" i="11"/>
  <c r="Q817" i="11"/>
  <c r="P817" i="11"/>
  <c r="W718" i="11"/>
  <c r="V718" i="11"/>
  <c r="U718" i="11"/>
  <c r="T718" i="11"/>
  <c r="R718" i="11"/>
  <c r="Q718" i="11"/>
  <c r="P718" i="11"/>
  <c r="W606" i="11"/>
  <c r="V606" i="11"/>
  <c r="U606" i="11"/>
  <c r="T606" i="11"/>
  <c r="R606" i="11"/>
  <c r="Q606" i="11"/>
  <c r="P606" i="11"/>
  <c r="W474" i="11"/>
  <c r="V474" i="11"/>
  <c r="U474" i="11"/>
  <c r="T474" i="11"/>
  <c r="R474" i="11"/>
  <c r="Q474" i="11"/>
  <c r="P474" i="11"/>
  <c r="W345" i="11"/>
  <c r="V345" i="11"/>
  <c r="U345" i="11"/>
  <c r="T345" i="11"/>
  <c r="R345" i="11"/>
  <c r="Q345" i="11"/>
  <c r="P345" i="11"/>
  <c r="W274" i="11"/>
  <c r="V274" i="11"/>
  <c r="U274" i="11"/>
  <c r="T274" i="11"/>
  <c r="R274" i="11"/>
  <c r="Q274" i="11"/>
  <c r="P274" i="11"/>
  <c r="W142" i="11"/>
  <c r="V142" i="11"/>
  <c r="U142" i="11"/>
  <c r="T142" i="11"/>
  <c r="R142" i="11"/>
  <c r="Q142" i="11"/>
  <c r="P142" i="11"/>
  <c r="Y142" i="11" l="1"/>
  <c r="Z142" i="11" s="1"/>
  <c r="F154" i="18"/>
  <c r="H138" i="18" s="1"/>
  <c r="H154" i="18" s="1"/>
  <c r="I138" i="18" s="1"/>
  <c r="I154" i="18" s="1"/>
  <c r="J138" i="18" s="1"/>
  <c r="J154" i="18" s="1"/>
  <c r="K138" i="18" s="1"/>
  <c r="K154" i="18" s="1"/>
  <c r="L138" i="18" s="1"/>
  <c r="L154" i="18" s="1"/>
  <c r="N138" i="18" s="1"/>
  <c r="N154" i="18" s="1"/>
  <c r="O138" i="18" s="1"/>
  <c r="O154" i="18" s="1"/>
  <c r="P138" i="18" s="1"/>
  <c r="P154" i="18" s="1"/>
  <c r="Q138" i="18" s="1"/>
  <c r="Q154" i="18" s="1"/>
  <c r="R138" i="18" s="1"/>
  <c r="R154" i="18" s="1"/>
  <c r="T138" i="18" s="1"/>
  <c r="T154" i="18" s="1"/>
  <c r="U138" i="18" s="1"/>
  <c r="U154" i="18" s="1"/>
  <c r="V138" i="18" s="1"/>
  <c r="V154" i="18" s="1"/>
  <c r="W138" i="18" s="1"/>
  <c r="W154" i="18" s="1"/>
  <c r="X138" i="18" s="1"/>
  <c r="X154" i="18" s="1"/>
  <c r="Z138" i="18" s="1"/>
  <c r="Z154" i="18" s="1"/>
  <c r="AA138" i="18" s="1"/>
  <c r="AA154" i="18" s="1"/>
  <c r="AB138" i="18" s="1"/>
  <c r="AB154" i="18" s="1"/>
  <c r="AC138" i="18" s="1"/>
  <c r="AC154" i="18" s="1"/>
  <c r="AD138" i="18" s="1"/>
  <c r="AD154" i="18" s="1"/>
  <c r="AF138" i="18" s="1"/>
  <c r="AF154" i="18" s="1"/>
  <c r="AG138" i="18" s="1"/>
  <c r="AG154" i="18" s="1"/>
  <c r="E154" i="18"/>
  <c r="D154" i="18"/>
  <c r="C154" i="18"/>
  <c r="B154" i="18"/>
  <c r="AJ137" i="18"/>
  <c r="AK137" i="18" s="1"/>
  <c r="AL137" i="18" s="1"/>
  <c r="AM137" i="18" s="1"/>
  <c r="AN137" i="18" s="1"/>
  <c r="AO137" i="18" s="1"/>
  <c r="AP137" i="18" s="1"/>
  <c r="AQ137" i="18" s="1"/>
  <c r="AR137" i="18" s="1"/>
  <c r="AS137" i="18" s="1"/>
  <c r="AT137" i="18" s="1"/>
  <c r="AU137" i="18" s="1"/>
  <c r="AV137" i="18" s="1"/>
  <c r="AW137" i="18" s="1"/>
  <c r="AX137" i="18" s="1"/>
  <c r="AY137" i="18" s="1"/>
  <c r="AZ137" i="18" s="1"/>
  <c r="BA137" i="18" s="1"/>
  <c r="BB137" i="18" s="1"/>
  <c r="BC137" i="18" s="1"/>
  <c r="BD137" i="18" s="1"/>
  <c r="BE137" i="18" s="1"/>
  <c r="BF137" i="18" s="1"/>
  <c r="BG137" i="18" s="1"/>
  <c r="BH137" i="18" s="1"/>
  <c r="BI137" i="18" s="1"/>
  <c r="BJ137" i="18" s="1"/>
  <c r="BK137" i="18" s="1"/>
  <c r="BL137" i="18" s="1"/>
  <c r="BM137" i="18" s="1"/>
  <c r="AA137" i="18"/>
  <c r="U137" i="18"/>
  <c r="O137" i="18"/>
  <c r="P137" i="18" s="1"/>
  <c r="L137" i="18"/>
  <c r="L136" i="18" s="1"/>
  <c r="I137" i="18"/>
  <c r="J137" i="18" s="1"/>
  <c r="K137" i="18" s="1"/>
  <c r="K136" i="18" s="1"/>
  <c r="C137" i="18"/>
  <c r="Z136" i="18"/>
  <c r="T136" i="18"/>
  <c r="N136" i="18"/>
  <c r="J136" i="18"/>
  <c r="I136" i="18"/>
  <c r="H136" i="18"/>
  <c r="B136" i="18"/>
  <c r="F129" i="18"/>
  <c r="E129" i="18"/>
  <c r="D129" i="18"/>
  <c r="C129" i="18"/>
  <c r="B129" i="18"/>
  <c r="H112" i="18"/>
  <c r="H129" i="18" s="1"/>
  <c r="I112" i="18" s="1"/>
  <c r="I129" i="18" s="1"/>
  <c r="J112" i="18" s="1"/>
  <c r="J129" i="18" s="1"/>
  <c r="K112" i="18" s="1"/>
  <c r="K129" i="18" s="1"/>
  <c r="L112" i="18" s="1"/>
  <c r="L129" i="18" s="1"/>
  <c r="N112" i="18" s="1"/>
  <c r="N129" i="18" s="1"/>
  <c r="O112" i="18" s="1"/>
  <c r="O129" i="18" s="1"/>
  <c r="P112" i="18" s="1"/>
  <c r="P129" i="18" s="1"/>
  <c r="Q112" i="18" s="1"/>
  <c r="Q129" i="18" s="1"/>
  <c r="R112" i="18" s="1"/>
  <c r="R129" i="18" s="1"/>
  <c r="T112" i="18" s="1"/>
  <c r="T129" i="18" s="1"/>
  <c r="U112" i="18" s="1"/>
  <c r="U129" i="18" s="1"/>
  <c r="V112" i="18" s="1"/>
  <c r="V129" i="18" s="1"/>
  <c r="W112" i="18" s="1"/>
  <c r="W129" i="18" s="1"/>
  <c r="X112" i="18" s="1"/>
  <c r="X129" i="18" s="1"/>
  <c r="Z112" i="18" s="1"/>
  <c r="Z129" i="18" s="1"/>
  <c r="AA112" i="18" s="1"/>
  <c r="AA129" i="18" s="1"/>
  <c r="AB112" i="18" s="1"/>
  <c r="AB129" i="18" s="1"/>
  <c r="AC112" i="18" s="1"/>
  <c r="AC129" i="18" s="1"/>
  <c r="AD112" i="18" s="1"/>
  <c r="AD129" i="18" s="1"/>
  <c r="AF112" i="18" s="1"/>
  <c r="AF129" i="18" s="1"/>
  <c r="AG112" i="18" s="1"/>
  <c r="AG129" i="18" s="1"/>
  <c r="AJ111" i="18"/>
  <c r="AK111" i="18" s="1"/>
  <c r="AL111" i="18" s="1"/>
  <c r="AM111" i="18" s="1"/>
  <c r="AN111" i="18" s="1"/>
  <c r="AO111" i="18" s="1"/>
  <c r="AP111" i="18" s="1"/>
  <c r="AQ111" i="18" s="1"/>
  <c r="AR111" i="18" s="1"/>
  <c r="AS111" i="18" s="1"/>
  <c r="AT111" i="18" s="1"/>
  <c r="AU111" i="18" s="1"/>
  <c r="AV111" i="18" s="1"/>
  <c r="AW111" i="18" s="1"/>
  <c r="AX111" i="18" s="1"/>
  <c r="AY111" i="18" s="1"/>
  <c r="AZ111" i="18" s="1"/>
  <c r="BA111" i="18" s="1"/>
  <c r="BB111" i="18" s="1"/>
  <c r="BC111" i="18" s="1"/>
  <c r="BD111" i="18" s="1"/>
  <c r="BE111" i="18" s="1"/>
  <c r="BF111" i="18" s="1"/>
  <c r="BG111" i="18" s="1"/>
  <c r="BH111" i="18" s="1"/>
  <c r="BI111" i="18" s="1"/>
  <c r="BJ111" i="18" s="1"/>
  <c r="BK111" i="18" s="1"/>
  <c r="BL111" i="18" s="1"/>
  <c r="AA111" i="18"/>
  <c r="AB111" i="18" s="1"/>
  <c r="AC111" i="18" s="1"/>
  <c r="U111" i="18"/>
  <c r="O111" i="18"/>
  <c r="P111" i="18" s="1"/>
  <c r="P110" i="18" s="1"/>
  <c r="I111" i="18"/>
  <c r="J111" i="18" s="1"/>
  <c r="K111" i="18" s="1"/>
  <c r="C111" i="18"/>
  <c r="D111" i="18" s="1"/>
  <c r="E111" i="18" s="1"/>
  <c r="Z110" i="18"/>
  <c r="T110" i="18"/>
  <c r="O110" i="18"/>
  <c r="N110" i="18"/>
  <c r="I110" i="18"/>
  <c r="H110" i="18"/>
  <c r="B110" i="18"/>
  <c r="F103" i="18"/>
  <c r="H86" i="18" s="1"/>
  <c r="H103" i="18" s="1"/>
  <c r="I86" i="18" s="1"/>
  <c r="I103" i="18" s="1"/>
  <c r="J86" i="18" s="1"/>
  <c r="J103" i="18" s="1"/>
  <c r="K86" i="18" s="1"/>
  <c r="K103" i="18" s="1"/>
  <c r="L86" i="18" s="1"/>
  <c r="L103" i="18" s="1"/>
  <c r="N86" i="18" s="1"/>
  <c r="N103" i="18" s="1"/>
  <c r="O86" i="18" s="1"/>
  <c r="O103" i="18" s="1"/>
  <c r="P86" i="18" s="1"/>
  <c r="P103" i="18" s="1"/>
  <c r="Q86" i="18" s="1"/>
  <c r="Q103" i="18" s="1"/>
  <c r="R86" i="18" s="1"/>
  <c r="R103" i="18" s="1"/>
  <c r="T86" i="18" s="1"/>
  <c r="T103" i="18" s="1"/>
  <c r="U86" i="18" s="1"/>
  <c r="U103" i="18" s="1"/>
  <c r="V86" i="18" s="1"/>
  <c r="V103" i="18" s="1"/>
  <c r="W86" i="18" s="1"/>
  <c r="W103" i="18" s="1"/>
  <c r="X86" i="18" s="1"/>
  <c r="X103" i="18" s="1"/>
  <c r="Z86" i="18" s="1"/>
  <c r="Z103" i="18" s="1"/>
  <c r="AA86" i="18" s="1"/>
  <c r="AA103" i="18" s="1"/>
  <c r="AB86" i="18" s="1"/>
  <c r="AB103" i="18" s="1"/>
  <c r="AC86" i="18" s="1"/>
  <c r="AC103" i="18" s="1"/>
  <c r="AD86" i="18" s="1"/>
  <c r="AD103" i="18" s="1"/>
  <c r="AF86" i="18" s="1"/>
  <c r="AF103" i="18" s="1"/>
  <c r="AG86" i="18" s="1"/>
  <c r="AG103" i="18" s="1"/>
  <c r="E103" i="18"/>
  <c r="D103" i="18"/>
  <c r="C103" i="18"/>
  <c r="B103" i="18"/>
  <c r="AH86" i="18"/>
  <c r="AH103" i="18" s="1"/>
  <c r="AI86" i="18" s="1"/>
  <c r="AI103" i="18" s="1"/>
  <c r="AJ86" i="18" s="1"/>
  <c r="AJ85" i="18"/>
  <c r="AK85" i="18" s="1"/>
  <c r="AL85" i="18" s="1"/>
  <c r="AM85" i="18" s="1"/>
  <c r="AN85" i="18" s="1"/>
  <c r="AO85" i="18" s="1"/>
  <c r="AP85" i="18" s="1"/>
  <c r="AQ85" i="18" s="1"/>
  <c r="AR85" i="18" s="1"/>
  <c r="AS85" i="18" s="1"/>
  <c r="AT85" i="18" s="1"/>
  <c r="AU85" i="18" s="1"/>
  <c r="AV85" i="18" s="1"/>
  <c r="AW85" i="18" s="1"/>
  <c r="AX85" i="18" s="1"/>
  <c r="AY85" i="18" s="1"/>
  <c r="AZ85" i="18" s="1"/>
  <c r="BA85" i="18" s="1"/>
  <c r="BB85" i="18" s="1"/>
  <c r="BC85" i="18" s="1"/>
  <c r="BD85" i="18" s="1"/>
  <c r="BE85" i="18" s="1"/>
  <c r="BF85" i="18" s="1"/>
  <c r="BG85" i="18" s="1"/>
  <c r="BH85" i="18" s="1"/>
  <c r="BI85" i="18" s="1"/>
  <c r="BJ85" i="18" s="1"/>
  <c r="BK85" i="18" s="1"/>
  <c r="BL85" i="18" s="1"/>
  <c r="BM85" i="18" s="1"/>
  <c r="AA85" i="18"/>
  <c r="AA84" i="18" s="1"/>
  <c r="V85" i="18"/>
  <c r="W85" i="18" s="1"/>
  <c r="U85" i="18"/>
  <c r="O85" i="18"/>
  <c r="P85" i="18" s="1"/>
  <c r="J85" i="18"/>
  <c r="I85" i="18"/>
  <c r="I84" i="18" s="1"/>
  <c r="C85" i="18"/>
  <c r="D85" i="18" s="1"/>
  <c r="D84" i="18" s="1"/>
  <c r="Z84" i="18"/>
  <c r="U84" i="18"/>
  <c r="T84" i="18"/>
  <c r="O84" i="18"/>
  <c r="N84" i="18"/>
  <c r="H84" i="18"/>
  <c r="B84" i="18"/>
  <c r="F75" i="18"/>
  <c r="E75" i="18"/>
  <c r="D75" i="18"/>
  <c r="C75" i="18"/>
  <c r="B75" i="18"/>
  <c r="BC66" i="18"/>
  <c r="BA94" i="18" s="1"/>
  <c r="AX120" i="18" s="1"/>
  <c r="AV146" i="18" s="1"/>
  <c r="BI60" i="18"/>
  <c r="BG88" i="18" s="1"/>
  <c r="BD114" i="18" s="1"/>
  <c r="BB140" i="18" s="1"/>
  <c r="H58" i="18"/>
  <c r="H75" i="18" s="1"/>
  <c r="I58" i="18" s="1"/>
  <c r="I75" i="18" s="1"/>
  <c r="J58" i="18" s="1"/>
  <c r="J75" i="18" s="1"/>
  <c r="K58" i="18" s="1"/>
  <c r="K75" i="18" s="1"/>
  <c r="L58" i="18" s="1"/>
  <c r="L75" i="18" s="1"/>
  <c r="N58" i="18" s="1"/>
  <c r="N75" i="18" s="1"/>
  <c r="O58" i="18" s="1"/>
  <c r="O75" i="18" s="1"/>
  <c r="P58" i="18" s="1"/>
  <c r="P75" i="18" s="1"/>
  <c r="Q58" i="18" s="1"/>
  <c r="Q75" i="18" s="1"/>
  <c r="R58" i="18" s="1"/>
  <c r="R75" i="18" s="1"/>
  <c r="T58" i="18" s="1"/>
  <c r="T75" i="18" s="1"/>
  <c r="U58" i="18" s="1"/>
  <c r="U75" i="18" s="1"/>
  <c r="V58" i="18" s="1"/>
  <c r="V75" i="18" s="1"/>
  <c r="W58" i="18" s="1"/>
  <c r="W75" i="18" s="1"/>
  <c r="X58" i="18" s="1"/>
  <c r="X75" i="18" s="1"/>
  <c r="Z58" i="18" s="1"/>
  <c r="Z75" i="18" s="1"/>
  <c r="AA58" i="18" s="1"/>
  <c r="AA75" i="18" s="1"/>
  <c r="AB58" i="18" s="1"/>
  <c r="AB75" i="18" s="1"/>
  <c r="AC58" i="18" s="1"/>
  <c r="AC75" i="18" s="1"/>
  <c r="AD58" i="18" s="1"/>
  <c r="AD75" i="18" s="1"/>
  <c r="AF58" i="18" s="1"/>
  <c r="AF75" i="18" s="1"/>
  <c r="AG58" i="18" s="1"/>
  <c r="AG75" i="18" s="1"/>
  <c r="AJ57" i="18"/>
  <c r="AK57" i="18" s="1"/>
  <c r="AL57" i="18" s="1"/>
  <c r="AM57" i="18" s="1"/>
  <c r="AN57" i="18" s="1"/>
  <c r="AO57" i="18" s="1"/>
  <c r="AP57" i="18" s="1"/>
  <c r="AQ57" i="18" s="1"/>
  <c r="AR57" i="18" s="1"/>
  <c r="AS57" i="18" s="1"/>
  <c r="AT57" i="18" s="1"/>
  <c r="AU57" i="18" s="1"/>
  <c r="AV57" i="18" s="1"/>
  <c r="AW57" i="18" s="1"/>
  <c r="AX57" i="18" s="1"/>
  <c r="AY57" i="18" s="1"/>
  <c r="AZ57" i="18" s="1"/>
  <c r="BA57" i="18" s="1"/>
  <c r="BB57" i="18" s="1"/>
  <c r="BC57" i="18" s="1"/>
  <c r="BD57" i="18" s="1"/>
  <c r="BE57" i="18" s="1"/>
  <c r="BF57" i="18" s="1"/>
  <c r="BG57" i="18" s="1"/>
  <c r="BH57" i="18" s="1"/>
  <c r="BI57" i="18" s="1"/>
  <c r="BJ57" i="18" s="1"/>
  <c r="BK57" i="18" s="1"/>
  <c r="BL57" i="18" s="1"/>
  <c r="AA57" i="18"/>
  <c r="AA56" i="18" s="1"/>
  <c r="W57" i="18"/>
  <c r="X57" i="18" s="1"/>
  <c r="X56" i="18" s="1"/>
  <c r="V57" i="18"/>
  <c r="U57" i="18"/>
  <c r="P57" i="18"/>
  <c r="Q57" i="18" s="1"/>
  <c r="O57" i="18"/>
  <c r="I57" i="18"/>
  <c r="J57" i="18" s="1"/>
  <c r="C57" i="18"/>
  <c r="D57" i="18" s="1"/>
  <c r="Z56" i="18"/>
  <c r="V56" i="18"/>
  <c r="U56" i="18"/>
  <c r="T56" i="18"/>
  <c r="P56" i="18"/>
  <c r="O56" i="18"/>
  <c r="N56" i="18"/>
  <c r="I56" i="18"/>
  <c r="H56" i="18"/>
  <c r="C56" i="18"/>
  <c r="B56" i="18"/>
  <c r="F48" i="18"/>
  <c r="H31" i="18" s="1"/>
  <c r="H48" i="18" s="1"/>
  <c r="I31" i="18" s="1"/>
  <c r="I48" i="18" s="1"/>
  <c r="J31" i="18" s="1"/>
  <c r="J48" i="18" s="1"/>
  <c r="K31" i="18" s="1"/>
  <c r="K48" i="18" s="1"/>
  <c r="L31" i="18" s="1"/>
  <c r="L48" i="18" s="1"/>
  <c r="N31" i="18" s="1"/>
  <c r="N48" i="18" s="1"/>
  <c r="O31" i="18" s="1"/>
  <c r="O48" i="18" s="1"/>
  <c r="P31" i="18" s="1"/>
  <c r="P48" i="18" s="1"/>
  <c r="Q31" i="18" s="1"/>
  <c r="Q48" i="18" s="1"/>
  <c r="R31" i="18" s="1"/>
  <c r="R48" i="18" s="1"/>
  <c r="T31" i="18" s="1"/>
  <c r="T48" i="18" s="1"/>
  <c r="U31" i="18" s="1"/>
  <c r="U48" i="18" s="1"/>
  <c r="V31" i="18" s="1"/>
  <c r="V48" i="18" s="1"/>
  <c r="W31" i="18" s="1"/>
  <c r="W48" i="18" s="1"/>
  <c r="X31" i="18" s="1"/>
  <c r="X48" i="18" s="1"/>
  <c r="Z31" i="18" s="1"/>
  <c r="Z48" i="18" s="1"/>
  <c r="AA31" i="18" s="1"/>
  <c r="AA48" i="18" s="1"/>
  <c r="AB31" i="18" s="1"/>
  <c r="AB48" i="18" s="1"/>
  <c r="AC31" i="18" s="1"/>
  <c r="AC48" i="18" s="1"/>
  <c r="AD31" i="18" s="1"/>
  <c r="AD48" i="18" s="1"/>
  <c r="AF31" i="18" s="1"/>
  <c r="AF48" i="18" s="1"/>
  <c r="AG31" i="18" s="1"/>
  <c r="AG48" i="18" s="1"/>
  <c r="E48" i="18"/>
  <c r="D48" i="18"/>
  <c r="C48" i="18"/>
  <c r="B48" i="18"/>
  <c r="BK47" i="18"/>
  <c r="BH74" i="18" s="1"/>
  <c r="BF102" i="18" s="1"/>
  <c r="BJ47" i="18"/>
  <c r="BG74" i="18" s="1"/>
  <c r="BE102" i="18" s="1"/>
  <c r="BG47" i="18"/>
  <c r="BD74" i="18" s="1"/>
  <c r="BB102" i="18" s="1"/>
  <c r="BF47" i="18"/>
  <c r="BC74" i="18" s="1"/>
  <c r="BA102" i="18" s="1"/>
  <c r="BE47" i="18"/>
  <c r="BB74" i="18" s="1"/>
  <c r="AZ102" i="18" s="1"/>
  <c r="BD47" i="18"/>
  <c r="BA74" i="18" s="1"/>
  <c r="AY102" i="18" s="1"/>
  <c r="BC47" i="18"/>
  <c r="AZ74" i="18" s="1"/>
  <c r="AX102" i="18" s="1"/>
  <c r="AZ47" i="18"/>
  <c r="AW74" i="18" s="1"/>
  <c r="AU102" i="18" s="1"/>
  <c r="AY47" i="18"/>
  <c r="AV74" i="18" s="1"/>
  <c r="AT102" i="18" s="1"/>
  <c r="AX47" i="18"/>
  <c r="AU74" i="18" s="1"/>
  <c r="AS102" i="18" s="1"/>
  <c r="AW47" i="18"/>
  <c r="AT74" i="18" s="1"/>
  <c r="AR102" i="18" s="1"/>
  <c r="AV47" i="18"/>
  <c r="AS74" i="18" s="1"/>
  <c r="AQ102" i="18" s="1"/>
  <c r="AS47" i="18"/>
  <c r="AP74" i="18" s="1"/>
  <c r="AN102" i="18" s="1"/>
  <c r="AR47" i="18"/>
  <c r="AO74" i="18" s="1"/>
  <c r="AM102" i="18" s="1"/>
  <c r="AQ47" i="18"/>
  <c r="AN74" i="18" s="1"/>
  <c r="AL102" i="18" s="1"/>
  <c r="AP47" i="18"/>
  <c r="AM74" i="18" s="1"/>
  <c r="AK102" i="18" s="1"/>
  <c r="AO47" i="18"/>
  <c r="AL74" i="18" s="1"/>
  <c r="AJ102" i="18" s="1"/>
  <c r="AL47" i="18"/>
  <c r="AI74" i="18" s="1"/>
  <c r="BI102" i="18" s="1"/>
  <c r="AK47" i="18"/>
  <c r="BJ74" i="18" s="1"/>
  <c r="BH102" i="18" s="1"/>
  <c r="AJ47" i="18"/>
  <c r="BI74" i="18" s="1"/>
  <c r="BG102" i="18" s="1"/>
  <c r="BK46" i="18"/>
  <c r="BH73" i="18" s="1"/>
  <c r="BF101" i="18" s="1"/>
  <c r="BC128" i="18" s="1"/>
  <c r="BA153" i="18" s="1"/>
  <c r="BJ46" i="18"/>
  <c r="BG73" i="18" s="1"/>
  <c r="BE101" i="18" s="1"/>
  <c r="BB128" i="18" s="1"/>
  <c r="AZ153" i="18" s="1"/>
  <c r="BG46" i="18"/>
  <c r="BD73" i="18" s="1"/>
  <c r="BB101" i="18" s="1"/>
  <c r="AY128" i="18" s="1"/>
  <c r="AW153" i="18" s="1"/>
  <c r="BF46" i="18"/>
  <c r="BC73" i="18" s="1"/>
  <c r="BA101" i="18" s="1"/>
  <c r="AX128" i="18" s="1"/>
  <c r="AV153" i="18" s="1"/>
  <c r="BE46" i="18"/>
  <c r="BB73" i="18" s="1"/>
  <c r="AZ101" i="18" s="1"/>
  <c r="AW128" i="18" s="1"/>
  <c r="AU153" i="18" s="1"/>
  <c r="BD46" i="18"/>
  <c r="BA73" i="18" s="1"/>
  <c r="AY101" i="18" s="1"/>
  <c r="AV128" i="18" s="1"/>
  <c r="AT153" i="18" s="1"/>
  <c r="BC46" i="18"/>
  <c r="AZ73" i="18" s="1"/>
  <c r="AX101" i="18" s="1"/>
  <c r="AU128" i="18" s="1"/>
  <c r="AS153" i="18" s="1"/>
  <c r="AZ46" i="18"/>
  <c r="AW73" i="18" s="1"/>
  <c r="AU101" i="18" s="1"/>
  <c r="AR128" i="18" s="1"/>
  <c r="AP153" i="18" s="1"/>
  <c r="AY46" i="18"/>
  <c r="AV73" i="18" s="1"/>
  <c r="AT101" i="18" s="1"/>
  <c r="AQ128" i="18" s="1"/>
  <c r="AO153" i="18" s="1"/>
  <c r="AX46" i="18"/>
  <c r="AU73" i="18" s="1"/>
  <c r="AS101" i="18" s="1"/>
  <c r="AP128" i="18" s="1"/>
  <c r="AN153" i="18" s="1"/>
  <c r="AW46" i="18"/>
  <c r="AT73" i="18" s="1"/>
  <c r="AR101" i="18" s="1"/>
  <c r="AO128" i="18" s="1"/>
  <c r="AM153" i="18" s="1"/>
  <c r="AV46" i="18"/>
  <c r="AS73" i="18" s="1"/>
  <c r="AQ101" i="18" s="1"/>
  <c r="AN128" i="18" s="1"/>
  <c r="AL153" i="18" s="1"/>
  <c r="AS46" i="18"/>
  <c r="AP73" i="18" s="1"/>
  <c r="AN101" i="18" s="1"/>
  <c r="AK128" i="18" s="1"/>
  <c r="AI153" i="18" s="1"/>
  <c r="AR46" i="18"/>
  <c r="AO73" i="18" s="1"/>
  <c r="AM101" i="18" s="1"/>
  <c r="AJ128" i="18" s="1"/>
  <c r="BJ153" i="18" s="1"/>
  <c r="AQ46" i="18"/>
  <c r="AN73" i="18" s="1"/>
  <c r="AL101" i="18" s="1"/>
  <c r="AI128" i="18" s="1"/>
  <c r="BI153" i="18" s="1"/>
  <c r="AP46" i="18"/>
  <c r="AM73" i="18" s="1"/>
  <c r="AK101" i="18" s="1"/>
  <c r="BJ128" i="18" s="1"/>
  <c r="BH153" i="18" s="1"/>
  <c r="AO46" i="18"/>
  <c r="AL73" i="18" s="1"/>
  <c r="AJ101" i="18" s="1"/>
  <c r="BI128" i="18" s="1"/>
  <c r="BG153" i="18" s="1"/>
  <c r="AL46" i="18"/>
  <c r="AI73" i="18" s="1"/>
  <c r="BI101" i="18" s="1"/>
  <c r="BF128" i="18" s="1"/>
  <c r="BD153" i="18" s="1"/>
  <c r="AK46" i="18"/>
  <c r="BJ73" i="18" s="1"/>
  <c r="BH101" i="18" s="1"/>
  <c r="BE128" i="18" s="1"/>
  <c r="BC153" i="18" s="1"/>
  <c r="AJ46" i="18"/>
  <c r="BI73" i="18" s="1"/>
  <c r="BG101" i="18" s="1"/>
  <c r="BD128" i="18" s="1"/>
  <c r="BB153" i="18" s="1"/>
  <c r="BK45" i="18"/>
  <c r="BH72" i="18" s="1"/>
  <c r="BF100" i="18" s="1"/>
  <c r="BC127" i="18" s="1"/>
  <c r="BA152" i="18" s="1"/>
  <c r="BJ45" i="18"/>
  <c r="BG72" i="18" s="1"/>
  <c r="BE100" i="18" s="1"/>
  <c r="BB127" i="18" s="1"/>
  <c r="AZ152" i="18" s="1"/>
  <c r="BG45" i="18"/>
  <c r="BD72" i="18" s="1"/>
  <c r="BB100" i="18" s="1"/>
  <c r="AY127" i="18" s="1"/>
  <c r="AW152" i="18" s="1"/>
  <c r="BF45" i="18"/>
  <c r="BC72" i="18" s="1"/>
  <c r="BA100" i="18" s="1"/>
  <c r="AX127" i="18" s="1"/>
  <c r="AV152" i="18" s="1"/>
  <c r="BE45" i="18"/>
  <c r="BB72" i="18" s="1"/>
  <c r="AZ100" i="18" s="1"/>
  <c r="AW127" i="18" s="1"/>
  <c r="AU152" i="18" s="1"/>
  <c r="BD45" i="18"/>
  <c r="BA72" i="18" s="1"/>
  <c r="AY100" i="18" s="1"/>
  <c r="AV127" i="18" s="1"/>
  <c r="AT152" i="18" s="1"/>
  <c r="BC45" i="18"/>
  <c r="AZ72" i="18" s="1"/>
  <c r="AX100" i="18" s="1"/>
  <c r="AU127" i="18" s="1"/>
  <c r="AS152" i="18" s="1"/>
  <c r="AZ45" i="18"/>
  <c r="AW72" i="18" s="1"/>
  <c r="AU100" i="18" s="1"/>
  <c r="AR127" i="18" s="1"/>
  <c r="AP152" i="18" s="1"/>
  <c r="AY45" i="18"/>
  <c r="AV72" i="18" s="1"/>
  <c r="AT100" i="18" s="1"/>
  <c r="AQ127" i="18" s="1"/>
  <c r="AO152" i="18" s="1"/>
  <c r="AX45" i="18"/>
  <c r="AU72" i="18" s="1"/>
  <c r="AS100" i="18" s="1"/>
  <c r="AP127" i="18" s="1"/>
  <c r="AN152" i="18" s="1"/>
  <c r="AW45" i="18"/>
  <c r="AT72" i="18" s="1"/>
  <c r="AR100" i="18" s="1"/>
  <c r="AO127" i="18" s="1"/>
  <c r="AM152" i="18" s="1"/>
  <c r="AV45" i="18"/>
  <c r="AS72" i="18" s="1"/>
  <c r="AQ100" i="18" s="1"/>
  <c r="AN127" i="18" s="1"/>
  <c r="AL152" i="18" s="1"/>
  <c r="AS45" i="18"/>
  <c r="AP72" i="18" s="1"/>
  <c r="AN100" i="18" s="1"/>
  <c r="AK127" i="18" s="1"/>
  <c r="AI152" i="18" s="1"/>
  <c r="AR45" i="18"/>
  <c r="AO72" i="18" s="1"/>
  <c r="AM100" i="18" s="1"/>
  <c r="AJ127" i="18" s="1"/>
  <c r="BJ152" i="18" s="1"/>
  <c r="AQ45" i="18"/>
  <c r="AN72" i="18" s="1"/>
  <c r="AL100" i="18" s="1"/>
  <c r="AI127" i="18" s="1"/>
  <c r="BI152" i="18" s="1"/>
  <c r="AP45" i="18"/>
  <c r="AM72" i="18" s="1"/>
  <c r="AK100" i="18" s="1"/>
  <c r="BJ127" i="18" s="1"/>
  <c r="BH152" i="18" s="1"/>
  <c r="AO45" i="18"/>
  <c r="AL72" i="18" s="1"/>
  <c r="AJ100" i="18" s="1"/>
  <c r="BI127" i="18" s="1"/>
  <c r="BG152" i="18" s="1"/>
  <c r="AL45" i="18"/>
  <c r="AI72" i="18" s="1"/>
  <c r="BI100" i="18" s="1"/>
  <c r="BF127" i="18" s="1"/>
  <c r="BD152" i="18" s="1"/>
  <c r="AK45" i="18"/>
  <c r="BJ72" i="18" s="1"/>
  <c r="BH100" i="18" s="1"/>
  <c r="BE127" i="18" s="1"/>
  <c r="BC152" i="18" s="1"/>
  <c r="AJ45" i="18"/>
  <c r="BI72" i="18" s="1"/>
  <c r="BG100" i="18" s="1"/>
  <c r="BD127" i="18" s="1"/>
  <c r="BB152" i="18" s="1"/>
  <c r="BK44" i="18"/>
  <c r="BH71" i="18" s="1"/>
  <c r="BF99" i="18" s="1"/>
  <c r="BC126" i="18" s="1"/>
  <c r="BA151" i="18" s="1"/>
  <c r="BJ44" i="18"/>
  <c r="BG71" i="18" s="1"/>
  <c r="BE99" i="18" s="1"/>
  <c r="BB126" i="18" s="1"/>
  <c r="AZ151" i="18" s="1"/>
  <c r="BG44" i="18"/>
  <c r="BD71" i="18" s="1"/>
  <c r="BB99" i="18" s="1"/>
  <c r="AY126" i="18" s="1"/>
  <c r="AW151" i="18" s="1"/>
  <c r="BF44" i="18"/>
  <c r="BC71" i="18" s="1"/>
  <c r="BA99" i="18" s="1"/>
  <c r="AX126" i="18" s="1"/>
  <c r="AV151" i="18" s="1"/>
  <c r="BE44" i="18"/>
  <c r="BB71" i="18" s="1"/>
  <c r="AZ99" i="18" s="1"/>
  <c r="AW126" i="18" s="1"/>
  <c r="AU151" i="18" s="1"/>
  <c r="BD44" i="18"/>
  <c r="BA71" i="18" s="1"/>
  <c r="AY99" i="18" s="1"/>
  <c r="AV126" i="18" s="1"/>
  <c r="AT151" i="18" s="1"/>
  <c r="BC44" i="18"/>
  <c r="AZ71" i="18" s="1"/>
  <c r="AX99" i="18" s="1"/>
  <c r="AU126" i="18" s="1"/>
  <c r="AS151" i="18" s="1"/>
  <c r="AZ44" i="18"/>
  <c r="AW71" i="18" s="1"/>
  <c r="AU99" i="18" s="1"/>
  <c r="AR126" i="18" s="1"/>
  <c r="AP151" i="18" s="1"/>
  <c r="AY44" i="18"/>
  <c r="AV71" i="18" s="1"/>
  <c r="AT99" i="18" s="1"/>
  <c r="AQ126" i="18" s="1"/>
  <c r="AO151" i="18" s="1"/>
  <c r="AX44" i="18"/>
  <c r="AU71" i="18" s="1"/>
  <c r="AS99" i="18" s="1"/>
  <c r="AP126" i="18" s="1"/>
  <c r="AN151" i="18" s="1"/>
  <c r="AW44" i="18"/>
  <c r="AT71" i="18" s="1"/>
  <c r="AR99" i="18" s="1"/>
  <c r="AO126" i="18" s="1"/>
  <c r="AM151" i="18" s="1"/>
  <c r="AV44" i="18"/>
  <c r="AS71" i="18" s="1"/>
  <c r="AQ99" i="18" s="1"/>
  <c r="AN126" i="18" s="1"/>
  <c r="AL151" i="18" s="1"/>
  <c r="AS44" i="18"/>
  <c r="AP71" i="18" s="1"/>
  <c r="AN99" i="18" s="1"/>
  <c r="AK126" i="18" s="1"/>
  <c r="AI151" i="18" s="1"/>
  <c r="AR44" i="18"/>
  <c r="AO71" i="18" s="1"/>
  <c r="AM99" i="18" s="1"/>
  <c r="AJ126" i="18" s="1"/>
  <c r="BJ151" i="18" s="1"/>
  <c r="AQ44" i="18"/>
  <c r="AN71" i="18" s="1"/>
  <c r="AL99" i="18" s="1"/>
  <c r="AI126" i="18" s="1"/>
  <c r="BI151" i="18" s="1"/>
  <c r="AP44" i="18"/>
  <c r="AM71" i="18" s="1"/>
  <c r="AK99" i="18" s="1"/>
  <c r="BJ126" i="18" s="1"/>
  <c r="BH151" i="18" s="1"/>
  <c r="AO44" i="18"/>
  <c r="AL71" i="18" s="1"/>
  <c r="AJ99" i="18" s="1"/>
  <c r="BI126" i="18" s="1"/>
  <c r="BG151" i="18" s="1"/>
  <c r="AL44" i="18"/>
  <c r="AI71" i="18" s="1"/>
  <c r="BI99" i="18" s="1"/>
  <c r="BF126" i="18" s="1"/>
  <c r="BD151" i="18" s="1"/>
  <c r="AK44" i="18"/>
  <c r="BJ71" i="18" s="1"/>
  <c r="BH99" i="18" s="1"/>
  <c r="BE126" i="18" s="1"/>
  <c r="BC151" i="18" s="1"/>
  <c r="AJ44" i="18"/>
  <c r="BI71" i="18" s="1"/>
  <c r="BG99" i="18" s="1"/>
  <c r="BD126" i="18" s="1"/>
  <c r="BB151" i="18" s="1"/>
  <c r="BK43" i="18"/>
  <c r="BH70" i="18" s="1"/>
  <c r="BF98" i="18" s="1"/>
  <c r="BC125" i="18" s="1"/>
  <c r="BA150" i="18" s="1"/>
  <c r="BJ43" i="18"/>
  <c r="BG70" i="18" s="1"/>
  <c r="BE98" i="18" s="1"/>
  <c r="BB125" i="18" s="1"/>
  <c r="AZ150" i="18" s="1"/>
  <c r="BG43" i="18"/>
  <c r="BD70" i="18" s="1"/>
  <c r="BB98" i="18" s="1"/>
  <c r="AY125" i="18" s="1"/>
  <c r="AW150" i="18" s="1"/>
  <c r="BF43" i="18"/>
  <c r="BC70" i="18" s="1"/>
  <c r="BA98" i="18" s="1"/>
  <c r="AX125" i="18" s="1"/>
  <c r="AV150" i="18" s="1"/>
  <c r="BE43" i="18"/>
  <c r="BB70" i="18" s="1"/>
  <c r="AZ98" i="18" s="1"/>
  <c r="AW125" i="18" s="1"/>
  <c r="AU150" i="18" s="1"/>
  <c r="BD43" i="18"/>
  <c r="BA70" i="18" s="1"/>
  <c r="AY98" i="18" s="1"/>
  <c r="AV125" i="18" s="1"/>
  <c r="AT150" i="18" s="1"/>
  <c r="BC43" i="18"/>
  <c r="AZ70" i="18" s="1"/>
  <c r="AX98" i="18" s="1"/>
  <c r="AU125" i="18" s="1"/>
  <c r="AS150" i="18" s="1"/>
  <c r="AZ43" i="18"/>
  <c r="AW70" i="18" s="1"/>
  <c r="AU98" i="18" s="1"/>
  <c r="AR125" i="18" s="1"/>
  <c r="AP150" i="18" s="1"/>
  <c r="AY43" i="18"/>
  <c r="AV70" i="18" s="1"/>
  <c r="AT98" i="18" s="1"/>
  <c r="AQ125" i="18" s="1"/>
  <c r="AO150" i="18" s="1"/>
  <c r="AX43" i="18"/>
  <c r="AU70" i="18" s="1"/>
  <c r="AS98" i="18" s="1"/>
  <c r="AP125" i="18" s="1"/>
  <c r="AN150" i="18" s="1"/>
  <c r="AW43" i="18"/>
  <c r="AT70" i="18" s="1"/>
  <c r="AR98" i="18" s="1"/>
  <c r="AO125" i="18" s="1"/>
  <c r="AM150" i="18" s="1"/>
  <c r="AV43" i="18"/>
  <c r="AS70" i="18" s="1"/>
  <c r="AQ98" i="18" s="1"/>
  <c r="AN125" i="18" s="1"/>
  <c r="AL150" i="18" s="1"/>
  <c r="AS43" i="18"/>
  <c r="AP70" i="18" s="1"/>
  <c r="AN98" i="18" s="1"/>
  <c r="AK125" i="18" s="1"/>
  <c r="AI150" i="18" s="1"/>
  <c r="AR43" i="18"/>
  <c r="AO70" i="18" s="1"/>
  <c r="AM98" i="18" s="1"/>
  <c r="AJ125" i="18" s="1"/>
  <c r="BJ150" i="18" s="1"/>
  <c r="AQ43" i="18"/>
  <c r="AN70" i="18" s="1"/>
  <c r="AL98" i="18" s="1"/>
  <c r="AP43" i="18"/>
  <c r="AM70" i="18" s="1"/>
  <c r="AK98" i="18" s="1"/>
  <c r="BJ125" i="18" s="1"/>
  <c r="BH150" i="18" s="1"/>
  <c r="AO43" i="18"/>
  <c r="AL70" i="18" s="1"/>
  <c r="AJ98" i="18" s="1"/>
  <c r="BI125" i="18" s="1"/>
  <c r="BG150" i="18" s="1"/>
  <c r="AL43" i="18"/>
  <c r="AI70" i="18" s="1"/>
  <c r="BI98" i="18" s="1"/>
  <c r="BF125" i="18" s="1"/>
  <c r="BD150" i="18" s="1"/>
  <c r="AK43" i="18"/>
  <c r="BJ70" i="18" s="1"/>
  <c r="BH98" i="18" s="1"/>
  <c r="BE125" i="18" s="1"/>
  <c r="BC150" i="18" s="1"/>
  <c r="AJ43" i="18"/>
  <c r="BI70" i="18" s="1"/>
  <c r="BG98" i="18" s="1"/>
  <c r="BD125" i="18" s="1"/>
  <c r="BB150" i="18" s="1"/>
  <c r="BK42" i="18"/>
  <c r="BH69" i="18" s="1"/>
  <c r="BF97" i="18" s="1"/>
  <c r="BC124" i="18" s="1"/>
  <c r="BA149" i="18" s="1"/>
  <c r="BJ42" i="18"/>
  <c r="BG69" i="18" s="1"/>
  <c r="BE97" i="18" s="1"/>
  <c r="BB124" i="18" s="1"/>
  <c r="AZ149" i="18" s="1"/>
  <c r="BG42" i="18"/>
  <c r="BD69" i="18" s="1"/>
  <c r="BB97" i="18" s="1"/>
  <c r="AY124" i="18" s="1"/>
  <c r="AW149" i="18" s="1"/>
  <c r="BF42" i="18"/>
  <c r="BC69" i="18" s="1"/>
  <c r="BA97" i="18" s="1"/>
  <c r="AX124" i="18" s="1"/>
  <c r="AV149" i="18" s="1"/>
  <c r="BE42" i="18"/>
  <c r="BB69" i="18" s="1"/>
  <c r="AZ97" i="18" s="1"/>
  <c r="AW124" i="18" s="1"/>
  <c r="AU149" i="18" s="1"/>
  <c r="BD42" i="18"/>
  <c r="BA69" i="18" s="1"/>
  <c r="AY97" i="18" s="1"/>
  <c r="AV124" i="18" s="1"/>
  <c r="AT149" i="18" s="1"/>
  <c r="BC42" i="18"/>
  <c r="AZ69" i="18" s="1"/>
  <c r="AX97" i="18" s="1"/>
  <c r="AU124" i="18" s="1"/>
  <c r="AS149" i="18" s="1"/>
  <c r="AZ42" i="18"/>
  <c r="AW69" i="18" s="1"/>
  <c r="AU97" i="18" s="1"/>
  <c r="AR124" i="18" s="1"/>
  <c r="AP149" i="18" s="1"/>
  <c r="AY42" i="18"/>
  <c r="AV69" i="18" s="1"/>
  <c r="AT97" i="18" s="1"/>
  <c r="AQ124" i="18" s="1"/>
  <c r="AO149" i="18" s="1"/>
  <c r="AX42" i="18"/>
  <c r="AU69" i="18" s="1"/>
  <c r="AS97" i="18" s="1"/>
  <c r="AP124" i="18" s="1"/>
  <c r="AN149" i="18" s="1"/>
  <c r="AW42" i="18"/>
  <c r="AT69" i="18" s="1"/>
  <c r="AR97" i="18" s="1"/>
  <c r="AO124" i="18" s="1"/>
  <c r="AM149" i="18" s="1"/>
  <c r="AV42" i="18"/>
  <c r="AS69" i="18" s="1"/>
  <c r="AQ97" i="18" s="1"/>
  <c r="AN124" i="18" s="1"/>
  <c r="AL149" i="18" s="1"/>
  <c r="AS42" i="18"/>
  <c r="AP69" i="18" s="1"/>
  <c r="AN97" i="18" s="1"/>
  <c r="AK124" i="18" s="1"/>
  <c r="AI149" i="18" s="1"/>
  <c r="AR42" i="18"/>
  <c r="AO69" i="18" s="1"/>
  <c r="AM97" i="18" s="1"/>
  <c r="AJ124" i="18" s="1"/>
  <c r="BJ149" i="18" s="1"/>
  <c r="AQ42" i="18"/>
  <c r="AN69" i="18" s="1"/>
  <c r="AL97" i="18" s="1"/>
  <c r="AI124" i="18" s="1"/>
  <c r="BI149" i="18" s="1"/>
  <c r="AP42" i="18"/>
  <c r="AM69" i="18" s="1"/>
  <c r="AK97" i="18" s="1"/>
  <c r="BJ124" i="18" s="1"/>
  <c r="BH149" i="18" s="1"/>
  <c r="AO42" i="18"/>
  <c r="AL69" i="18" s="1"/>
  <c r="AJ97" i="18" s="1"/>
  <c r="BI124" i="18" s="1"/>
  <c r="BG149" i="18" s="1"/>
  <c r="AL42" i="18"/>
  <c r="AI69" i="18" s="1"/>
  <c r="BI97" i="18" s="1"/>
  <c r="BF124" i="18" s="1"/>
  <c r="BD149" i="18" s="1"/>
  <c r="AK42" i="18"/>
  <c r="BJ69" i="18" s="1"/>
  <c r="BH97" i="18" s="1"/>
  <c r="BE124" i="18" s="1"/>
  <c r="BC149" i="18" s="1"/>
  <c r="AJ42" i="18"/>
  <c r="BI69" i="18" s="1"/>
  <c r="BG97" i="18" s="1"/>
  <c r="BD124" i="18" s="1"/>
  <c r="BB149" i="18" s="1"/>
  <c r="BK41" i="18"/>
  <c r="BH68" i="18" s="1"/>
  <c r="BF96" i="18" s="1"/>
  <c r="BC123" i="18" s="1"/>
  <c r="BA148" i="18" s="1"/>
  <c r="BJ41" i="18"/>
  <c r="BG68" i="18" s="1"/>
  <c r="BE96" i="18" s="1"/>
  <c r="BB123" i="18" s="1"/>
  <c r="AZ148" i="18" s="1"/>
  <c r="BG41" i="18"/>
  <c r="BD68" i="18" s="1"/>
  <c r="BB96" i="18" s="1"/>
  <c r="AY123" i="18" s="1"/>
  <c r="AW148" i="18" s="1"/>
  <c r="BF41" i="18"/>
  <c r="BC68" i="18" s="1"/>
  <c r="BA96" i="18" s="1"/>
  <c r="AX123" i="18" s="1"/>
  <c r="AV148" i="18" s="1"/>
  <c r="BE41" i="18"/>
  <c r="BB68" i="18" s="1"/>
  <c r="AZ96" i="18" s="1"/>
  <c r="AW123" i="18" s="1"/>
  <c r="AU148" i="18" s="1"/>
  <c r="BD41" i="18"/>
  <c r="BA68" i="18" s="1"/>
  <c r="AY96" i="18" s="1"/>
  <c r="AV123" i="18" s="1"/>
  <c r="AT148" i="18" s="1"/>
  <c r="BC41" i="18"/>
  <c r="AZ68" i="18" s="1"/>
  <c r="AX96" i="18" s="1"/>
  <c r="AU123" i="18" s="1"/>
  <c r="AS148" i="18" s="1"/>
  <c r="AZ41" i="18"/>
  <c r="AW68" i="18" s="1"/>
  <c r="AU96" i="18" s="1"/>
  <c r="AR123" i="18" s="1"/>
  <c r="AP148" i="18" s="1"/>
  <c r="AY41" i="18"/>
  <c r="AV68" i="18" s="1"/>
  <c r="AT96" i="18" s="1"/>
  <c r="AQ123" i="18" s="1"/>
  <c r="AO148" i="18" s="1"/>
  <c r="AX41" i="18"/>
  <c r="AU68" i="18" s="1"/>
  <c r="AS96" i="18" s="1"/>
  <c r="AP123" i="18" s="1"/>
  <c r="AN148" i="18" s="1"/>
  <c r="AW41" i="18"/>
  <c r="AT68" i="18" s="1"/>
  <c r="AR96" i="18" s="1"/>
  <c r="AO123" i="18" s="1"/>
  <c r="AM148" i="18" s="1"/>
  <c r="AV41" i="18"/>
  <c r="AS68" i="18" s="1"/>
  <c r="AQ96" i="18" s="1"/>
  <c r="AN123" i="18" s="1"/>
  <c r="AL148" i="18" s="1"/>
  <c r="AS41" i="18"/>
  <c r="AP68" i="18" s="1"/>
  <c r="AN96" i="18" s="1"/>
  <c r="AK123" i="18" s="1"/>
  <c r="AI148" i="18" s="1"/>
  <c r="AR41" i="18"/>
  <c r="AO68" i="18" s="1"/>
  <c r="AM96" i="18" s="1"/>
  <c r="AJ123" i="18" s="1"/>
  <c r="BJ148" i="18" s="1"/>
  <c r="AQ41" i="18"/>
  <c r="AN68" i="18" s="1"/>
  <c r="AL96" i="18" s="1"/>
  <c r="AI123" i="18" s="1"/>
  <c r="BI148" i="18" s="1"/>
  <c r="AP41" i="18"/>
  <c r="AM68" i="18" s="1"/>
  <c r="AK96" i="18" s="1"/>
  <c r="BJ123" i="18" s="1"/>
  <c r="BH148" i="18" s="1"/>
  <c r="AO41" i="18"/>
  <c r="AL68" i="18" s="1"/>
  <c r="AJ96" i="18" s="1"/>
  <c r="BI123" i="18" s="1"/>
  <c r="BG148" i="18" s="1"/>
  <c r="AL41" i="18"/>
  <c r="AI68" i="18" s="1"/>
  <c r="BI96" i="18" s="1"/>
  <c r="BF123" i="18" s="1"/>
  <c r="BD148" i="18" s="1"/>
  <c r="AK41" i="18"/>
  <c r="BJ68" i="18" s="1"/>
  <c r="BH96" i="18" s="1"/>
  <c r="BE123" i="18" s="1"/>
  <c r="BC148" i="18" s="1"/>
  <c r="AJ41" i="18"/>
  <c r="BI68" i="18" s="1"/>
  <c r="BG96" i="18" s="1"/>
  <c r="BD123" i="18" s="1"/>
  <c r="BB148" i="18" s="1"/>
  <c r="BK40" i="18"/>
  <c r="BH67" i="18" s="1"/>
  <c r="BF95" i="18" s="1"/>
  <c r="BC121" i="18" s="1"/>
  <c r="BA147" i="18" s="1"/>
  <c r="BJ40" i="18"/>
  <c r="BG67" i="18" s="1"/>
  <c r="BE95" i="18" s="1"/>
  <c r="BB121" i="18" s="1"/>
  <c r="AZ147" i="18" s="1"/>
  <c r="BG40" i="18"/>
  <c r="BD67" i="18" s="1"/>
  <c r="BB95" i="18" s="1"/>
  <c r="AY121" i="18" s="1"/>
  <c r="AW147" i="18" s="1"/>
  <c r="BF40" i="18"/>
  <c r="BC67" i="18" s="1"/>
  <c r="BA95" i="18" s="1"/>
  <c r="AX121" i="18" s="1"/>
  <c r="AV147" i="18" s="1"/>
  <c r="BE40" i="18"/>
  <c r="BB67" i="18" s="1"/>
  <c r="AZ95" i="18" s="1"/>
  <c r="AW121" i="18" s="1"/>
  <c r="AU147" i="18" s="1"/>
  <c r="BD40" i="18"/>
  <c r="BA67" i="18" s="1"/>
  <c r="AY95" i="18" s="1"/>
  <c r="AV121" i="18" s="1"/>
  <c r="AT147" i="18" s="1"/>
  <c r="BC40" i="18"/>
  <c r="AZ67" i="18" s="1"/>
  <c r="AX95" i="18" s="1"/>
  <c r="AU121" i="18" s="1"/>
  <c r="AS147" i="18" s="1"/>
  <c r="AZ40" i="18"/>
  <c r="AW67" i="18" s="1"/>
  <c r="AU95" i="18" s="1"/>
  <c r="AR121" i="18" s="1"/>
  <c r="AP147" i="18" s="1"/>
  <c r="AY40" i="18"/>
  <c r="AV67" i="18" s="1"/>
  <c r="AT95" i="18" s="1"/>
  <c r="AQ121" i="18" s="1"/>
  <c r="AO147" i="18" s="1"/>
  <c r="AX40" i="18"/>
  <c r="AU67" i="18" s="1"/>
  <c r="AS95" i="18" s="1"/>
  <c r="AP121" i="18" s="1"/>
  <c r="AN147" i="18" s="1"/>
  <c r="AW40" i="18"/>
  <c r="AT67" i="18" s="1"/>
  <c r="AR95" i="18" s="1"/>
  <c r="AO121" i="18" s="1"/>
  <c r="AM147" i="18" s="1"/>
  <c r="AV40" i="18"/>
  <c r="AS67" i="18" s="1"/>
  <c r="AQ95" i="18" s="1"/>
  <c r="AN121" i="18" s="1"/>
  <c r="AL147" i="18" s="1"/>
  <c r="AS40" i="18"/>
  <c r="AP67" i="18" s="1"/>
  <c r="AN95" i="18" s="1"/>
  <c r="AK121" i="18" s="1"/>
  <c r="AI147" i="18" s="1"/>
  <c r="AR40" i="18"/>
  <c r="AO67" i="18" s="1"/>
  <c r="AM95" i="18" s="1"/>
  <c r="AJ121" i="18" s="1"/>
  <c r="BJ147" i="18" s="1"/>
  <c r="AQ40" i="18"/>
  <c r="AN67" i="18" s="1"/>
  <c r="AL95" i="18" s="1"/>
  <c r="AI121" i="18" s="1"/>
  <c r="BI147" i="18" s="1"/>
  <c r="AP40" i="18"/>
  <c r="AM67" i="18" s="1"/>
  <c r="AK95" i="18" s="1"/>
  <c r="BJ121" i="18" s="1"/>
  <c r="BH147" i="18" s="1"/>
  <c r="AO40" i="18"/>
  <c r="AL67" i="18" s="1"/>
  <c r="AJ95" i="18" s="1"/>
  <c r="BI121" i="18" s="1"/>
  <c r="BG147" i="18" s="1"/>
  <c r="AL40" i="18"/>
  <c r="AI67" i="18" s="1"/>
  <c r="BI95" i="18" s="1"/>
  <c r="BF121" i="18" s="1"/>
  <c r="BD147" i="18" s="1"/>
  <c r="AK40" i="18"/>
  <c r="BJ67" i="18" s="1"/>
  <c r="BH95" i="18" s="1"/>
  <c r="BE121" i="18" s="1"/>
  <c r="BC147" i="18" s="1"/>
  <c r="AJ40" i="18"/>
  <c r="BI67" i="18" s="1"/>
  <c r="BG95" i="18" s="1"/>
  <c r="BD121" i="18" s="1"/>
  <c r="BB147" i="18" s="1"/>
  <c r="BK39" i="18"/>
  <c r="BH66" i="18" s="1"/>
  <c r="BF94" i="18" s="1"/>
  <c r="BC120" i="18" s="1"/>
  <c r="BA146" i="18" s="1"/>
  <c r="BJ39" i="18"/>
  <c r="BG66" i="18" s="1"/>
  <c r="BE94" i="18" s="1"/>
  <c r="BB120" i="18" s="1"/>
  <c r="AZ146" i="18" s="1"/>
  <c r="BG39" i="18"/>
  <c r="BD66" i="18" s="1"/>
  <c r="BB94" i="18" s="1"/>
  <c r="AY120" i="18" s="1"/>
  <c r="AW146" i="18" s="1"/>
  <c r="BF39" i="18"/>
  <c r="BE39" i="18"/>
  <c r="BB66" i="18" s="1"/>
  <c r="AZ94" i="18" s="1"/>
  <c r="AW120" i="18" s="1"/>
  <c r="AU146" i="18" s="1"/>
  <c r="BD39" i="18"/>
  <c r="BA66" i="18" s="1"/>
  <c r="AY94" i="18" s="1"/>
  <c r="AV120" i="18" s="1"/>
  <c r="AT146" i="18" s="1"/>
  <c r="BC39" i="18"/>
  <c r="AZ66" i="18" s="1"/>
  <c r="AX94" i="18" s="1"/>
  <c r="AU120" i="18" s="1"/>
  <c r="AS146" i="18" s="1"/>
  <c r="AZ39" i="18"/>
  <c r="AW66" i="18" s="1"/>
  <c r="AU94" i="18" s="1"/>
  <c r="AR120" i="18" s="1"/>
  <c r="AP146" i="18" s="1"/>
  <c r="AY39" i="18"/>
  <c r="AV66" i="18" s="1"/>
  <c r="AT94" i="18" s="1"/>
  <c r="AQ120" i="18" s="1"/>
  <c r="AO146" i="18" s="1"/>
  <c r="AX39" i="18"/>
  <c r="AU66" i="18" s="1"/>
  <c r="AS94" i="18" s="1"/>
  <c r="AP120" i="18" s="1"/>
  <c r="AN146" i="18" s="1"/>
  <c r="AW39" i="18"/>
  <c r="AT66" i="18" s="1"/>
  <c r="AR94" i="18" s="1"/>
  <c r="AO120" i="18" s="1"/>
  <c r="AM146" i="18" s="1"/>
  <c r="AV39" i="18"/>
  <c r="AS66" i="18" s="1"/>
  <c r="AQ94" i="18" s="1"/>
  <c r="AN120" i="18" s="1"/>
  <c r="AL146" i="18" s="1"/>
  <c r="AS39" i="18"/>
  <c r="AP66" i="18" s="1"/>
  <c r="AN94" i="18" s="1"/>
  <c r="AK120" i="18" s="1"/>
  <c r="AI146" i="18" s="1"/>
  <c r="AR39" i="18"/>
  <c r="AO66" i="18" s="1"/>
  <c r="AM94" i="18" s="1"/>
  <c r="AJ120" i="18" s="1"/>
  <c r="BJ146" i="18" s="1"/>
  <c r="AQ39" i="18"/>
  <c r="AN66" i="18" s="1"/>
  <c r="AL94" i="18" s="1"/>
  <c r="AI120" i="18" s="1"/>
  <c r="BI146" i="18" s="1"/>
  <c r="AP39" i="18"/>
  <c r="AM66" i="18" s="1"/>
  <c r="AK94" i="18" s="1"/>
  <c r="BJ120" i="18" s="1"/>
  <c r="BH146" i="18" s="1"/>
  <c r="AO39" i="18"/>
  <c r="AL66" i="18" s="1"/>
  <c r="AJ94" i="18" s="1"/>
  <c r="BI120" i="18" s="1"/>
  <c r="BG146" i="18" s="1"/>
  <c r="AL39" i="18"/>
  <c r="AI66" i="18" s="1"/>
  <c r="BI94" i="18" s="1"/>
  <c r="BF120" i="18" s="1"/>
  <c r="BD146" i="18" s="1"/>
  <c r="AK39" i="18"/>
  <c r="BJ66" i="18" s="1"/>
  <c r="BH94" i="18" s="1"/>
  <c r="BE120" i="18" s="1"/>
  <c r="BC146" i="18" s="1"/>
  <c r="AJ39" i="18"/>
  <c r="BI66" i="18" s="1"/>
  <c r="BG94" i="18" s="1"/>
  <c r="BD120" i="18" s="1"/>
  <c r="BB146" i="18" s="1"/>
  <c r="BK38" i="18"/>
  <c r="BH65" i="18" s="1"/>
  <c r="BF93" i="18" s="1"/>
  <c r="BC119" i="18" s="1"/>
  <c r="BA145" i="18" s="1"/>
  <c r="BJ38" i="18"/>
  <c r="BG65" i="18" s="1"/>
  <c r="BE93" i="18" s="1"/>
  <c r="BB119" i="18" s="1"/>
  <c r="AZ145" i="18" s="1"/>
  <c r="BG38" i="18"/>
  <c r="BD65" i="18" s="1"/>
  <c r="BB93" i="18" s="1"/>
  <c r="AY119" i="18" s="1"/>
  <c r="AW145" i="18" s="1"/>
  <c r="BF38" i="18"/>
  <c r="BC65" i="18" s="1"/>
  <c r="BA93" i="18" s="1"/>
  <c r="AX119" i="18" s="1"/>
  <c r="AV145" i="18" s="1"/>
  <c r="BE38" i="18"/>
  <c r="BB65" i="18" s="1"/>
  <c r="AZ93" i="18" s="1"/>
  <c r="AW119" i="18" s="1"/>
  <c r="AU145" i="18" s="1"/>
  <c r="BD38" i="18"/>
  <c r="BA65" i="18" s="1"/>
  <c r="AY93" i="18" s="1"/>
  <c r="AV119" i="18" s="1"/>
  <c r="AT145" i="18" s="1"/>
  <c r="BC38" i="18"/>
  <c r="AZ65" i="18" s="1"/>
  <c r="AX93" i="18" s="1"/>
  <c r="AU119" i="18" s="1"/>
  <c r="AS145" i="18" s="1"/>
  <c r="AZ38" i="18"/>
  <c r="AW65" i="18" s="1"/>
  <c r="AU93" i="18" s="1"/>
  <c r="AR119" i="18" s="1"/>
  <c r="AP145" i="18" s="1"/>
  <c r="AY38" i="18"/>
  <c r="AV65" i="18" s="1"/>
  <c r="AT93" i="18" s="1"/>
  <c r="AQ119" i="18" s="1"/>
  <c r="AO145" i="18" s="1"/>
  <c r="AX38" i="18"/>
  <c r="AU65" i="18" s="1"/>
  <c r="AS93" i="18" s="1"/>
  <c r="AP119" i="18" s="1"/>
  <c r="AN145" i="18" s="1"/>
  <c r="AW38" i="18"/>
  <c r="AT65" i="18" s="1"/>
  <c r="AR93" i="18" s="1"/>
  <c r="AO119" i="18" s="1"/>
  <c r="AM145" i="18" s="1"/>
  <c r="AV38" i="18"/>
  <c r="AS65" i="18" s="1"/>
  <c r="AQ93" i="18" s="1"/>
  <c r="AN119" i="18" s="1"/>
  <c r="AL145" i="18" s="1"/>
  <c r="AS38" i="18"/>
  <c r="AP65" i="18" s="1"/>
  <c r="AN93" i="18" s="1"/>
  <c r="AK119" i="18" s="1"/>
  <c r="AI145" i="18" s="1"/>
  <c r="AR38" i="18"/>
  <c r="AO65" i="18" s="1"/>
  <c r="AM93" i="18" s="1"/>
  <c r="AJ119" i="18" s="1"/>
  <c r="BJ145" i="18" s="1"/>
  <c r="AQ38" i="18"/>
  <c r="AN65" i="18" s="1"/>
  <c r="AL93" i="18" s="1"/>
  <c r="AP38" i="18"/>
  <c r="AM65" i="18" s="1"/>
  <c r="AK93" i="18" s="1"/>
  <c r="BJ119" i="18" s="1"/>
  <c r="BH145" i="18" s="1"/>
  <c r="AO38" i="18"/>
  <c r="AL65" i="18" s="1"/>
  <c r="AJ93" i="18" s="1"/>
  <c r="BI119" i="18" s="1"/>
  <c r="BG145" i="18" s="1"/>
  <c r="AL38" i="18"/>
  <c r="AI65" i="18" s="1"/>
  <c r="BI93" i="18" s="1"/>
  <c r="BF119" i="18" s="1"/>
  <c r="BD145" i="18" s="1"/>
  <c r="AK38" i="18"/>
  <c r="BJ65" i="18" s="1"/>
  <c r="BH93" i="18" s="1"/>
  <c r="BE119" i="18" s="1"/>
  <c r="BC145" i="18" s="1"/>
  <c r="AJ38" i="18"/>
  <c r="BI65" i="18" s="1"/>
  <c r="BG93" i="18" s="1"/>
  <c r="BD119" i="18" s="1"/>
  <c r="BB145" i="18" s="1"/>
  <c r="BK37" i="18"/>
  <c r="BH64" i="18" s="1"/>
  <c r="BF92" i="18" s="1"/>
  <c r="BC118" i="18" s="1"/>
  <c r="BA144" i="18" s="1"/>
  <c r="BJ37" i="18"/>
  <c r="BG64" i="18" s="1"/>
  <c r="BE92" i="18" s="1"/>
  <c r="BB118" i="18" s="1"/>
  <c r="AZ144" i="18" s="1"/>
  <c r="BG37" i="18"/>
  <c r="BD64" i="18" s="1"/>
  <c r="BB92" i="18" s="1"/>
  <c r="AY118" i="18" s="1"/>
  <c r="AW144" i="18" s="1"/>
  <c r="BF37" i="18"/>
  <c r="BC64" i="18" s="1"/>
  <c r="BA92" i="18" s="1"/>
  <c r="AX118" i="18" s="1"/>
  <c r="AV144" i="18" s="1"/>
  <c r="BE37" i="18"/>
  <c r="BB64" i="18" s="1"/>
  <c r="AZ92" i="18" s="1"/>
  <c r="AW118" i="18" s="1"/>
  <c r="AU144" i="18" s="1"/>
  <c r="BD37" i="18"/>
  <c r="BA64" i="18" s="1"/>
  <c r="AY92" i="18" s="1"/>
  <c r="AV118" i="18" s="1"/>
  <c r="AT144" i="18" s="1"/>
  <c r="BC37" i="18"/>
  <c r="AZ64" i="18" s="1"/>
  <c r="AX92" i="18" s="1"/>
  <c r="AU118" i="18" s="1"/>
  <c r="AS144" i="18" s="1"/>
  <c r="AZ37" i="18"/>
  <c r="AW64" i="18" s="1"/>
  <c r="AU92" i="18" s="1"/>
  <c r="AR118" i="18" s="1"/>
  <c r="AP144" i="18" s="1"/>
  <c r="AY37" i="18"/>
  <c r="AV64" i="18" s="1"/>
  <c r="AT92" i="18" s="1"/>
  <c r="AQ118" i="18" s="1"/>
  <c r="AO144" i="18" s="1"/>
  <c r="AX37" i="18"/>
  <c r="AU64" i="18" s="1"/>
  <c r="AS92" i="18" s="1"/>
  <c r="AP118" i="18" s="1"/>
  <c r="AN144" i="18" s="1"/>
  <c r="AW37" i="18"/>
  <c r="AT64" i="18" s="1"/>
  <c r="AR92" i="18" s="1"/>
  <c r="AO118" i="18" s="1"/>
  <c r="AM144" i="18" s="1"/>
  <c r="AV37" i="18"/>
  <c r="AS64" i="18" s="1"/>
  <c r="AQ92" i="18" s="1"/>
  <c r="AN118" i="18" s="1"/>
  <c r="AL144" i="18" s="1"/>
  <c r="AS37" i="18"/>
  <c r="AP64" i="18" s="1"/>
  <c r="AN92" i="18" s="1"/>
  <c r="AK118" i="18" s="1"/>
  <c r="AI144" i="18" s="1"/>
  <c r="AR37" i="18"/>
  <c r="AO64" i="18" s="1"/>
  <c r="AM92" i="18" s="1"/>
  <c r="AJ118" i="18" s="1"/>
  <c r="BJ144" i="18" s="1"/>
  <c r="AQ37" i="18"/>
  <c r="AN64" i="18" s="1"/>
  <c r="AL92" i="18" s="1"/>
  <c r="AI118" i="18" s="1"/>
  <c r="BI144" i="18" s="1"/>
  <c r="AP37" i="18"/>
  <c r="AM64" i="18" s="1"/>
  <c r="AK92" i="18" s="1"/>
  <c r="BJ118" i="18" s="1"/>
  <c r="BH144" i="18" s="1"/>
  <c r="AO37" i="18"/>
  <c r="AL64" i="18" s="1"/>
  <c r="AJ92" i="18" s="1"/>
  <c r="BI118" i="18" s="1"/>
  <c r="BG144" i="18" s="1"/>
  <c r="AL37" i="18"/>
  <c r="AI64" i="18" s="1"/>
  <c r="BI92" i="18" s="1"/>
  <c r="BF118" i="18" s="1"/>
  <c r="BD144" i="18" s="1"/>
  <c r="AK37" i="18"/>
  <c r="BJ64" i="18" s="1"/>
  <c r="BH92" i="18" s="1"/>
  <c r="BE118" i="18" s="1"/>
  <c r="BC144" i="18" s="1"/>
  <c r="AJ37" i="18"/>
  <c r="BI64" i="18" s="1"/>
  <c r="BG92" i="18" s="1"/>
  <c r="BD118" i="18" s="1"/>
  <c r="BB144" i="18" s="1"/>
  <c r="BK36" i="18"/>
  <c r="BH63" i="18" s="1"/>
  <c r="BF91" i="18" s="1"/>
  <c r="BC117" i="18" s="1"/>
  <c r="BA143" i="18" s="1"/>
  <c r="BJ36" i="18"/>
  <c r="BG63" i="18" s="1"/>
  <c r="BE91" i="18" s="1"/>
  <c r="BB117" i="18" s="1"/>
  <c r="AZ143" i="18" s="1"/>
  <c r="BG36" i="18"/>
  <c r="BD63" i="18" s="1"/>
  <c r="BB91" i="18" s="1"/>
  <c r="AY117" i="18" s="1"/>
  <c r="AW143" i="18" s="1"/>
  <c r="BF36" i="18"/>
  <c r="BC63" i="18" s="1"/>
  <c r="BA91" i="18" s="1"/>
  <c r="AX117" i="18" s="1"/>
  <c r="AV143" i="18" s="1"/>
  <c r="BE36" i="18"/>
  <c r="BB63" i="18" s="1"/>
  <c r="AZ91" i="18" s="1"/>
  <c r="AW117" i="18" s="1"/>
  <c r="AU143" i="18" s="1"/>
  <c r="BD36" i="18"/>
  <c r="BA63" i="18" s="1"/>
  <c r="AY91" i="18" s="1"/>
  <c r="AV117" i="18" s="1"/>
  <c r="AT143" i="18" s="1"/>
  <c r="BC36" i="18"/>
  <c r="AZ63" i="18" s="1"/>
  <c r="AX91" i="18" s="1"/>
  <c r="AU117" i="18" s="1"/>
  <c r="AS143" i="18" s="1"/>
  <c r="AZ36" i="18"/>
  <c r="AW63" i="18" s="1"/>
  <c r="AU91" i="18" s="1"/>
  <c r="AR117" i="18" s="1"/>
  <c r="AP143" i="18" s="1"/>
  <c r="AY36" i="18"/>
  <c r="AV63" i="18" s="1"/>
  <c r="AT91" i="18" s="1"/>
  <c r="AQ117" i="18" s="1"/>
  <c r="AO143" i="18" s="1"/>
  <c r="AX36" i="18"/>
  <c r="AU63" i="18" s="1"/>
  <c r="AS91" i="18" s="1"/>
  <c r="AP117" i="18" s="1"/>
  <c r="AN143" i="18" s="1"/>
  <c r="AW36" i="18"/>
  <c r="AT63" i="18" s="1"/>
  <c r="AR91" i="18" s="1"/>
  <c r="AO117" i="18" s="1"/>
  <c r="AM143" i="18" s="1"/>
  <c r="AV36" i="18"/>
  <c r="AS63" i="18" s="1"/>
  <c r="AQ91" i="18" s="1"/>
  <c r="AN117" i="18" s="1"/>
  <c r="AL143" i="18" s="1"/>
  <c r="AS36" i="18"/>
  <c r="AP63" i="18" s="1"/>
  <c r="AN91" i="18" s="1"/>
  <c r="AK117" i="18" s="1"/>
  <c r="AI143" i="18" s="1"/>
  <c r="AR36" i="18"/>
  <c r="AO63" i="18" s="1"/>
  <c r="AM91" i="18" s="1"/>
  <c r="AJ117" i="18" s="1"/>
  <c r="BJ143" i="18" s="1"/>
  <c r="AQ36" i="18"/>
  <c r="AN63" i="18" s="1"/>
  <c r="AL91" i="18" s="1"/>
  <c r="AI117" i="18" s="1"/>
  <c r="BI143" i="18" s="1"/>
  <c r="AP36" i="18"/>
  <c r="AM63" i="18" s="1"/>
  <c r="AK91" i="18" s="1"/>
  <c r="BJ117" i="18" s="1"/>
  <c r="BH143" i="18" s="1"/>
  <c r="AO36" i="18"/>
  <c r="AL63" i="18" s="1"/>
  <c r="AJ91" i="18" s="1"/>
  <c r="BI117" i="18" s="1"/>
  <c r="BG143" i="18" s="1"/>
  <c r="AL36" i="18"/>
  <c r="AI63" i="18" s="1"/>
  <c r="BI91" i="18" s="1"/>
  <c r="BF117" i="18" s="1"/>
  <c r="BD143" i="18" s="1"/>
  <c r="AK36" i="18"/>
  <c r="BJ63" i="18" s="1"/>
  <c r="BH91" i="18" s="1"/>
  <c r="BE117" i="18" s="1"/>
  <c r="BC143" i="18" s="1"/>
  <c r="AJ36" i="18"/>
  <c r="BI63" i="18" s="1"/>
  <c r="BG91" i="18" s="1"/>
  <c r="BD117" i="18" s="1"/>
  <c r="BB143" i="18" s="1"/>
  <c r="BK35" i="18"/>
  <c r="BH62" i="18" s="1"/>
  <c r="BF90" i="18" s="1"/>
  <c r="BC116" i="18" s="1"/>
  <c r="BA142" i="18" s="1"/>
  <c r="BJ35" i="18"/>
  <c r="BG62" i="18" s="1"/>
  <c r="BE90" i="18" s="1"/>
  <c r="BB116" i="18" s="1"/>
  <c r="AZ142" i="18" s="1"/>
  <c r="BG35" i="18"/>
  <c r="BD62" i="18" s="1"/>
  <c r="BB90" i="18" s="1"/>
  <c r="AY116" i="18" s="1"/>
  <c r="AW142" i="18" s="1"/>
  <c r="BF35" i="18"/>
  <c r="BC62" i="18" s="1"/>
  <c r="BA90" i="18" s="1"/>
  <c r="AX116" i="18" s="1"/>
  <c r="AV142" i="18" s="1"/>
  <c r="BE35" i="18"/>
  <c r="BB62" i="18" s="1"/>
  <c r="AZ90" i="18" s="1"/>
  <c r="AW116" i="18" s="1"/>
  <c r="AU142" i="18" s="1"/>
  <c r="BD35" i="18"/>
  <c r="BA62" i="18" s="1"/>
  <c r="AY90" i="18" s="1"/>
  <c r="AV116" i="18" s="1"/>
  <c r="AT142" i="18" s="1"/>
  <c r="BC35" i="18"/>
  <c r="AZ62" i="18" s="1"/>
  <c r="AX90" i="18" s="1"/>
  <c r="AU116" i="18" s="1"/>
  <c r="AS142" i="18" s="1"/>
  <c r="AZ35" i="18"/>
  <c r="AW62" i="18" s="1"/>
  <c r="AU90" i="18" s="1"/>
  <c r="AR116" i="18" s="1"/>
  <c r="AP142" i="18" s="1"/>
  <c r="AY35" i="18"/>
  <c r="AV62" i="18" s="1"/>
  <c r="AT90" i="18" s="1"/>
  <c r="AQ116" i="18" s="1"/>
  <c r="AO142" i="18" s="1"/>
  <c r="AX35" i="18"/>
  <c r="AU62" i="18" s="1"/>
  <c r="AS90" i="18" s="1"/>
  <c r="AP116" i="18" s="1"/>
  <c r="AN142" i="18" s="1"/>
  <c r="AW35" i="18"/>
  <c r="AT62" i="18" s="1"/>
  <c r="AR90" i="18" s="1"/>
  <c r="AO116" i="18" s="1"/>
  <c r="AM142" i="18" s="1"/>
  <c r="AV35" i="18"/>
  <c r="AS62" i="18" s="1"/>
  <c r="AQ90" i="18" s="1"/>
  <c r="AN116" i="18" s="1"/>
  <c r="AL142" i="18" s="1"/>
  <c r="AS35" i="18"/>
  <c r="AP62" i="18" s="1"/>
  <c r="AN90" i="18" s="1"/>
  <c r="AK116" i="18" s="1"/>
  <c r="AI142" i="18" s="1"/>
  <c r="AR35" i="18"/>
  <c r="AO62" i="18" s="1"/>
  <c r="AM90" i="18" s="1"/>
  <c r="AJ116" i="18" s="1"/>
  <c r="BJ142" i="18" s="1"/>
  <c r="AQ35" i="18"/>
  <c r="AN62" i="18" s="1"/>
  <c r="AL90" i="18" s="1"/>
  <c r="AI116" i="18" s="1"/>
  <c r="BI142" i="18" s="1"/>
  <c r="AP35" i="18"/>
  <c r="AM62" i="18" s="1"/>
  <c r="AK90" i="18" s="1"/>
  <c r="BJ116" i="18" s="1"/>
  <c r="BH142" i="18" s="1"/>
  <c r="AO35" i="18"/>
  <c r="AL62" i="18" s="1"/>
  <c r="AJ90" i="18" s="1"/>
  <c r="BI116" i="18" s="1"/>
  <c r="BG142" i="18" s="1"/>
  <c r="AL35" i="18"/>
  <c r="AI62" i="18" s="1"/>
  <c r="BI90" i="18" s="1"/>
  <c r="BF116" i="18" s="1"/>
  <c r="BD142" i="18" s="1"/>
  <c r="AK35" i="18"/>
  <c r="BJ62" i="18" s="1"/>
  <c r="BH90" i="18" s="1"/>
  <c r="BE116" i="18" s="1"/>
  <c r="BC142" i="18" s="1"/>
  <c r="AJ35" i="18"/>
  <c r="BI62" i="18" s="1"/>
  <c r="BG90" i="18" s="1"/>
  <c r="BD116" i="18" s="1"/>
  <c r="BB142" i="18" s="1"/>
  <c r="BK34" i="18"/>
  <c r="BH61" i="18" s="1"/>
  <c r="BF89" i="18" s="1"/>
  <c r="BC115" i="18" s="1"/>
  <c r="BA141" i="18" s="1"/>
  <c r="BJ34" i="18"/>
  <c r="BG61" i="18" s="1"/>
  <c r="BE89" i="18" s="1"/>
  <c r="BB115" i="18" s="1"/>
  <c r="AZ141" i="18" s="1"/>
  <c r="BG34" i="18"/>
  <c r="BD61" i="18" s="1"/>
  <c r="BB89" i="18" s="1"/>
  <c r="AY115" i="18" s="1"/>
  <c r="AW141" i="18" s="1"/>
  <c r="BF34" i="18"/>
  <c r="BC61" i="18" s="1"/>
  <c r="BA89" i="18" s="1"/>
  <c r="AX115" i="18" s="1"/>
  <c r="AV141" i="18" s="1"/>
  <c r="BE34" i="18"/>
  <c r="BB61" i="18" s="1"/>
  <c r="AZ89" i="18" s="1"/>
  <c r="AW115" i="18" s="1"/>
  <c r="AU141" i="18" s="1"/>
  <c r="BD34" i="18"/>
  <c r="BA61" i="18" s="1"/>
  <c r="AY89" i="18" s="1"/>
  <c r="AV115" i="18" s="1"/>
  <c r="AT141" i="18" s="1"/>
  <c r="BC34" i="18"/>
  <c r="AZ61" i="18" s="1"/>
  <c r="AX89" i="18" s="1"/>
  <c r="AU115" i="18" s="1"/>
  <c r="AS141" i="18" s="1"/>
  <c r="AZ34" i="18"/>
  <c r="AW61" i="18" s="1"/>
  <c r="AU89" i="18" s="1"/>
  <c r="AR115" i="18" s="1"/>
  <c r="AP141" i="18" s="1"/>
  <c r="AY34" i="18"/>
  <c r="AV61" i="18" s="1"/>
  <c r="AT89" i="18" s="1"/>
  <c r="AQ115" i="18" s="1"/>
  <c r="AO141" i="18" s="1"/>
  <c r="AX34" i="18"/>
  <c r="AU61" i="18" s="1"/>
  <c r="AS89" i="18" s="1"/>
  <c r="AP115" i="18" s="1"/>
  <c r="AN141" i="18" s="1"/>
  <c r="AW34" i="18"/>
  <c r="AT61" i="18" s="1"/>
  <c r="AR89" i="18" s="1"/>
  <c r="AO115" i="18" s="1"/>
  <c r="AM141" i="18" s="1"/>
  <c r="AV34" i="18"/>
  <c r="AS61" i="18" s="1"/>
  <c r="AQ89" i="18" s="1"/>
  <c r="AN115" i="18" s="1"/>
  <c r="AL141" i="18" s="1"/>
  <c r="AS34" i="18"/>
  <c r="AP61" i="18" s="1"/>
  <c r="AN89" i="18" s="1"/>
  <c r="AK115" i="18" s="1"/>
  <c r="AI141" i="18" s="1"/>
  <c r="AR34" i="18"/>
  <c r="AO61" i="18" s="1"/>
  <c r="AM89" i="18" s="1"/>
  <c r="AJ115" i="18" s="1"/>
  <c r="BJ141" i="18" s="1"/>
  <c r="AQ34" i="18"/>
  <c r="AN61" i="18" s="1"/>
  <c r="AL89" i="18" s="1"/>
  <c r="AI115" i="18" s="1"/>
  <c r="BI141" i="18" s="1"/>
  <c r="AP34" i="18"/>
  <c r="AM61" i="18" s="1"/>
  <c r="AK89" i="18" s="1"/>
  <c r="BJ115" i="18" s="1"/>
  <c r="BH141" i="18" s="1"/>
  <c r="AO34" i="18"/>
  <c r="AL61" i="18" s="1"/>
  <c r="AJ89" i="18" s="1"/>
  <c r="BI115" i="18" s="1"/>
  <c r="BG141" i="18" s="1"/>
  <c r="AL34" i="18"/>
  <c r="AI61" i="18" s="1"/>
  <c r="BI89" i="18" s="1"/>
  <c r="BF115" i="18" s="1"/>
  <c r="BD141" i="18" s="1"/>
  <c r="AK34" i="18"/>
  <c r="BJ61" i="18" s="1"/>
  <c r="BH89" i="18" s="1"/>
  <c r="BE115" i="18" s="1"/>
  <c r="BC141" i="18" s="1"/>
  <c r="AJ34" i="18"/>
  <c r="BI61" i="18" s="1"/>
  <c r="BG89" i="18" s="1"/>
  <c r="BD115" i="18" s="1"/>
  <c r="BB141" i="18" s="1"/>
  <c r="BK33" i="18"/>
  <c r="BH60" i="18" s="1"/>
  <c r="BF88" i="18" s="1"/>
  <c r="BC114" i="18" s="1"/>
  <c r="BA140" i="18" s="1"/>
  <c r="BJ33" i="18"/>
  <c r="BG60" i="18" s="1"/>
  <c r="BE88" i="18" s="1"/>
  <c r="BB114" i="18" s="1"/>
  <c r="AZ140" i="18" s="1"/>
  <c r="BG33" i="18"/>
  <c r="BD60" i="18" s="1"/>
  <c r="BB88" i="18" s="1"/>
  <c r="AY114" i="18" s="1"/>
  <c r="AW140" i="18" s="1"/>
  <c r="BF33" i="18"/>
  <c r="BC60" i="18" s="1"/>
  <c r="BA88" i="18" s="1"/>
  <c r="AX114" i="18" s="1"/>
  <c r="AV140" i="18" s="1"/>
  <c r="BE33" i="18"/>
  <c r="BB60" i="18" s="1"/>
  <c r="AZ88" i="18" s="1"/>
  <c r="AW114" i="18" s="1"/>
  <c r="AU140" i="18" s="1"/>
  <c r="BD33" i="18"/>
  <c r="BA60" i="18" s="1"/>
  <c r="AY88" i="18" s="1"/>
  <c r="AV114" i="18" s="1"/>
  <c r="AT140" i="18" s="1"/>
  <c r="BC33" i="18"/>
  <c r="AZ60" i="18" s="1"/>
  <c r="AX88" i="18" s="1"/>
  <c r="AU114" i="18" s="1"/>
  <c r="AS140" i="18" s="1"/>
  <c r="AZ33" i="18"/>
  <c r="AW60" i="18" s="1"/>
  <c r="AU88" i="18" s="1"/>
  <c r="AR114" i="18" s="1"/>
  <c r="AP140" i="18" s="1"/>
  <c r="AY33" i="18"/>
  <c r="AV60" i="18" s="1"/>
  <c r="AT88" i="18" s="1"/>
  <c r="AQ114" i="18" s="1"/>
  <c r="AO140" i="18" s="1"/>
  <c r="AX33" i="18"/>
  <c r="AU60" i="18" s="1"/>
  <c r="AS88" i="18" s="1"/>
  <c r="AP114" i="18" s="1"/>
  <c r="AN140" i="18" s="1"/>
  <c r="AW33" i="18"/>
  <c r="AT60" i="18" s="1"/>
  <c r="AR88" i="18" s="1"/>
  <c r="AO114" i="18" s="1"/>
  <c r="AM140" i="18" s="1"/>
  <c r="AV33" i="18"/>
  <c r="AS60" i="18" s="1"/>
  <c r="AQ88" i="18" s="1"/>
  <c r="AN114" i="18" s="1"/>
  <c r="AL140" i="18" s="1"/>
  <c r="AS33" i="18"/>
  <c r="AP60" i="18" s="1"/>
  <c r="AN88" i="18" s="1"/>
  <c r="AK114" i="18" s="1"/>
  <c r="AI140" i="18" s="1"/>
  <c r="AR33" i="18"/>
  <c r="AO60" i="18" s="1"/>
  <c r="AM88" i="18" s="1"/>
  <c r="AJ114" i="18" s="1"/>
  <c r="BJ140" i="18" s="1"/>
  <c r="AQ33" i="18"/>
  <c r="AN60" i="18" s="1"/>
  <c r="AL88" i="18" s="1"/>
  <c r="AI114" i="18" s="1"/>
  <c r="BI140" i="18" s="1"/>
  <c r="AP33" i="18"/>
  <c r="AM60" i="18" s="1"/>
  <c r="AK88" i="18" s="1"/>
  <c r="BJ114" i="18" s="1"/>
  <c r="BH140" i="18" s="1"/>
  <c r="AO33" i="18"/>
  <c r="AL60" i="18" s="1"/>
  <c r="AJ88" i="18" s="1"/>
  <c r="AL33" i="18"/>
  <c r="AI60" i="18" s="1"/>
  <c r="BI88" i="18" s="1"/>
  <c r="BF114" i="18" s="1"/>
  <c r="BD140" i="18" s="1"/>
  <c r="AK33" i="18"/>
  <c r="BJ60" i="18" s="1"/>
  <c r="BH88" i="18" s="1"/>
  <c r="BE114" i="18" s="1"/>
  <c r="BC140" i="18" s="1"/>
  <c r="AJ30" i="18"/>
  <c r="AK30" i="18" s="1"/>
  <c r="AL30" i="18" s="1"/>
  <c r="AM30" i="18" s="1"/>
  <c r="AN30" i="18" s="1"/>
  <c r="AO30" i="18" s="1"/>
  <c r="AP30" i="18" s="1"/>
  <c r="AQ30" i="18" s="1"/>
  <c r="AR30" i="18" s="1"/>
  <c r="AS30" i="18" s="1"/>
  <c r="AT30" i="18" s="1"/>
  <c r="AU30" i="18" s="1"/>
  <c r="AV30" i="18" s="1"/>
  <c r="AW30" i="18" s="1"/>
  <c r="AX30" i="18" s="1"/>
  <c r="AY30" i="18" s="1"/>
  <c r="AZ30" i="18" s="1"/>
  <c r="BA30" i="18" s="1"/>
  <c r="BB30" i="18" s="1"/>
  <c r="BC30" i="18" s="1"/>
  <c r="BD30" i="18" s="1"/>
  <c r="BE30" i="18" s="1"/>
  <c r="BF30" i="18" s="1"/>
  <c r="BG30" i="18" s="1"/>
  <c r="BH30" i="18" s="1"/>
  <c r="BI30" i="18" s="1"/>
  <c r="BJ30" i="18" s="1"/>
  <c r="BK30" i="18" s="1"/>
  <c r="BL30" i="18" s="1"/>
  <c r="BM30" i="18" s="1"/>
  <c r="AB30" i="18"/>
  <c r="AB29" i="18" s="1"/>
  <c r="AA30" i="18"/>
  <c r="V30" i="18"/>
  <c r="W30" i="18" s="1"/>
  <c r="U30" i="18"/>
  <c r="O30" i="18"/>
  <c r="P30" i="18" s="1"/>
  <c r="I30" i="18"/>
  <c r="J30" i="18" s="1"/>
  <c r="J29" i="18" s="1"/>
  <c r="D30" i="18"/>
  <c r="D29" i="18" s="1"/>
  <c r="C30" i="18"/>
  <c r="AA29" i="18"/>
  <c r="Z29" i="18"/>
  <c r="U29" i="18"/>
  <c r="T29" i="18"/>
  <c r="O29" i="18"/>
  <c r="N29" i="18"/>
  <c r="I29" i="18"/>
  <c r="H29" i="18"/>
  <c r="C29" i="18"/>
  <c r="B29" i="18"/>
  <c r="AH23" i="18"/>
  <c r="AI6" i="18" s="1"/>
  <c r="AI23" i="18" s="1"/>
  <c r="AJ6" i="18" s="1"/>
  <c r="AJ23" i="18" s="1"/>
  <c r="AK6" i="18" s="1"/>
  <c r="AK23" i="18" s="1"/>
  <c r="AL6" i="18" s="1"/>
  <c r="AL23" i="18" s="1"/>
  <c r="AM6" i="18" s="1"/>
  <c r="AM23" i="18" s="1"/>
  <c r="AN6" i="18" s="1"/>
  <c r="AN23" i="18" s="1"/>
  <c r="AO6" i="18" s="1"/>
  <c r="AO23" i="18" s="1"/>
  <c r="AP6" i="18" s="1"/>
  <c r="AP23" i="18" s="1"/>
  <c r="AQ6" i="18" s="1"/>
  <c r="AQ23" i="18" s="1"/>
  <c r="AR6" i="18" s="1"/>
  <c r="AR23" i="18" s="1"/>
  <c r="AS6" i="18" s="1"/>
  <c r="AS23" i="18" s="1"/>
  <c r="AT6" i="18" s="1"/>
  <c r="AT23" i="18" s="1"/>
  <c r="AU6" i="18" s="1"/>
  <c r="AU23" i="18" s="1"/>
  <c r="AV6" i="18" s="1"/>
  <c r="AV23" i="18" s="1"/>
  <c r="AW6" i="18" s="1"/>
  <c r="AW23" i="18" s="1"/>
  <c r="AX6" i="18" s="1"/>
  <c r="AX23" i="18" s="1"/>
  <c r="AY6" i="18" s="1"/>
  <c r="AY23" i="18" s="1"/>
  <c r="AZ6" i="18" s="1"/>
  <c r="AZ23" i="18" s="1"/>
  <c r="BA6" i="18" s="1"/>
  <c r="BA23" i="18" s="1"/>
  <c r="BB6" i="18" s="1"/>
  <c r="BB23" i="18" s="1"/>
  <c r="BC6" i="18" s="1"/>
  <c r="BC23" i="18" s="1"/>
  <c r="BD6" i="18" s="1"/>
  <c r="BD23" i="18" s="1"/>
  <c r="BE6" i="18" s="1"/>
  <c r="BE23" i="18" s="1"/>
  <c r="BF6" i="18" s="1"/>
  <c r="BF23" i="18" s="1"/>
  <c r="BG6" i="18" s="1"/>
  <c r="BG23" i="18" s="1"/>
  <c r="BH6" i="18" s="1"/>
  <c r="BH23" i="18" s="1"/>
  <c r="BI6" i="18" s="1"/>
  <c r="BI23" i="18" s="1"/>
  <c r="BJ6" i="18" s="1"/>
  <c r="BJ23" i="18" s="1"/>
  <c r="BK6" i="18" s="1"/>
  <c r="BK23" i="18" s="1"/>
  <c r="BL6" i="18" s="1"/>
  <c r="BL23" i="18" s="1"/>
  <c r="BM6" i="18" s="1"/>
  <c r="BM23" i="18" s="1"/>
  <c r="AH31" i="18" s="1"/>
  <c r="AH48" i="18" s="1"/>
  <c r="AI31" i="18" s="1"/>
  <c r="AI48" i="18" s="1"/>
  <c r="AJ31" i="18" s="1"/>
  <c r="F23" i="18"/>
  <c r="E23" i="18"/>
  <c r="D23" i="18"/>
  <c r="C23" i="18"/>
  <c r="B23" i="18"/>
  <c r="H6" i="18"/>
  <c r="H23" i="18" s="1"/>
  <c r="I6" i="18" s="1"/>
  <c r="I23" i="18" s="1"/>
  <c r="J6" i="18" s="1"/>
  <c r="J23" i="18" s="1"/>
  <c r="K6" i="18" s="1"/>
  <c r="K23" i="18" s="1"/>
  <c r="L6" i="18" s="1"/>
  <c r="L23" i="18" s="1"/>
  <c r="N6" i="18" s="1"/>
  <c r="N23" i="18" s="1"/>
  <c r="O6" i="18" s="1"/>
  <c r="O23" i="18" s="1"/>
  <c r="P6" i="18" s="1"/>
  <c r="P23" i="18" s="1"/>
  <c r="Q6" i="18" s="1"/>
  <c r="Q23" i="18" s="1"/>
  <c r="R6" i="18" s="1"/>
  <c r="R23" i="18" s="1"/>
  <c r="T6" i="18" s="1"/>
  <c r="T23" i="18" s="1"/>
  <c r="U6" i="18" s="1"/>
  <c r="U23" i="18" s="1"/>
  <c r="V6" i="18" s="1"/>
  <c r="V23" i="18" s="1"/>
  <c r="W6" i="18" s="1"/>
  <c r="W23" i="18" s="1"/>
  <c r="X6" i="18" s="1"/>
  <c r="X23" i="18" s="1"/>
  <c r="Z6" i="18" s="1"/>
  <c r="Z23" i="18" s="1"/>
  <c r="AA6" i="18" s="1"/>
  <c r="AA23" i="18" s="1"/>
  <c r="AB6" i="18" s="1"/>
  <c r="AB23" i="18" s="1"/>
  <c r="AC6" i="18" s="1"/>
  <c r="AC23" i="18" s="1"/>
  <c r="AD6" i="18" s="1"/>
  <c r="AD23" i="18" s="1"/>
  <c r="AF6" i="18" s="1"/>
  <c r="AF23" i="18" s="1"/>
  <c r="AG6" i="18" s="1"/>
  <c r="AG23" i="18" s="1"/>
  <c r="AJ5" i="18"/>
  <c r="AK5" i="18" s="1"/>
  <c r="AL5" i="18" s="1"/>
  <c r="AM5" i="18" s="1"/>
  <c r="AN5" i="18" s="1"/>
  <c r="AO5" i="18" s="1"/>
  <c r="AP5" i="18" s="1"/>
  <c r="AQ5" i="18" s="1"/>
  <c r="AR5" i="18" s="1"/>
  <c r="AS5" i="18" s="1"/>
  <c r="AT5" i="18" s="1"/>
  <c r="AU5" i="18" s="1"/>
  <c r="AV5" i="18" s="1"/>
  <c r="AW5" i="18" s="1"/>
  <c r="AX5" i="18" s="1"/>
  <c r="AY5" i="18" s="1"/>
  <c r="AZ5" i="18" s="1"/>
  <c r="BA5" i="18" s="1"/>
  <c r="BB5" i="18" s="1"/>
  <c r="BC5" i="18" s="1"/>
  <c r="BD5" i="18" s="1"/>
  <c r="BE5" i="18" s="1"/>
  <c r="BF5" i="18" s="1"/>
  <c r="BG5" i="18" s="1"/>
  <c r="BH5" i="18" s="1"/>
  <c r="BI5" i="18" s="1"/>
  <c r="BJ5" i="18" s="1"/>
  <c r="BK5" i="18" s="1"/>
  <c r="BL5" i="18" s="1"/>
  <c r="BM5" i="18" s="1"/>
  <c r="AA5" i="18"/>
  <c r="AA4" i="18" s="1"/>
  <c r="U5" i="18"/>
  <c r="V5" i="18" s="1"/>
  <c r="O5" i="18"/>
  <c r="P5" i="18" s="1"/>
  <c r="I5" i="18"/>
  <c r="I4" i="18" s="1"/>
  <c r="C5" i="18"/>
  <c r="C4" i="18" s="1"/>
  <c r="Z4" i="18"/>
  <c r="U4" i="18"/>
  <c r="T4" i="18"/>
  <c r="N4" i="18"/>
  <c r="H4" i="18"/>
  <c r="B4" i="18"/>
  <c r="K57" i="18" l="1"/>
  <c r="K56" i="18" s="1"/>
  <c r="J56" i="18"/>
  <c r="Q5" i="18"/>
  <c r="P4" i="18"/>
  <c r="P29" i="18"/>
  <c r="Q30" i="18"/>
  <c r="R57" i="18"/>
  <c r="R56" i="18" s="1"/>
  <c r="Q56" i="18"/>
  <c r="Q85" i="18"/>
  <c r="P84" i="18"/>
  <c r="E57" i="18"/>
  <c r="E56" i="18" s="1"/>
  <c r="D56" i="18"/>
  <c r="O4" i="18"/>
  <c r="J5" i="18"/>
  <c r="AC30" i="18"/>
  <c r="AC29" i="18" s="1"/>
  <c r="W56" i="18"/>
  <c r="C84" i="18"/>
  <c r="V84" i="18"/>
  <c r="J110" i="18"/>
  <c r="AB57" i="18"/>
  <c r="AB85" i="18"/>
  <c r="AB84" i="18" s="1"/>
  <c r="D5" i="18"/>
  <c r="AB5" i="18"/>
  <c r="AB4" i="18" s="1"/>
  <c r="E30" i="18"/>
  <c r="E29" i="18" s="1"/>
  <c r="AI119" i="18"/>
  <c r="BI145" i="18" s="1"/>
  <c r="AI122" i="18"/>
  <c r="AI125" i="18"/>
  <c r="BI150" i="18" s="1"/>
  <c r="Q111" i="18"/>
  <c r="AJ48" i="18"/>
  <c r="AK31" i="18" s="1"/>
  <c r="AK48" i="18" s="1"/>
  <c r="AL31" i="18" s="1"/>
  <c r="AL48" i="18" s="1"/>
  <c r="AM31" i="18" s="1"/>
  <c r="AM48" i="18" s="1"/>
  <c r="AN31" i="18" s="1"/>
  <c r="AN48" i="18" s="1"/>
  <c r="AO31" i="18" s="1"/>
  <c r="AO48" i="18" s="1"/>
  <c r="AP31" i="18" s="1"/>
  <c r="AP48" i="18" s="1"/>
  <c r="AQ31" i="18" s="1"/>
  <c r="AQ48" i="18" s="1"/>
  <c r="AR31" i="18" s="1"/>
  <c r="AR48" i="18" s="1"/>
  <c r="AS31" i="18" s="1"/>
  <c r="AS48" i="18" s="1"/>
  <c r="AT31" i="18" s="1"/>
  <c r="AT48" i="18" s="1"/>
  <c r="AU31" i="18" s="1"/>
  <c r="AU48" i="18" s="1"/>
  <c r="AV31" i="18" s="1"/>
  <c r="AV48" i="18" s="1"/>
  <c r="AW31" i="18" s="1"/>
  <c r="AW48" i="18" s="1"/>
  <c r="AX31" i="18" s="1"/>
  <c r="AX48" i="18" s="1"/>
  <c r="AY31" i="18" s="1"/>
  <c r="AY48" i="18" s="1"/>
  <c r="AZ31" i="18" s="1"/>
  <c r="AZ48" i="18" s="1"/>
  <c r="BA31" i="18" s="1"/>
  <c r="BA48" i="18" s="1"/>
  <c r="BB31" i="18" s="1"/>
  <c r="BB48" i="18" s="1"/>
  <c r="BC31" i="18" s="1"/>
  <c r="BC48" i="18" s="1"/>
  <c r="BD31" i="18" s="1"/>
  <c r="BD48" i="18" s="1"/>
  <c r="BE31" i="18" s="1"/>
  <c r="BE48" i="18" s="1"/>
  <c r="BF31" i="18" s="1"/>
  <c r="BF48" i="18" s="1"/>
  <c r="BG31" i="18" s="1"/>
  <c r="BG48" i="18" s="1"/>
  <c r="BH31" i="18" s="1"/>
  <c r="BH48" i="18" s="1"/>
  <c r="BI31" i="18" s="1"/>
  <c r="BI48" i="18" s="1"/>
  <c r="BJ31" i="18" s="1"/>
  <c r="BJ48" i="18" s="1"/>
  <c r="BK31" i="18" s="1"/>
  <c r="BK48" i="18" s="1"/>
  <c r="BL31" i="18" s="1"/>
  <c r="BL48" i="18" s="1"/>
  <c r="BM31" i="18" s="1"/>
  <c r="BM48" i="18" s="1"/>
  <c r="AH58" i="18" s="1"/>
  <c r="AH75" i="18" s="1"/>
  <c r="AI58" i="18" s="1"/>
  <c r="AI75" i="18" s="1"/>
  <c r="AJ58" i="18" s="1"/>
  <c r="AJ75" i="18" s="1"/>
  <c r="AK58" i="18" s="1"/>
  <c r="AK75" i="18" s="1"/>
  <c r="AL58" i="18" s="1"/>
  <c r="AL75" i="18" s="1"/>
  <c r="AM58" i="18" s="1"/>
  <c r="AM75" i="18" s="1"/>
  <c r="AN58" i="18" s="1"/>
  <c r="AN75" i="18" s="1"/>
  <c r="AO58" i="18" s="1"/>
  <c r="AO75" i="18" s="1"/>
  <c r="AP58" i="18" s="1"/>
  <c r="AP75" i="18" s="1"/>
  <c r="AQ58" i="18" s="1"/>
  <c r="AQ75" i="18" s="1"/>
  <c r="AR58" i="18" s="1"/>
  <c r="AR75" i="18" s="1"/>
  <c r="AS58" i="18" s="1"/>
  <c r="AS75" i="18" s="1"/>
  <c r="AT58" i="18" s="1"/>
  <c r="AT75" i="18" s="1"/>
  <c r="AU58" i="18" s="1"/>
  <c r="AU75" i="18" s="1"/>
  <c r="AV58" i="18" s="1"/>
  <c r="AV75" i="18" s="1"/>
  <c r="AW58" i="18" s="1"/>
  <c r="AW75" i="18" s="1"/>
  <c r="AX58" i="18" s="1"/>
  <c r="AX75" i="18" s="1"/>
  <c r="AY58" i="18" s="1"/>
  <c r="AY75" i="18" s="1"/>
  <c r="AZ58" i="18" s="1"/>
  <c r="AZ75" i="18" s="1"/>
  <c r="BA58" i="18" s="1"/>
  <c r="BA75" i="18" s="1"/>
  <c r="BB58" i="18" s="1"/>
  <c r="BB75" i="18" s="1"/>
  <c r="BC58" i="18" s="1"/>
  <c r="BC75" i="18" s="1"/>
  <c r="BD58" i="18" s="1"/>
  <c r="BD75" i="18" s="1"/>
  <c r="BE58" i="18" s="1"/>
  <c r="BE75" i="18" s="1"/>
  <c r="BF58" i="18" s="1"/>
  <c r="BF75" i="18" s="1"/>
  <c r="BG58" i="18" s="1"/>
  <c r="BG75" i="18" s="1"/>
  <c r="BH58" i="18" s="1"/>
  <c r="BH75" i="18" s="1"/>
  <c r="BI58" i="18" s="1"/>
  <c r="BI75" i="18" s="1"/>
  <c r="BJ58" i="18" s="1"/>
  <c r="BJ75" i="18" s="1"/>
  <c r="BK58" i="18" s="1"/>
  <c r="BK75" i="18" s="1"/>
  <c r="BL58" i="18" s="1"/>
  <c r="BL75" i="18" s="1"/>
  <c r="X30" i="18"/>
  <c r="X29" i="18" s="1"/>
  <c r="W29" i="18"/>
  <c r="D4" i="18"/>
  <c r="E5" i="18"/>
  <c r="F30" i="18"/>
  <c r="F29" i="18" s="1"/>
  <c r="V29" i="18"/>
  <c r="J84" i="18"/>
  <c r="K85" i="18"/>
  <c r="R5" i="18"/>
  <c r="R4" i="18" s="1"/>
  <c r="Q4" i="18"/>
  <c r="W5" i="18"/>
  <c r="V4" i="18"/>
  <c r="BI114" i="18"/>
  <c r="BG140" i="18" s="1"/>
  <c r="AJ103" i="18"/>
  <c r="AK86" i="18" s="1"/>
  <c r="AK103" i="18" s="1"/>
  <c r="AL86" i="18" s="1"/>
  <c r="AL103" i="18" s="1"/>
  <c r="AM86" i="18" s="1"/>
  <c r="AM103" i="18" s="1"/>
  <c r="AN86" i="18" s="1"/>
  <c r="AN103" i="18" s="1"/>
  <c r="AO86" i="18" s="1"/>
  <c r="AO103" i="18" s="1"/>
  <c r="AP86" i="18" s="1"/>
  <c r="AP103" i="18" s="1"/>
  <c r="AQ86" i="18" s="1"/>
  <c r="AQ103" i="18" s="1"/>
  <c r="AR86" i="18" s="1"/>
  <c r="AR103" i="18" s="1"/>
  <c r="AS86" i="18" s="1"/>
  <c r="AS103" i="18" s="1"/>
  <c r="AT86" i="18" s="1"/>
  <c r="AT103" i="18" s="1"/>
  <c r="AU86" i="18" s="1"/>
  <c r="AU103" i="18" s="1"/>
  <c r="AV86" i="18" s="1"/>
  <c r="AV103" i="18" s="1"/>
  <c r="AW86" i="18" s="1"/>
  <c r="AW103" i="18" s="1"/>
  <c r="AX86" i="18" s="1"/>
  <c r="AX103" i="18" s="1"/>
  <c r="AY86" i="18" s="1"/>
  <c r="AY103" i="18" s="1"/>
  <c r="AZ86" i="18" s="1"/>
  <c r="AZ103" i="18" s="1"/>
  <c r="BA86" i="18" s="1"/>
  <c r="BA103" i="18" s="1"/>
  <c r="BB86" i="18" s="1"/>
  <c r="BB103" i="18" s="1"/>
  <c r="BC86" i="18" s="1"/>
  <c r="BC103" i="18" s="1"/>
  <c r="BD86" i="18" s="1"/>
  <c r="BD103" i="18" s="1"/>
  <c r="BE86" i="18" s="1"/>
  <c r="BE103" i="18" s="1"/>
  <c r="BF86" i="18" s="1"/>
  <c r="BF103" i="18" s="1"/>
  <c r="BG86" i="18" s="1"/>
  <c r="BG103" i="18" s="1"/>
  <c r="BH86" i="18" s="1"/>
  <c r="BH103" i="18" s="1"/>
  <c r="BI86" i="18" s="1"/>
  <c r="BI103" i="18" s="1"/>
  <c r="BJ86" i="18" s="1"/>
  <c r="BJ103" i="18" s="1"/>
  <c r="BK86" i="18" s="1"/>
  <c r="BK103" i="18" s="1"/>
  <c r="BL86" i="18" s="1"/>
  <c r="BL103" i="18" s="1"/>
  <c r="BM86" i="18" s="1"/>
  <c r="BM103" i="18" s="1"/>
  <c r="AH112" i="18" s="1"/>
  <c r="AH129" i="18" s="1"/>
  <c r="AI112" i="18" s="1"/>
  <c r="X85" i="18"/>
  <c r="X84" i="18" s="1"/>
  <c r="W84" i="18"/>
  <c r="K30" i="18"/>
  <c r="F57" i="18"/>
  <c r="F56" i="18" s="1"/>
  <c r="L57" i="18"/>
  <c r="L56" i="18" s="1"/>
  <c r="F111" i="18"/>
  <c r="F110" i="18" s="1"/>
  <c r="E110" i="18"/>
  <c r="AD111" i="18"/>
  <c r="AC110" i="18"/>
  <c r="E85" i="18"/>
  <c r="AC85" i="18"/>
  <c r="C110" i="18"/>
  <c r="AA110" i="18"/>
  <c r="D110" i="18"/>
  <c r="AB110" i="18"/>
  <c r="K110" i="18"/>
  <c r="L111" i="18"/>
  <c r="L110" i="18" s="1"/>
  <c r="V111" i="18"/>
  <c r="U110" i="18"/>
  <c r="C136" i="18"/>
  <c r="D137" i="18"/>
  <c r="O136" i="18"/>
  <c r="AA136" i="18"/>
  <c r="AB137" i="18"/>
  <c r="Q137" i="18"/>
  <c r="P136" i="18"/>
  <c r="V137" i="18"/>
  <c r="U136" i="18"/>
  <c r="K5" i="18" l="1"/>
  <c r="J4" i="18"/>
  <c r="R30" i="18"/>
  <c r="R29" i="18" s="1"/>
  <c r="Q29" i="18"/>
  <c r="AC57" i="18"/>
  <c r="AB56" i="18"/>
  <c r="AI129" i="18"/>
  <c r="AJ112" i="18" s="1"/>
  <c r="AJ129" i="18" s="1"/>
  <c r="AK112" i="18" s="1"/>
  <c r="AK129" i="18" s="1"/>
  <c r="AL112" i="18" s="1"/>
  <c r="AL129" i="18" s="1"/>
  <c r="AM112" i="18" s="1"/>
  <c r="AM129" i="18" s="1"/>
  <c r="AN112" i="18" s="1"/>
  <c r="AN129" i="18" s="1"/>
  <c r="AO112" i="18" s="1"/>
  <c r="AO129" i="18" s="1"/>
  <c r="AP112" i="18" s="1"/>
  <c r="AP129" i="18" s="1"/>
  <c r="AQ112" i="18" s="1"/>
  <c r="AQ129" i="18" s="1"/>
  <c r="AR112" i="18" s="1"/>
  <c r="AR129" i="18" s="1"/>
  <c r="AS112" i="18" s="1"/>
  <c r="AS129" i="18" s="1"/>
  <c r="AT112" i="18" s="1"/>
  <c r="AT129" i="18" s="1"/>
  <c r="AU112" i="18" s="1"/>
  <c r="AU129" i="18" s="1"/>
  <c r="AV112" i="18" s="1"/>
  <c r="AV129" i="18" s="1"/>
  <c r="AW112" i="18" s="1"/>
  <c r="AW129" i="18" s="1"/>
  <c r="AX112" i="18" s="1"/>
  <c r="AX129" i="18" s="1"/>
  <c r="AY112" i="18" s="1"/>
  <c r="AY129" i="18" s="1"/>
  <c r="AZ112" i="18" s="1"/>
  <c r="AZ129" i="18" s="1"/>
  <c r="BA112" i="18" s="1"/>
  <c r="BA129" i="18" s="1"/>
  <c r="BB112" i="18" s="1"/>
  <c r="BB129" i="18" s="1"/>
  <c r="BC112" i="18" s="1"/>
  <c r="BC129" i="18" s="1"/>
  <c r="BD112" i="18" s="1"/>
  <c r="BD129" i="18" s="1"/>
  <c r="BE112" i="18" s="1"/>
  <c r="BE129" i="18" s="1"/>
  <c r="BF112" i="18" s="1"/>
  <c r="BF129" i="18" s="1"/>
  <c r="BG112" i="18" s="1"/>
  <c r="BG129" i="18" s="1"/>
  <c r="BH112" i="18" s="1"/>
  <c r="BH129" i="18" s="1"/>
  <c r="BI112" i="18" s="1"/>
  <c r="BI129" i="18" s="1"/>
  <c r="BJ112" i="18" s="1"/>
  <c r="BJ129" i="18" s="1"/>
  <c r="BK112" i="18" s="1"/>
  <c r="BK129" i="18" s="1"/>
  <c r="BL112" i="18" s="1"/>
  <c r="BL129" i="18" s="1"/>
  <c r="AC5" i="18"/>
  <c r="AD5" i="18" s="1"/>
  <c r="AD30" i="18"/>
  <c r="R111" i="18"/>
  <c r="R110" i="18" s="1"/>
  <c r="Q110" i="18"/>
  <c r="R85" i="18"/>
  <c r="R84" i="18" s="1"/>
  <c r="Q84" i="18"/>
  <c r="W111" i="18"/>
  <c r="V110" i="18"/>
  <c r="L30" i="18"/>
  <c r="L29" i="18" s="1"/>
  <c r="K29" i="18"/>
  <c r="Q136" i="18"/>
  <c r="R137" i="18"/>
  <c r="R136" i="18" s="1"/>
  <c r="E137" i="18"/>
  <c r="D136" i="18"/>
  <c r="AC137" i="18"/>
  <c r="AB136" i="18"/>
  <c r="AD110" i="18"/>
  <c r="AF111" i="18"/>
  <c r="X5" i="18"/>
  <c r="X4" i="18" s="1"/>
  <c r="W4" i="18"/>
  <c r="E84" i="18"/>
  <c r="F85" i="18"/>
  <c r="F84" i="18" s="1"/>
  <c r="W137" i="18"/>
  <c r="V136" i="18"/>
  <c r="AC84" i="18"/>
  <c r="AD85" i="18"/>
  <c r="L85" i="18"/>
  <c r="L84" i="18" s="1"/>
  <c r="K84" i="18"/>
  <c r="AF30" i="18"/>
  <c r="AD29" i="18"/>
  <c r="F5" i="18"/>
  <c r="F4" i="18" s="1"/>
  <c r="E4" i="18"/>
  <c r="AC4" i="18" l="1"/>
  <c r="AC56" i="18"/>
  <c r="AD57" i="18"/>
  <c r="L5" i="18"/>
  <c r="L4" i="18" s="1"/>
  <c r="K4" i="18"/>
  <c r="AG30" i="18"/>
  <c r="AG29" i="18" s="1"/>
  <c r="AF29" i="18"/>
  <c r="AH138" i="18"/>
  <c r="AH154" i="18" s="1"/>
  <c r="AI138" i="18" s="1"/>
  <c r="AI154" i="18" s="1"/>
  <c r="AJ138" i="18" s="1"/>
  <c r="AJ154" i="18" s="1"/>
  <c r="AK138" i="18" s="1"/>
  <c r="AK154" i="18" s="1"/>
  <c r="AL138" i="18" s="1"/>
  <c r="AL154" i="18" s="1"/>
  <c r="AM138" i="18" s="1"/>
  <c r="AM154" i="18" s="1"/>
  <c r="AN138" i="18" s="1"/>
  <c r="AN154" i="18" s="1"/>
  <c r="AO138" i="18" s="1"/>
  <c r="AO154" i="18" s="1"/>
  <c r="AP138" i="18" s="1"/>
  <c r="AP154" i="18" s="1"/>
  <c r="AQ138" i="18" s="1"/>
  <c r="AQ154" i="18" s="1"/>
  <c r="AR138" i="18" s="1"/>
  <c r="AR154" i="18" s="1"/>
  <c r="AS138" i="18" s="1"/>
  <c r="AS154" i="18" s="1"/>
  <c r="AT138" i="18" s="1"/>
  <c r="AT154" i="18" s="1"/>
  <c r="AU138" i="18" s="1"/>
  <c r="AU154" i="18" s="1"/>
  <c r="AV138" i="18" s="1"/>
  <c r="AV154" i="18" s="1"/>
  <c r="AW138" i="18" s="1"/>
  <c r="AW154" i="18" s="1"/>
  <c r="AX138" i="18" s="1"/>
  <c r="AX154" i="18" s="1"/>
  <c r="AY138" i="18" s="1"/>
  <c r="AY154" i="18" s="1"/>
  <c r="AZ138" i="18" s="1"/>
  <c r="AZ154" i="18" s="1"/>
  <c r="BA138" i="18" s="1"/>
  <c r="BA154" i="18" s="1"/>
  <c r="BB138" i="18" s="1"/>
  <c r="BB154" i="18" s="1"/>
  <c r="BC138" i="18" s="1"/>
  <c r="BC154" i="18" s="1"/>
  <c r="BD138" i="18" s="1"/>
  <c r="BD154" i="18" s="1"/>
  <c r="BE138" i="18" s="1"/>
  <c r="BE154" i="18" s="1"/>
  <c r="BF138" i="18" s="1"/>
  <c r="BF154" i="18" s="1"/>
  <c r="BG138" i="18" s="1"/>
  <c r="BG154" i="18" s="1"/>
  <c r="BH138" i="18" s="1"/>
  <c r="BH154" i="18" s="1"/>
  <c r="BI138" i="18" s="1"/>
  <c r="BI154" i="18" s="1"/>
  <c r="BJ138" i="18" s="1"/>
  <c r="BJ154" i="18" s="1"/>
  <c r="BK138" i="18" s="1"/>
  <c r="BK154" i="18" s="1"/>
  <c r="BL138" i="18" s="1"/>
  <c r="BL154" i="18" s="1"/>
  <c r="BM138" i="18" s="1"/>
  <c r="BM112" i="18"/>
  <c r="AC136" i="18"/>
  <c r="AD137" i="18"/>
  <c r="E136" i="18"/>
  <c r="F137" i="18"/>
  <c r="F136" i="18" s="1"/>
  <c r="AF85" i="18"/>
  <c r="AD84" i="18"/>
  <c r="AG111" i="18"/>
  <c r="AG110" i="18" s="1"/>
  <c r="AF110" i="18"/>
  <c r="AD4" i="18"/>
  <c r="AF5" i="18"/>
  <c r="W136" i="18"/>
  <c r="X137" i="18"/>
  <c r="X136" i="18" s="1"/>
  <c r="X111" i="18"/>
  <c r="X110" i="18" s="1"/>
  <c r="W110" i="18"/>
  <c r="AF57" i="18" l="1"/>
  <c r="AD56" i="18"/>
  <c r="AF4" i="18"/>
  <c r="AG5" i="18"/>
  <c r="AG4" i="18" s="1"/>
  <c r="AD136" i="18"/>
  <c r="AF137" i="18"/>
  <c r="AG85" i="18"/>
  <c r="AG84" i="18" s="1"/>
  <c r="AF84" i="18"/>
  <c r="AG57" i="18" l="1"/>
  <c r="AG56" i="18" s="1"/>
  <c r="AF56" i="18"/>
  <c r="AF136" i="18"/>
  <c r="AG137" i="18"/>
  <c r="AG136" i="18" s="1"/>
  <c r="EN8" i="13"/>
  <c r="FO8" i="13" s="1"/>
  <c r="ER8" i="13"/>
  <c r="FR8" i="13" s="1"/>
  <c r="ED8" i="13"/>
  <c r="FD8" i="13" s="1"/>
  <c r="CK14" i="13"/>
  <c r="BU14" i="13"/>
  <c r="DM11" i="13"/>
  <c r="DN8" i="13"/>
  <c r="EO8" i="13" s="1"/>
  <c r="FP8" i="13" s="1"/>
  <c r="FP11" i="13" s="1"/>
  <c r="DA8" i="13"/>
  <c r="EB8" i="13" s="1"/>
  <c r="FC8" i="13" s="1"/>
  <c r="FC11" i="13" s="1"/>
  <c r="CX8" i="13"/>
  <c r="CX11" i="13" s="1"/>
  <c r="CW8" i="13"/>
  <c r="CW11" i="13" s="1"/>
  <c r="CQ8" i="13"/>
  <c r="CQ11" i="13" s="1"/>
  <c r="DJ11" i="13"/>
  <c r="DP11" i="13"/>
  <c r="DC11" i="13"/>
  <c r="DB8" i="13"/>
  <c r="DB11" i="13" s="1"/>
  <c r="CV11" i="13"/>
  <c r="CU8" i="13"/>
  <c r="CU11" i="13" s="1"/>
  <c r="CO11" i="13"/>
  <c r="BL8" i="13"/>
  <c r="BL11" i="13" s="1"/>
  <c r="BL14" i="13" s="1"/>
  <c r="BN8" i="13"/>
  <c r="BM8" i="13"/>
  <c r="CM8" i="13"/>
  <c r="CM11" i="13" s="1"/>
  <c r="CM14" i="13" s="1"/>
  <c r="BM11" i="13"/>
  <c r="BM14" i="13" s="1"/>
  <c r="CA11" i="13"/>
  <c r="CA14" i="13" s="1"/>
  <c r="BU11" i="13"/>
  <c r="CL11" i="13"/>
  <c r="CL14" i="13" s="1"/>
  <c r="CH11" i="13"/>
  <c r="CH14" i="13" s="1"/>
  <c r="CB11" i="13"/>
  <c r="CB14" i="13" s="1"/>
  <c r="BT11" i="13"/>
  <c r="BT14" i="13" s="1"/>
  <c r="BN11" i="13"/>
  <c r="BN14" i="13" s="1"/>
  <c r="BJ8" i="13"/>
  <c r="BI8" i="13"/>
  <c r="BI11" i="13" s="1"/>
  <c r="BH8" i="13"/>
  <c r="BG8" i="13"/>
  <c r="CG8" i="13" s="1"/>
  <c r="CG11" i="13" s="1"/>
  <c r="CG14" i="13" s="1"/>
  <c r="BF8" i="13"/>
  <c r="CI8" i="13" s="1"/>
  <c r="CI11" i="13" s="1"/>
  <c r="CI14" i="13" s="1"/>
  <c r="BE8" i="13"/>
  <c r="BE11" i="13" s="1"/>
  <c r="BD8" i="13"/>
  <c r="CD8" i="13" s="1"/>
  <c r="BC8" i="13"/>
  <c r="BC11" i="13" s="1"/>
  <c r="BB8" i="13"/>
  <c r="BA8" i="13"/>
  <c r="AZ8" i="13"/>
  <c r="BZ8" i="13" s="1"/>
  <c r="BZ11" i="13" s="1"/>
  <c r="BZ14" i="13" s="1"/>
  <c r="AY8" i="13"/>
  <c r="AY11" i="13" s="1"/>
  <c r="AX8" i="13"/>
  <c r="BX8" i="13" s="1"/>
  <c r="AW8" i="13"/>
  <c r="BW8" i="13" s="1"/>
  <c r="BW11" i="13" s="1"/>
  <c r="BW14" i="13" s="1"/>
  <c r="AV8" i="13"/>
  <c r="BV8" i="13" s="1"/>
  <c r="BV11" i="13" s="1"/>
  <c r="BV14" i="13" s="1"/>
  <c r="AU8" i="13"/>
  <c r="AU11" i="13" s="1"/>
  <c r="AT8" i="13"/>
  <c r="AS8" i="13"/>
  <c r="BS8" i="13" s="1"/>
  <c r="BS11" i="13" s="1"/>
  <c r="BS14" i="13" s="1"/>
  <c r="AR8" i="13"/>
  <c r="BR8" i="13" s="1"/>
  <c r="AQ8" i="13"/>
  <c r="BQ8" i="13" s="1"/>
  <c r="BQ11" i="13" s="1"/>
  <c r="BQ14" i="13" s="1"/>
  <c r="AP8" i="13"/>
  <c r="BP8" i="13" s="1"/>
  <c r="BP11" i="13" s="1"/>
  <c r="BP14" i="13" s="1"/>
  <c r="AO8" i="13"/>
  <c r="BO8" i="13" s="1"/>
  <c r="BO11" i="13" s="1"/>
  <c r="BO14" i="13" s="1"/>
  <c r="AN8" i="13"/>
  <c r="AN11" i="13" s="1"/>
  <c r="AM8" i="13"/>
  <c r="AM11" i="13" s="1"/>
  <c r="AL8" i="13"/>
  <c r="AK8" i="13"/>
  <c r="CK8" i="13" s="1"/>
  <c r="CK11" i="13" s="1"/>
  <c r="BB11" i="13"/>
  <c r="AT11" i="13"/>
  <c r="AP11" i="13"/>
  <c r="AL11" i="13"/>
  <c r="AJ8" i="13"/>
  <c r="AJ11" i="13" s="1"/>
  <c r="AI8" i="13"/>
  <c r="BJ11" i="13"/>
  <c r="BH11" i="13"/>
  <c r="BG11" i="13"/>
  <c r="BF11" i="13"/>
  <c r="AX11" i="13"/>
  <c r="BD11" i="13"/>
  <c r="BA11" i="13"/>
  <c r="AS11" i="13"/>
  <c r="AR11" i="13"/>
  <c r="AK11" i="13"/>
  <c r="CY8" i="13" l="1"/>
  <c r="CY11" i="13" s="1"/>
  <c r="BX11" i="13"/>
  <c r="BX14" i="13" s="1"/>
  <c r="BR11" i="13"/>
  <c r="BR14" i="13" s="1"/>
  <c r="CS8" i="13"/>
  <c r="CD11" i="13"/>
  <c r="CD14" i="13" s="1"/>
  <c r="DE8" i="13"/>
  <c r="DE11" i="13" s="1"/>
  <c r="DA11" i="13"/>
  <c r="CR8" i="13"/>
  <c r="DH8" i="13"/>
  <c r="AV11" i="13"/>
  <c r="DI8" i="13"/>
  <c r="DO8" i="13"/>
  <c r="AQ11" i="13"/>
  <c r="AZ11" i="13"/>
  <c r="DN11" i="13"/>
  <c r="CP8" i="13"/>
  <c r="CT8" i="13"/>
  <c r="DU8" i="13" s="1"/>
  <c r="EV8" i="13" s="1"/>
  <c r="EV11" i="13" s="1"/>
  <c r="DL8" i="13"/>
  <c r="EM8" i="13" s="1"/>
  <c r="FN8" i="13" s="1"/>
  <c r="DW8" i="13"/>
  <c r="EW8" i="13" s="1"/>
  <c r="DX8" i="13"/>
  <c r="EI8" i="13"/>
  <c r="FJ8" i="13" s="1"/>
  <c r="EO11" i="13"/>
  <c r="DY8" i="13"/>
  <c r="DU11" i="13"/>
  <c r="EM11" i="13"/>
  <c r="FN11" i="13"/>
  <c r="EB11" i="13"/>
  <c r="DL11" i="13"/>
  <c r="CT11" i="13"/>
  <c r="DZ8" i="13"/>
  <c r="EF8" i="13"/>
  <c r="FG8" i="13" s="1"/>
  <c r="ET8" i="13"/>
  <c r="FU8" i="13" s="1"/>
  <c r="AO11" i="13"/>
  <c r="BY8" i="13"/>
  <c r="CE8" i="13"/>
  <c r="AW11" i="13"/>
  <c r="CF8" i="13"/>
  <c r="CJ8" i="13"/>
  <c r="CC8" i="13"/>
  <c r="CN8" i="13"/>
  <c r="BK8" i="13"/>
  <c r="BK11" i="13" s="1"/>
  <c r="BK13" i="13" s="1"/>
  <c r="BK14" i="13" s="1"/>
  <c r="AI11" i="13"/>
  <c r="AG8" i="13"/>
  <c r="AG11" i="13" s="1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N11" i="13" l="1"/>
  <c r="DQ8" i="13"/>
  <c r="CJ11" i="13"/>
  <c r="CJ14" i="13" s="1"/>
  <c r="DK8" i="13"/>
  <c r="BY11" i="13"/>
  <c r="BY14" i="13" s="1"/>
  <c r="CZ8" i="13"/>
  <c r="EY8" i="13"/>
  <c r="EY11" i="13" s="1"/>
  <c r="DX11" i="13"/>
  <c r="CP11" i="13"/>
  <c r="ES8" i="13"/>
  <c r="EP8" i="13"/>
  <c r="DO11" i="13"/>
  <c r="DS8" i="13"/>
  <c r="CR11" i="13"/>
  <c r="DT8" i="13"/>
  <c r="CS11" i="13"/>
  <c r="CF11" i="13"/>
  <c r="CF14" i="13" s="1"/>
  <c r="DG8" i="13"/>
  <c r="DI11" i="13"/>
  <c r="EK8" i="13"/>
  <c r="FK8" i="13" s="1"/>
  <c r="CC11" i="13"/>
  <c r="CC14" i="13" s="1"/>
  <c r="DD8" i="13"/>
  <c r="CE11" i="13"/>
  <c r="CE14" i="13" s="1"/>
  <c r="DF8" i="13"/>
  <c r="EJ8" i="13"/>
  <c r="DH11" i="13"/>
  <c r="DZ11" i="13"/>
  <c r="FA8" i="13"/>
  <c r="FA11" i="13" s="1"/>
  <c r="DY11" i="13"/>
  <c r="EZ8" i="13"/>
  <c r="EZ11" i="13" s="1"/>
  <c r="EF11" i="13"/>
  <c r="ET11" i="13"/>
  <c r="FU11" i="13"/>
  <c r="X473" i="11"/>
  <c r="X472" i="11"/>
  <c r="X471" i="11"/>
  <c r="X470" i="11"/>
  <c r="X469" i="11"/>
  <c r="X468" i="11"/>
  <c r="X467" i="11"/>
  <c r="X466" i="11"/>
  <c r="X465" i="11"/>
  <c r="X464" i="11"/>
  <c r="X463" i="11"/>
  <c r="X462" i="11"/>
  <c r="X461" i="11"/>
  <c r="X460" i="11"/>
  <c r="X459" i="11"/>
  <c r="X458" i="11"/>
  <c r="X457" i="11"/>
  <c r="X456" i="11"/>
  <c r="X455" i="11"/>
  <c r="X454" i="11"/>
  <c r="X453" i="11"/>
  <c r="X452" i="11"/>
  <c r="X451" i="11"/>
  <c r="X450" i="11"/>
  <c r="X449" i="11"/>
  <c r="X448" i="11"/>
  <c r="X447" i="11"/>
  <c r="X446" i="11"/>
  <c r="X445" i="11"/>
  <c r="X444" i="11"/>
  <c r="X443" i="11"/>
  <c r="X442" i="11"/>
  <c r="X441" i="11"/>
  <c r="X440" i="11"/>
  <c r="X439" i="11"/>
  <c r="X438" i="11"/>
  <c r="X437" i="11"/>
  <c r="X436" i="11"/>
  <c r="X435" i="11"/>
  <c r="X434" i="11"/>
  <c r="X433" i="11"/>
  <c r="X432" i="11"/>
  <c r="X431" i="11"/>
  <c r="X430" i="11"/>
  <c r="X429" i="11"/>
  <c r="X428" i="11"/>
  <c r="X427" i="11"/>
  <c r="X426" i="11"/>
  <c r="X425" i="11"/>
  <c r="X424" i="11"/>
  <c r="X423" i="11"/>
  <c r="X422" i="11"/>
  <c r="X421" i="11"/>
  <c r="X420" i="11"/>
  <c r="X419" i="11"/>
  <c r="X418" i="11"/>
  <c r="X417" i="11"/>
  <c r="X416" i="11"/>
  <c r="X415" i="11"/>
  <c r="X414" i="11"/>
  <c r="X413" i="11"/>
  <c r="X412" i="11"/>
  <c r="X411" i="11"/>
  <c r="X410" i="11"/>
  <c r="X409" i="11"/>
  <c r="X408" i="11"/>
  <c r="X407" i="11"/>
  <c r="X406" i="11"/>
  <c r="X405" i="11"/>
  <c r="X404" i="11"/>
  <c r="X403" i="11"/>
  <c r="X402" i="11"/>
  <c r="X401" i="11"/>
  <c r="X400" i="11"/>
  <c r="X399" i="11"/>
  <c r="X398" i="11"/>
  <c r="X397" i="11"/>
  <c r="X396" i="11"/>
  <c r="X395" i="11"/>
  <c r="X394" i="11"/>
  <c r="X393" i="11"/>
  <c r="X392" i="11"/>
  <c r="X391" i="11"/>
  <c r="X390" i="11"/>
  <c r="X389" i="11"/>
  <c r="X388" i="11"/>
  <c r="X387" i="11"/>
  <c r="X386" i="11"/>
  <c r="X385" i="11"/>
  <c r="X384" i="11"/>
  <c r="X383" i="11"/>
  <c r="X382" i="11"/>
  <c r="X381" i="11"/>
  <c r="X380" i="11"/>
  <c r="X379" i="11"/>
  <c r="X378" i="11"/>
  <c r="X377" i="11"/>
  <c r="X376" i="11"/>
  <c r="X375" i="11"/>
  <c r="X374" i="11"/>
  <c r="X373" i="11"/>
  <c r="X372" i="11"/>
  <c r="X371" i="11"/>
  <c r="X370" i="11"/>
  <c r="X369" i="11"/>
  <c r="X368" i="11"/>
  <c r="X367" i="11"/>
  <c r="X366" i="11"/>
  <c r="X365" i="11"/>
  <c r="X364" i="11"/>
  <c r="X363" i="11"/>
  <c r="X362" i="11"/>
  <c r="X361" i="11"/>
  <c r="X360" i="11"/>
  <c r="X359" i="11"/>
  <c r="X358" i="11"/>
  <c r="X357" i="11"/>
  <c r="X356" i="11"/>
  <c r="X355" i="11"/>
  <c r="X354" i="11"/>
  <c r="X353" i="11"/>
  <c r="X352" i="11"/>
  <c r="X351" i="11"/>
  <c r="X350" i="11"/>
  <c r="X349" i="11"/>
  <c r="X348" i="11"/>
  <c r="X347" i="11"/>
  <c r="X346" i="11"/>
  <c r="S816" i="11"/>
  <c r="S815" i="11"/>
  <c r="S814" i="11"/>
  <c r="S813" i="11"/>
  <c r="S812" i="11"/>
  <c r="S811" i="11"/>
  <c r="S810" i="11"/>
  <c r="S809" i="11"/>
  <c r="S808" i="11"/>
  <c r="S807" i="11"/>
  <c r="S806" i="11"/>
  <c r="S805" i="11"/>
  <c r="S804" i="11"/>
  <c r="S803" i="11"/>
  <c r="S802" i="11"/>
  <c r="S801" i="11"/>
  <c r="S800" i="11"/>
  <c r="S799" i="11"/>
  <c r="S798" i="11"/>
  <c r="S797" i="11"/>
  <c r="S796" i="11"/>
  <c r="S795" i="11"/>
  <c r="S794" i="11"/>
  <c r="S793" i="11"/>
  <c r="S792" i="11"/>
  <c r="S791" i="11"/>
  <c r="S790" i="11"/>
  <c r="S789" i="11"/>
  <c r="S788" i="11"/>
  <c r="S787" i="11"/>
  <c r="S786" i="11"/>
  <c r="S785" i="11"/>
  <c r="S784" i="11"/>
  <c r="S783" i="11"/>
  <c r="S782" i="11"/>
  <c r="S781" i="11"/>
  <c r="S780" i="11"/>
  <c r="S779" i="11"/>
  <c r="S778" i="11"/>
  <c r="S777" i="11"/>
  <c r="S776" i="11"/>
  <c r="S775" i="11"/>
  <c r="S774" i="11"/>
  <c r="S773" i="11"/>
  <c r="S772" i="11"/>
  <c r="S771" i="11"/>
  <c r="S770" i="11"/>
  <c r="S769" i="11"/>
  <c r="S768" i="11"/>
  <c r="S767" i="11"/>
  <c r="S766" i="11"/>
  <c r="S765" i="11"/>
  <c r="S764" i="11"/>
  <c r="S763" i="11"/>
  <c r="S762" i="11"/>
  <c r="S761" i="11"/>
  <c r="S760" i="11"/>
  <c r="S759" i="11"/>
  <c r="S758" i="11"/>
  <c r="S757" i="11"/>
  <c r="S756" i="11"/>
  <c r="S755" i="11"/>
  <c r="S754" i="11"/>
  <c r="S753" i="11"/>
  <c r="S752" i="11"/>
  <c r="S751" i="11"/>
  <c r="S750" i="11"/>
  <c r="S749" i="11"/>
  <c r="S748" i="11"/>
  <c r="S747" i="11"/>
  <c r="S746" i="11"/>
  <c r="S745" i="11"/>
  <c r="S744" i="11"/>
  <c r="S743" i="11"/>
  <c r="S742" i="11"/>
  <c r="S741" i="11"/>
  <c r="S740" i="11"/>
  <c r="S739" i="11"/>
  <c r="S738" i="11"/>
  <c r="S737" i="11"/>
  <c r="S736" i="11"/>
  <c r="S735" i="11"/>
  <c r="S734" i="11"/>
  <c r="S733" i="11"/>
  <c r="S732" i="11"/>
  <c r="S731" i="11"/>
  <c r="S730" i="11"/>
  <c r="S729" i="11"/>
  <c r="S728" i="11"/>
  <c r="S727" i="11"/>
  <c r="S726" i="11"/>
  <c r="S725" i="11"/>
  <c r="S724" i="11"/>
  <c r="S723" i="11"/>
  <c r="S722" i="11"/>
  <c r="S721" i="11"/>
  <c r="S720" i="11"/>
  <c r="S719" i="11"/>
  <c r="S717" i="11"/>
  <c r="S716" i="11"/>
  <c r="S715" i="11"/>
  <c r="S714" i="11"/>
  <c r="S713" i="11"/>
  <c r="S712" i="11"/>
  <c r="S711" i="11"/>
  <c r="S710" i="11"/>
  <c r="S709" i="11"/>
  <c r="S708" i="11"/>
  <c r="S707" i="11"/>
  <c r="S706" i="11"/>
  <c r="S705" i="11"/>
  <c r="S704" i="11"/>
  <c r="S703" i="11"/>
  <c r="S702" i="11"/>
  <c r="S701" i="11"/>
  <c r="S700" i="11"/>
  <c r="S699" i="11"/>
  <c r="S698" i="11"/>
  <c r="S697" i="11"/>
  <c r="S696" i="11"/>
  <c r="S695" i="11"/>
  <c r="S694" i="11"/>
  <c r="S693" i="11"/>
  <c r="S692" i="11"/>
  <c r="S691" i="11"/>
  <c r="S690" i="11"/>
  <c r="S689" i="11"/>
  <c r="S688" i="11"/>
  <c r="S687" i="11"/>
  <c r="S686" i="11"/>
  <c r="S685" i="11"/>
  <c r="S684" i="11"/>
  <c r="S683" i="11"/>
  <c r="S682" i="11"/>
  <c r="S681" i="11"/>
  <c r="S680" i="11"/>
  <c r="S679" i="11"/>
  <c r="S678" i="11"/>
  <c r="S677" i="11"/>
  <c r="S676" i="11"/>
  <c r="S675" i="11"/>
  <c r="S674" i="11"/>
  <c r="S673" i="11"/>
  <c r="S672" i="11"/>
  <c r="S671" i="11"/>
  <c r="S670" i="11"/>
  <c r="S669" i="11"/>
  <c r="S668" i="11"/>
  <c r="S667" i="11"/>
  <c r="S666" i="11"/>
  <c r="S665" i="11"/>
  <c r="S664" i="11"/>
  <c r="S663" i="11"/>
  <c r="S662" i="11"/>
  <c r="S661" i="11"/>
  <c r="S660" i="11"/>
  <c r="S659" i="11"/>
  <c r="S658" i="11"/>
  <c r="S657" i="11"/>
  <c r="S656" i="11"/>
  <c r="S655" i="11"/>
  <c r="S654" i="11"/>
  <c r="S653" i="11"/>
  <c r="S652" i="11"/>
  <c r="S651" i="11"/>
  <c r="S650" i="11"/>
  <c r="S649" i="11"/>
  <c r="S648" i="11"/>
  <c r="S647" i="11"/>
  <c r="S646" i="11"/>
  <c r="S645" i="11"/>
  <c r="S644" i="11"/>
  <c r="S643" i="11"/>
  <c r="S642" i="11"/>
  <c r="S641" i="11"/>
  <c r="S640" i="11"/>
  <c r="S639" i="11"/>
  <c r="S638" i="11"/>
  <c r="S637" i="11"/>
  <c r="S636" i="11"/>
  <c r="S635" i="11"/>
  <c r="S634" i="11"/>
  <c r="S633" i="11"/>
  <c r="S632" i="11"/>
  <c r="S631" i="11"/>
  <c r="S630" i="11"/>
  <c r="S629" i="11"/>
  <c r="S628" i="11"/>
  <c r="S627" i="11"/>
  <c r="S626" i="11"/>
  <c r="S625" i="11"/>
  <c r="S624" i="11"/>
  <c r="S623" i="11"/>
  <c r="S622" i="11"/>
  <c r="S621" i="11"/>
  <c r="S620" i="11"/>
  <c r="S619" i="11"/>
  <c r="S618" i="11"/>
  <c r="S617" i="11"/>
  <c r="S616" i="11"/>
  <c r="S615" i="11"/>
  <c r="S614" i="11"/>
  <c r="S613" i="11"/>
  <c r="S612" i="11"/>
  <c r="S611" i="11"/>
  <c r="S610" i="11"/>
  <c r="S609" i="11"/>
  <c r="S608" i="11"/>
  <c r="S607" i="11"/>
  <c r="S605" i="11"/>
  <c r="S604" i="11"/>
  <c r="S603" i="11"/>
  <c r="S602" i="11"/>
  <c r="S601" i="11"/>
  <c r="S600" i="11"/>
  <c r="S599" i="11"/>
  <c r="S598" i="11"/>
  <c r="S597" i="11"/>
  <c r="S596" i="11"/>
  <c r="S595" i="11"/>
  <c r="S594" i="11"/>
  <c r="S593" i="11"/>
  <c r="S592" i="11"/>
  <c r="S591" i="11"/>
  <c r="S590" i="11"/>
  <c r="S589" i="11"/>
  <c r="S588" i="11"/>
  <c r="S587" i="11"/>
  <c r="S586" i="11"/>
  <c r="S585" i="11"/>
  <c r="S584" i="11"/>
  <c r="S583" i="11"/>
  <c r="S582" i="11"/>
  <c r="S581" i="11"/>
  <c r="S580" i="11"/>
  <c r="S579" i="11"/>
  <c r="S578" i="11"/>
  <c r="S577" i="11"/>
  <c r="S576" i="11"/>
  <c r="S575" i="11"/>
  <c r="S574" i="11"/>
  <c r="S573" i="11"/>
  <c r="S572" i="11"/>
  <c r="S571" i="11"/>
  <c r="S570" i="11"/>
  <c r="S569" i="11"/>
  <c r="S568" i="11"/>
  <c r="S567" i="11"/>
  <c r="S566" i="11"/>
  <c r="S565" i="11"/>
  <c r="S564" i="11"/>
  <c r="S563" i="11"/>
  <c r="S562" i="11"/>
  <c r="S561" i="11"/>
  <c r="S560" i="11"/>
  <c r="S559" i="11"/>
  <c r="S558" i="11"/>
  <c r="S557" i="11"/>
  <c r="S556" i="11"/>
  <c r="S555" i="11"/>
  <c r="S554" i="11"/>
  <c r="S553" i="11"/>
  <c r="S552" i="11"/>
  <c r="S551" i="11"/>
  <c r="S550" i="11"/>
  <c r="S549" i="11"/>
  <c r="S548" i="11"/>
  <c r="S547" i="11"/>
  <c r="S546" i="11"/>
  <c r="S545" i="11"/>
  <c r="S544" i="11"/>
  <c r="S543" i="11"/>
  <c r="S542" i="11"/>
  <c r="S541" i="11"/>
  <c r="S540" i="11"/>
  <c r="S539" i="11"/>
  <c r="S538" i="11"/>
  <c r="S537" i="11"/>
  <c r="S536" i="11"/>
  <c r="S535" i="11"/>
  <c r="S534" i="11"/>
  <c r="S533" i="11"/>
  <c r="S532" i="11"/>
  <c r="S531" i="11"/>
  <c r="S530" i="11"/>
  <c r="S529" i="11"/>
  <c r="S528" i="11"/>
  <c r="S527" i="11"/>
  <c r="S526" i="11"/>
  <c r="S525" i="11"/>
  <c r="S524" i="11"/>
  <c r="S523" i="11"/>
  <c r="S522" i="11"/>
  <c r="S521" i="11"/>
  <c r="S520" i="11"/>
  <c r="S519" i="11"/>
  <c r="S518" i="11"/>
  <c r="S517" i="11"/>
  <c r="S516" i="11"/>
  <c r="S515" i="11"/>
  <c r="S514" i="11"/>
  <c r="S513" i="11"/>
  <c r="S512" i="11"/>
  <c r="S511" i="11"/>
  <c r="S510" i="11"/>
  <c r="S509" i="11"/>
  <c r="S508" i="11"/>
  <c r="S507" i="11"/>
  <c r="S506" i="11"/>
  <c r="S505" i="11"/>
  <c r="S504" i="11"/>
  <c r="S503" i="11"/>
  <c r="S502" i="11"/>
  <c r="S501" i="11"/>
  <c r="S500" i="11"/>
  <c r="S499" i="11"/>
  <c r="S498" i="11"/>
  <c r="S497" i="11"/>
  <c r="S496" i="11"/>
  <c r="S495" i="11"/>
  <c r="S494" i="11"/>
  <c r="S493" i="11"/>
  <c r="S492" i="11"/>
  <c r="S491" i="11"/>
  <c r="S490" i="11"/>
  <c r="S489" i="11"/>
  <c r="S488" i="11"/>
  <c r="S487" i="11"/>
  <c r="S486" i="11"/>
  <c r="S485" i="11"/>
  <c r="S484" i="11"/>
  <c r="S483" i="11"/>
  <c r="S482" i="11"/>
  <c r="S481" i="11"/>
  <c r="S480" i="11"/>
  <c r="S479" i="11"/>
  <c r="S478" i="11"/>
  <c r="S477" i="11"/>
  <c r="S476" i="11"/>
  <c r="S475" i="11"/>
  <c r="S473" i="11"/>
  <c r="S472" i="11"/>
  <c r="S471" i="11"/>
  <c r="S470" i="11"/>
  <c r="S469" i="11"/>
  <c r="S468" i="11"/>
  <c r="S467" i="11"/>
  <c r="S466" i="11"/>
  <c r="S465" i="11"/>
  <c r="S464" i="11"/>
  <c r="S463" i="11"/>
  <c r="S462" i="11"/>
  <c r="S461" i="11"/>
  <c r="S460" i="11"/>
  <c r="S459" i="11"/>
  <c r="S458" i="11"/>
  <c r="S457" i="11"/>
  <c r="S456" i="11"/>
  <c r="S455" i="11"/>
  <c r="S454" i="11"/>
  <c r="S453" i="11"/>
  <c r="S452" i="11"/>
  <c r="S451" i="11"/>
  <c r="S450" i="11"/>
  <c r="S449" i="11"/>
  <c r="S448" i="11"/>
  <c r="S447" i="11"/>
  <c r="S446" i="11"/>
  <c r="S445" i="11"/>
  <c r="S444" i="11"/>
  <c r="S443" i="11"/>
  <c r="S442" i="11"/>
  <c r="S441" i="11"/>
  <c r="S440" i="11"/>
  <c r="S439" i="11"/>
  <c r="S438" i="11"/>
  <c r="S437" i="11"/>
  <c r="S436" i="11"/>
  <c r="S435" i="11"/>
  <c r="S434" i="11"/>
  <c r="S433" i="11"/>
  <c r="S432" i="11"/>
  <c r="S431" i="11"/>
  <c r="S430" i="11"/>
  <c r="S429" i="11"/>
  <c r="S428" i="11"/>
  <c r="S427" i="11"/>
  <c r="S426" i="11"/>
  <c r="S425" i="11"/>
  <c r="S424" i="11"/>
  <c r="S423" i="11"/>
  <c r="S422" i="11"/>
  <c r="S421" i="11"/>
  <c r="S420" i="11"/>
  <c r="S419" i="11"/>
  <c r="S418" i="11"/>
  <c r="S417" i="11"/>
  <c r="S416" i="11"/>
  <c r="S415" i="11"/>
  <c r="S414" i="11"/>
  <c r="S413" i="11"/>
  <c r="S412" i="11"/>
  <c r="S411" i="11"/>
  <c r="S410" i="11"/>
  <c r="S409" i="11"/>
  <c r="S408" i="11"/>
  <c r="S407" i="11"/>
  <c r="S406" i="11"/>
  <c r="S405" i="11"/>
  <c r="S404" i="11"/>
  <c r="S403" i="11"/>
  <c r="S402" i="11"/>
  <c r="S401" i="11"/>
  <c r="S400" i="11"/>
  <c r="S399" i="11"/>
  <c r="S398" i="11"/>
  <c r="S397" i="11"/>
  <c r="S396" i="11"/>
  <c r="S395" i="11"/>
  <c r="S394" i="11"/>
  <c r="S393" i="11"/>
  <c r="S392" i="11"/>
  <c r="S391" i="11"/>
  <c r="S390" i="11"/>
  <c r="S389" i="11"/>
  <c r="S388" i="11"/>
  <c r="S387" i="11"/>
  <c r="S386" i="11"/>
  <c r="S385" i="11"/>
  <c r="S384" i="11"/>
  <c r="S383" i="11"/>
  <c r="S382" i="11"/>
  <c r="S381" i="11"/>
  <c r="S380" i="11"/>
  <c r="S379" i="11"/>
  <c r="S378" i="11"/>
  <c r="S377" i="11"/>
  <c r="S376" i="11"/>
  <c r="S375" i="11"/>
  <c r="S374" i="11"/>
  <c r="S373" i="11"/>
  <c r="S372" i="11"/>
  <c r="S371" i="11"/>
  <c r="S370" i="11"/>
  <c r="S369" i="11"/>
  <c r="S368" i="11"/>
  <c r="S367" i="11"/>
  <c r="S366" i="11"/>
  <c r="S365" i="11"/>
  <c r="S364" i="11"/>
  <c r="S363" i="11"/>
  <c r="S362" i="11"/>
  <c r="S361" i="11"/>
  <c r="S360" i="11"/>
  <c r="S359" i="11"/>
  <c r="S358" i="11"/>
  <c r="S357" i="11"/>
  <c r="S356" i="11"/>
  <c r="S355" i="11"/>
  <c r="S354" i="11"/>
  <c r="S353" i="11"/>
  <c r="S352" i="11"/>
  <c r="S351" i="11"/>
  <c r="S350" i="11"/>
  <c r="S349" i="11"/>
  <c r="S348" i="11"/>
  <c r="S347" i="11"/>
  <c r="S346" i="11"/>
  <c r="S344" i="11"/>
  <c r="S343" i="11"/>
  <c r="S342" i="11"/>
  <c r="S341" i="11"/>
  <c r="S340" i="11"/>
  <c r="S339" i="11"/>
  <c r="S338" i="11"/>
  <c r="S337" i="11"/>
  <c r="S336" i="11"/>
  <c r="S335" i="11"/>
  <c r="S334" i="11"/>
  <c r="S333" i="11"/>
  <c r="S332" i="11"/>
  <c r="S331" i="11"/>
  <c r="S330" i="11"/>
  <c r="S329" i="11"/>
  <c r="S328" i="11"/>
  <c r="S327" i="11"/>
  <c r="S326" i="11"/>
  <c r="S325" i="11"/>
  <c r="S324" i="11"/>
  <c r="S323" i="11"/>
  <c r="S322" i="11"/>
  <c r="S321" i="11"/>
  <c r="S320" i="11"/>
  <c r="S319" i="11"/>
  <c r="S318" i="11"/>
  <c r="S317" i="11"/>
  <c r="S316" i="11"/>
  <c r="S315" i="11"/>
  <c r="S314" i="11"/>
  <c r="S313" i="11"/>
  <c r="S312" i="11"/>
  <c r="S311" i="11"/>
  <c r="S310" i="11"/>
  <c r="S309" i="11"/>
  <c r="S308" i="11"/>
  <c r="S307" i="11"/>
  <c r="S306" i="11"/>
  <c r="S305" i="11"/>
  <c r="S304" i="11"/>
  <c r="S303" i="11"/>
  <c r="S302" i="11"/>
  <c r="S301" i="11"/>
  <c r="S300" i="11"/>
  <c r="S299" i="11"/>
  <c r="S298" i="11"/>
  <c r="S297" i="11"/>
  <c r="S296" i="11"/>
  <c r="S295" i="11"/>
  <c r="S294" i="11"/>
  <c r="S293" i="11"/>
  <c r="S292" i="11"/>
  <c r="S291" i="11"/>
  <c r="S290" i="11"/>
  <c r="S289" i="11"/>
  <c r="S288" i="11"/>
  <c r="S287" i="11"/>
  <c r="S286" i="11"/>
  <c r="S285" i="11"/>
  <c r="S284" i="11"/>
  <c r="S283" i="11"/>
  <c r="S282" i="11"/>
  <c r="S281" i="11"/>
  <c r="S280" i="11"/>
  <c r="S279" i="11"/>
  <c r="S278" i="11"/>
  <c r="S277" i="11"/>
  <c r="S276" i="11"/>
  <c r="S275" i="11"/>
  <c r="S273" i="11"/>
  <c r="S272" i="11"/>
  <c r="S271" i="11"/>
  <c r="S270" i="11"/>
  <c r="S269" i="11"/>
  <c r="S268" i="11"/>
  <c r="S267" i="11"/>
  <c r="S266" i="11"/>
  <c r="S265" i="11"/>
  <c r="S264" i="11"/>
  <c r="S263" i="11"/>
  <c r="S262" i="11"/>
  <c r="S261" i="11"/>
  <c r="S260" i="11"/>
  <c r="S259" i="11"/>
  <c r="S258" i="11"/>
  <c r="S257" i="11"/>
  <c r="S256" i="11"/>
  <c r="S255" i="11"/>
  <c r="S254" i="11"/>
  <c r="S253" i="11"/>
  <c r="S252" i="11"/>
  <c r="S251" i="11"/>
  <c r="S250" i="11"/>
  <c r="S249" i="11"/>
  <c r="S248" i="11"/>
  <c r="S247" i="11"/>
  <c r="S246" i="11"/>
  <c r="S245" i="11"/>
  <c r="S244" i="11"/>
  <c r="S243" i="11"/>
  <c r="S242" i="11"/>
  <c r="S241" i="11"/>
  <c r="S240" i="11"/>
  <c r="S239" i="11"/>
  <c r="S238" i="11"/>
  <c r="S237" i="11"/>
  <c r="S236" i="11"/>
  <c r="S235" i="11"/>
  <c r="S234" i="11"/>
  <c r="S233" i="11"/>
  <c r="S232" i="11"/>
  <c r="S231" i="11"/>
  <c r="S230" i="11"/>
  <c r="S229" i="11"/>
  <c r="S228" i="11"/>
  <c r="S227" i="11"/>
  <c r="S226" i="11"/>
  <c r="S225" i="11"/>
  <c r="S224" i="11"/>
  <c r="S223" i="11"/>
  <c r="S222" i="11"/>
  <c r="S221" i="11"/>
  <c r="S220" i="11"/>
  <c r="S219" i="11"/>
  <c r="S218" i="11"/>
  <c r="S217" i="11"/>
  <c r="S216" i="11"/>
  <c r="S215" i="11"/>
  <c r="S214" i="11"/>
  <c r="S213" i="11"/>
  <c r="S212" i="11"/>
  <c r="S211" i="11"/>
  <c r="S210" i="11"/>
  <c r="S209" i="11"/>
  <c r="S208" i="11"/>
  <c r="S207" i="11"/>
  <c r="S206" i="11"/>
  <c r="S205" i="11"/>
  <c r="S204" i="11"/>
  <c r="S203" i="11"/>
  <c r="S202" i="11"/>
  <c r="S201" i="11"/>
  <c r="S200" i="11"/>
  <c r="S199" i="11"/>
  <c r="S198" i="11"/>
  <c r="S197" i="11"/>
  <c r="S196" i="11"/>
  <c r="S195" i="11"/>
  <c r="S194" i="11"/>
  <c r="S193" i="11"/>
  <c r="S192" i="11"/>
  <c r="S191" i="11"/>
  <c r="S190" i="11"/>
  <c r="S189" i="11"/>
  <c r="S188" i="11"/>
  <c r="S187" i="11"/>
  <c r="S186" i="11"/>
  <c r="S185" i="11"/>
  <c r="S184" i="11"/>
  <c r="S183" i="11"/>
  <c r="S182" i="11"/>
  <c r="S181" i="11"/>
  <c r="S180" i="11"/>
  <c r="S179" i="11"/>
  <c r="S178" i="11"/>
  <c r="S177" i="11"/>
  <c r="S176" i="11"/>
  <c r="S175" i="11"/>
  <c r="S174" i="11"/>
  <c r="S173" i="11"/>
  <c r="S172" i="11"/>
  <c r="S171" i="11"/>
  <c r="S170" i="11"/>
  <c r="S169" i="11"/>
  <c r="S168" i="11"/>
  <c r="S167" i="11"/>
  <c r="S166" i="11"/>
  <c r="S165" i="11"/>
  <c r="S164" i="11"/>
  <c r="S163" i="11"/>
  <c r="S162" i="11"/>
  <c r="S161" i="11"/>
  <c r="S160" i="11"/>
  <c r="S159" i="11"/>
  <c r="S158" i="11"/>
  <c r="S157" i="11"/>
  <c r="S156" i="11"/>
  <c r="S155" i="11"/>
  <c r="S154" i="11"/>
  <c r="S153" i="11"/>
  <c r="S152" i="11"/>
  <c r="S151" i="11"/>
  <c r="S150" i="11"/>
  <c r="S149" i="11"/>
  <c r="S148" i="11"/>
  <c r="S147" i="11"/>
  <c r="S146" i="11"/>
  <c r="S145" i="11"/>
  <c r="S144" i="11"/>
  <c r="S143" i="11"/>
  <c r="S141" i="11"/>
  <c r="S140" i="11"/>
  <c r="S139" i="11"/>
  <c r="S138" i="11"/>
  <c r="S137" i="11"/>
  <c r="S136" i="11"/>
  <c r="S135" i="11"/>
  <c r="S134" i="11"/>
  <c r="S133" i="11"/>
  <c r="S132" i="11"/>
  <c r="S131" i="11"/>
  <c r="S130" i="11"/>
  <c r="S129" i="11"/>
  <c r="S128" i="11"/>
  <c r="S127" i="11"/>
  <c r="S126" i="11"/>
  <c r="S125" i="11"/>
  <c r="S124" i="11"/>
  <c r="S123" i="11"/>
  <c r="S122" i="11"/>
  <c r="S121" i="11"/>
  <c r="S120" i="11"/>
  <c r="S119" i="11"/>
  <c r="S118" i="11"/>
  <c r="S117" i="11"/>
  <c r="S116" i="11"/>
  <c r="S115" i="11"/>
  <c r="S114" i="11"/>
  <c r="S113" i="11"/>
  <c r="S112" i="11"/>
  <c r="S111" i="11"/>
  <c r="S110" i="11"/>
  <c r="S109" i="11"/>
  <c r="S108" i="11"/>
  <c r="S107" i="11"/>
  <c r="S106" i="11"/>
  <c r="S105" i="11"/>
  <c r="S104" i="11"/>
  <c r="S103" i="11"/>
  <c r="S102" i="11"/>
  <c r="S101" i="11"/>
  <c r="S100" i="11"/>
  <c r="S99" i="11"/>
  <c r="S98" i="11"/>
  <c r="S97" i="11"/>
  <c r="S96" i="11"/>
  <c r="S95" i="11"/>
  <c r="S94" i="11"/>
  <c r="S93" i="11"/>
  <c r="S92" i="11"/>
  <c r="S91" i="11"/>
  <c r="S90" i="11"/>
  <c r="S89" i="11"/>
  <c r="S88" i="11"/>
  <c r="S87" i="11"/>
  <c r="S86" i="11"/>
  <c r="S85" i="11"/>
  <c r="S84" i="11"/>
  <c r="S83" i="11"/>
  <c r="S82" i="11"/>
  <c r="S81" i="11"/>
  <c r="S80" i="11"/>
  <c r="S79" i="11"/>
  <c r="S78" i="11"/>
  <c r="S77" i="11"/>
  <c r="S76" i="11"/>
  <c r="S75" i="11"/>
  <c r="S74" i="11"/>
  <c r="S73" i="11"/>
  <c r="S72" i="11"/>
  <c r="S71" i="11"/>
  <c r="S70" i="11"/>
  <c r="S69" i="11"/>
  <c r="S68" i="11"/>
  <c r="S67" i="11"/>
  <c r="S66" i="11"/>
  <c r="S65" i="11"/>
  <c r="S64" i="11"/>
  <c r="S63" i="11"/>
  <c r="S62" i="11"/>
  <c r="S61" i="11"/>
  <c r="S60" i="11"/>
  <c r="S59" i="11"/>
  <c r="S58" i="11"/>
  <c r="S57" i="11"/>
  <c r="S56" i="11"/>
  <c r="S55" i="11"/>
  <c r="S54" i="11"/>
  <c r="S53" i="11"/>
  <c r="S52" i="11"/>
  <c r="S51" i="11"/>
  <c r="S50" i="11"/>
  <c r="S49" i="11"/>
  <c r="S48" i="11"/>
  <c r="S47" i="11"/>
  <c r="S46" i="11"/>
  <c r="S45" i="11"/>
  <c r="S44" i="11"/>
  <c r="S43" i="11"/>
  <c r="S42" i="11"/>
  <c r="S41" i="11"/>
  <c r="S40" i="11"/>
  <c r="S39" i="11"/>
  <c r="S38" i="11"/>
  <c r="S37" i="11"/>
  <c r="S36" i="11"/>
  <c r="S35" i="11"/>
  <c r="S34" i="11"/>
  <c r="S33" i="11"/>
  <c r="S32" i="11"/>
  <c r="S31" i="11"/>
  <c r="S30" i="11"/>
  <c r="S29" i="11"/>
  <c r="S28" i="11"/>
  <c r="S27" i="11"/>
  <c r="S26" i="11"/>
  <c r="S25" i="11"/>
  <c r="S24" i="11"/>
  <c r="S23" i="11"/>
  <c r="S22" i="11"/>
  <c r="S21" i="11"/>
  <c r="S20" i="11"/>
  <c r="S19" i="1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S5" i="11"/>
  <c r="S261" i="12"/>
  <c r="R261" i="12"/>
  <c r="Q261" i="12"/>
  <c r="S234" i="12"/>
  <c r="R234" i="12"/>
  <c r="Q234" i="12"/>
  <c r="S203" i="12"/>
  <c r="R203" i="12"/>
  <c r="Q203" i="12"/>
  <c r="S157" i="12"/>
  <c r="R157" i="12"/>
  <c r="S113" i="12"/>
  <c r="R113" i="12"/>
  <c r="Q113" i="12"/>
  <c r="P113" i="12"/>
  <c r="S91" i="12"/>
  <c r="R91" i="12"/>
  <c r="Q91" i="12"/>
  <c r="P91" i="12"/>
  <c r="O91" i="12"/>
  <c r="N91" i="12"/>
  <c r="S47" i="12"/>
  <c r="R47" i="12"/>
  <c r="Q47" i="12"/>
  <c r="P47" i="12"/>
  <c r="O47" i="12"/>
  <c r="N47" i="12"/>
  <c r="EG8" i="13" l="1"/>
  <c r="DF11" i="13"/>
  <c r="DT11" i="13"/>
  <c r="FW8" i="13"/>
  <c r="FW11" i="13" s="1"/>
  <c r="FQ8" i="13"/>
  <c r="FQ11" i="13" s="1"/>
  <c r="EP11" i="13"/>
  <c r="DD11" i="13"/>
  <c r="EE8" i="13"/>
  <c r="EH8" i="13"/>
  <c r="FI8" i="13" s="1"/>
  <c r="DG11" i="13"/>
  <c r="FT8" i="13"/>
  <c r="FT11" i="13" s="1"/>
  <c r="ES11" i="13"/>
  <c r="EA8" i="13"/>
  <c r="EU8" i="13" s="1"/>
  <c r="EU11" i="13" s="1"/>
  <c r="EU13" i="13" s="1"/>
  <c r="EU14" i="13" s="1"/>
  <c r="DR8" i="13"/>
  <c r="DR11" i="13" s="1"/>
  <c r="DR13" i="13" s="1"/>
  <c r="DR14" i="13" s="1"/>
  <c r="CZ11" i="13"/>
  <c r="DK11" i="13"/>
  <c r="EL8" i="13"/>
  <c r="DS11" i="13"/>
  <c r="FV8" i="13"/>
  <c r="FV11" i="13" s="1"/>
  <c r="DQ11" i="13"/>
  <c r="CN13" i="13"/>
  <c r="CN14" i="13" s="1"/>
  <c r="S274" i="11"/>
  <c r="S474" i="11"/>
  <c r="AC8" i="11" s="1"/>
  <c r="X474" i="11"/>
  <c r="AD8" i="11" s="1"/>
  <c r="S142" i="11"/>
  <c r="S817" i="11"/>
  <c r="S606" i="11"/>
  <c r="S345" i="11"/>
  <c r="S718" i="11"/>
  <c r="FG11" i="13"/>
  <c r="X719" i="11"/>
  <c r="EL11" i="13" l="1"/>
  <c r="FM8" i="13"/>
  <c r="FM11" i="13" s="1"/>
  <c r="FB8" i="13"/>
  <c r="EA11" i="13"/>
  <c r="FF8" i="13"/>
  <c r="FF11" i="13" s="1"/>
  <c r="EE11" i="13"/>
  <c r="EG11" i="13"/>
  <c r="FH8" i="13"/>
  <c r="FH11" i="13" s="1"/>
  <c r="AE8" i="11"/>
  <c r="AF8" i="11" s="1"/>
  <c r="Y474" i="11"/>
  <c r="Z474" i="11" s="1"/>
  <c r="X816" i="11"/>
  <c r="X815" i="11"/>
  <c r="X814" i="11"/>
  <c r="X813" i="11"/>
  <c r="X812" i="11"/>
  <c r="X811" i="11"/>
  <c r="X810" i="11"/>
  <c r="X809" i="11"/>
  <c r="X808" i="11"/>
  <c r="X807" i="11"/>
  <c r="X806" i="11"/>
  <c r="X805" i="11"/>
  <c r="X804" i="11"/>
  <c r="X803" i="11"/>
  <c r="X802" i="11"/>
  <c r="X801" i="11"/>
  <c r="X800" i="11"/>
  <c r="X799" i="11"/>
  <c r="X798" i="11"/>
  <c r="X797" i="11"/>
  <c r="X796" i="11"/>
  <c r="X795" i="11"/>
  <c r="X794" i="11"/>
  <c r="X793" i="11"/>
  <c r="X792" i="11"/>
  <c r="X791" i="11"/>
  <c r="X790" i="11"/>
  <c r="X789" i="11"/>
  <c r="X788" i="11"/>
  <c r="X787" i="11"/>
  <c r="X786" i="11"/>
  <c r="X785" i="11"/>
  <c r="X784" i="11"/>
  <c r="X783" i="11"/>
  <c r="X782" i="11"/>
  <c r="X781" i="11"/>
  <c r="X780" i="11"/>
  <c r="X779" i="11"/>
  <c r="X778" i="11"/>
  <c r="X777" i="11"/>
  <c r="X776" i="11"/>
  <c r="X775" i="11"/>
  <c r="X774" i="11"/>
  <c r="X773" i="11"/>
  <c r="X772" i="11"/>
  <c r="X771" i="11"/>
  <c r="X770" i="11"/>
  <c r="X769" i="11"/>
  <c r="X768" i="11"/>
  <c r="X767" i="11"/>
  <c r="X766" i="11"/>
  <c r="X765" i="11"/>
  <c r="X764" i="11"/>
  <c r="X763" i="11"/>
  <c r="X762" i="11"/>
  <c r="X761" i="11"/>
  <c r="X760" i="11"/>
  <c r="X759" i="11"/>
  <c r="X758" i="11"/>
  <c r="X757" i="11"/>
  <c r="X756" i="11"/>
  <c r="X755" i="11"/>
  <c r="X754" i="11"/>
  <c r="X753" i="11"/>
  <c r="X752" i="11"/>
  <c r="X751" i="11"/>
  <c r="X750" i="11"/>
  <c r="X749" i="11"/>
  <c r="X748" i="11"/>
  <c r="X747" i="11"/>
  <c r="X746" i="11"/>
  <c r="X745" i="11"/>
  <c r="X744" i="11"/>
  <c r="X743" i="11"/>
  <c r="X742" i="11"/>
  <c r="X741" i="11"/>
  <c r="X740" i="11"/>
  <c r="X739" i="11"/>
  <c r="X738" i="11"/>
  <c r="X737" i="11"/>
  <c r="X736" i="11"/>
  <c r="X735" i="11"/>
  <c r="X734" i="11"/>
  <c r="X733" i="11"/>
  <c r="X732" i="11"/>
  <c r="X731" i="11"/>
  <c r="X730" i="11"/>
  <c r="X729" i="11"/>
  <c r="X728" i="11"/>
  <c r="X727" i="11"/>
  <c r="X726" i="11"/>
  <c r="X725" i="11"/>
  <c r="X724" i="11"/>
  <c r="X723" i="11"/>
  <c r="X722" i="11"/>
  <c r="X721" i="11"/>
  <c r="X720" i="11"/>
  <c r="X717" i="11"/>
  <c r="X716" i="11"/>
  <c r="X715" i="11"/>
  <c r="X714" i="11"/>
  <c r="X713" i="11"/>
  <c r="X712" i="11"/>
  <c r="X711" i="11"/>
  <c r="X710" i="11"/>
  <c r="X709" i="11"/>
  <c r="X708" i="11"/>
  <c r="X707" i="11"/>
  <c r="X706" i="11"/>
  <c r="X705" i="11"/>
  <c r="X704" i="11"/>
  <c r="X703" i="11"/>
  <c r="X702" i="11"/>
  <c r="X701" i="11"/>
  <c r="X700" i="11"/>
  <c r="X699" i="11"/>
  <c r="X698" i="11"/>
  <c r="X697" i="11"/>
  <c r="X696" i="11"/>
  <c r="X695" i="11"/>
  <c r="X694" i="11"/>
  <c r="X693" i="11"/>
  <c r="X692" i="11"/>
  <c r="X691" i="11"/>
  <c r="X690" i="11"/>
  <c r="X689" i="11"/>
  <c r="X688" i="11"/>
  <c r="X687" i="11"/>
  <c r="X686" i="11"/>
  <c r="X685" i="11"/>
  <c r="X684" i="11"/>
  <c r="X683" i="11"/>
  <c r="X682" i="11"/>
  <c r="X681" i="11"/>
  <c r="X680" i="11"/>
  <c r="X679" i="11"/>
  <c r="X678" i="11"/>
  <c r="X677" i="11"/>
  <c r="X676" i="11"/>
  <c r="X675" i="11"/>
  <c r="X674" i="11"/>
  <c r="X673" i="11"/>
  <c r="X672" i="11"/>
  <c r="X671" i="11"/>
  <c r="X670" i="11"/>
  <c r="X669" i="11"/>
  <c r="X668" i="11"/>
  <c r="X667" i="11"/>
  <c r="X666" i="11"/>
  <c r="X665" i="11"/>
  <c r="X664" i="11"/>
  <c r="X663" i="11"/>
  <c r="X662" i="11"/>
  <c r="X661" i="11"/>
  <c r="X660" i="11"/>
  <c r="X659" i="11"/>
  <c r="X658" i="11"/>
  <c r="X657" i="11"/>
  <c r="X656" i="11"/>
  <c r="X655" i="11"/>
  <c r="X654" i="11"/>
  <c r="X653" i="11"/>
  <c r="X652" i="11"/>
  <c r="X651" i="11"/>
  <c r="X650" i="11"/>
  <c r="X649" i="11"/>
  <c r="X648" i="11"/>
  <c r="X647" i="11"/>
  <c r="X646" i="11"/>
  <c r="X645" i="11"/>
  <c r="X644" i="11"/>
  <c r="X643" i="11"/>
  <c r="X642" i="11"/>
  <c r="X641" i="11"/>
  <c r="X640" i="11"/>
  <c r="X639" i="11"/>
  <c r="X638" i="11"/>
  <c r="X637" i="11"/>
  <c r="X636" i="11"/>
  <c r="X635" i="11"/>
  <c r="X634" i="11"/>
  <c r="X633" i="11"/>
  <c r="X632" i="11"/>
  <c r="X631" i="11"/>
  <c r="X630" i="11"/>
  <c r="X629" i="11"/>
  <c r="X628" i="11"/>
  <c r="X627" i="11"/>
  <c r="X626" i="11"/>
  <c r="X625" i="11"/>
  <c r="X624" i="11"/>
  <c r="X623" i="11"/>
  <c r="X622" i="11"/>
  <c r="X621" i="11"/>
  <c r="X620" i="11"/>
  <c r="X619" i="11"/>
  <c r="X618" i="11"/>
  <c r="X617" i="11"/>
  <c r="X616" i="11"/>
  <c r="X615" i="11"/>
  <c r="X614" i="11"/>
  <c r="X613" i="11"/>
  <c r="X612" i="11"/>
  <c r="X611" i="11"/>
  <c r="X610" i="11"/>
  <c r="X609" i="11"/>
  <c r="X608" i="11"/>
  <c r="X607" i="11"/>
  <c r="X605" i="11"/>
  <c r="X604" i="11"/>
  <c r="X603" i="11"/>
  <c r="X602" i="11"/>
  <c r="X601" i="11"/>
  <c r="X600" i="11"/>
  <c r="X599" i="11"/>
  <c r="X598" i="11"/>
  <c r="X597" i="11"/>
  <c r="X596" i="11"/>
  <c r="X595" i="11"/>
  <c r="X594" i="11"/>
  <c r="X593" i="11"/>
  <c r="X592" i="11"/>
  <c r="X591" i="11"/>
  <c r="X590" i="11"/>
  <c r="X589" i="11"/>
  <c r="X588" i="11"/>
  <c r="X587" i="11"/>
  <c r="X586" i="11"/>
  <c r="X585" i="11"/>
  <c r="X584" i="11"/>
  <c r="X583" i="11"/>
  <c r="X582" i="11"/>
  <c r="X581" i="11"/>
  <c r="X580" i="11"/>
  <c r="X579" i="11"/>
  <c r="X578" i="11"/>
  <c r="X577" i="11"/>
  <c r="X576" i="11"/>
  <c r="X575" i="11"/>
  <c r="X574" i="11"/>
  <c r="X573" i="11"/>
  <c r="X572" i="11"/>
  <c r="X571" i="11"/>
  <c r="X570" i="11"/>
  <c r="X569" i="11"/>
  <c r="X568" i="11"/>
  <c r="X567" i="11"/>
  <c r="X566" i="11"/>
  <c r="X565" i="11"/>
  <c r="X564" i="11"/>
  <c r="X563" i="11"/>
  <c r="X562" i="11"/>
  <c r="X561" i="11"/>
  <c r="X560" i="11"/>
  <c r="X559" i="11"/>
  <c r="X558" i="11"/>
  <c r="X557" i="11"/>
  <c r="X556" i="11"/>
  <c r="X555" i="11"/>
  <c r="X554" i="11"/>
  <c r="X553" i="11"/>
  <c r="X552" i="11"/>
  <c r="X551" i="11"/>
  <c r="X550" i="11"/>
  <c r="X549" i="11"/>
  <c r="X548" i="11"/>
  <c r="X547" i="11"/>
  <c r="X546" i="11"/>
  <c r="X545" i="11"/>
  <c r="X544" i="11"/>
  <c r="X543" i="11"/>
  <c r="X542" i="11"/>
  <c r="X541" i="11"/>
  <c r="X540" i="11"/>
  <c r="X539" i="11"/>
  <c r="X538" i="11"/>
  <c r="X537" i="11"/>
  <c r="X536" i="11"/>
  <c r="X535" i="11"/>
  <c r="X534" i="11"/>
  <c r="X533" i="11"/>
  <c r="X532" i="11"/>
  <c r="X531" i="11"/>
  <c r="X530" i="11"/>
  <c r="X529" i="11"/>
  <c r="X528" i="11"/>
  <c r="X527" i="11"/>
  <c r="X526" i="11"/>
  <c r="X525" i="11"/>
  <c r="X524" i="11"/>
  <c r="X523" i="11"/>
  <c r="X522" i="11"/>
  <c r="X521" i="11"/>
  <c r="X520" i="11"/>
  <c r="X519" i="11"/>
  <c r="X518" i="11"/>
  <c r="X517" i="11"/>
  <c r="X516" i="11"/>
  <c r="X515" i="11"/>
  <c r="X514" i="11"/>
  <c r="X513" i="11"/>
  <c r="X512" i="11"/>
  <c r="X511" i="11"/>
  <c r="X510" i="11"/>
  <c r="X509" i="11"/>
  <c r="X508" i="11"/>
  <c r="X507" i="11"/>
  <c r="X506" i="11"/>
  <c r="X505" i="11"/>
  <c r="X504" i="11"/>
  <c r="X503" i="11"/>
  <c r="X502" i="11"/>
  <c r="X501" i="11"/>
  <c r="X500" i="11"/>
  <c r="X499" i="11"/>
  <c r="X498" i="11"/>
  <c r="X497" i="11"/>
  <c r="X496" i="11"/>
  <c r="X495" i="11"/>
  <c r="X494" i="11"/>
  <c r="X493" i="11"/>
  <c r="X492" i="11"/>
  <c r="X491" i="11"/>
  <c r="X490" i="11"/>
  <c r="X489" i="11"/>
  <c r="X488" i="11"/>
  <c r="X487" i="11"/>
  <c r="X486" i="11"/>
  <c r="X485" i="11"/>
  <c r="X484" i="11"/>
  <c r="X483" i="11"/>
  <c r="X482" i="11"/>
  <c r="X481" i="11"/>
  <c r="X480" i="11"/>
  <c r="X479" i="11"/>
  <c r="X478" i="11"/>
  <c r="X477" i="11"/>
  <c r="X476" i="11"/>
  <c r="X475" i="11"/>
  <c r="X344" i="11"/>
  <c r="X343" i="11"/>
  <c r="X342" i="11"/>
  <c r="X341" i="11"/>
  <c r="X340" i="11"/>
  <c r="X339" i="11"/>
  <c r="X338" i="11"/>
  <c r="X337" i="11"/>
  <c r="X336" i="11"/>
  <c r="X335" i="11"/>
  <c r="X334" i="11"/>
  <c r="X333" i="11"/>
  <c r="X332" i="11"/>
  <c r="X331" i="11"/>
  <c r="X330" i="11"/>
  <c r="X329" i="11"/>
  <c r="X328" i="11"/>
  <c r="X327" i="11"/>
  <c r="X326" i="11"/>
  <c r="X325" i="11"/>
  <c r="X324" i="11"/>
  <c r="X323" i="11"/>
  <c r="X322" i="11"/>
  <c r="X321" i="11"/>
  <c r="X320" i="11"/>
  <c r="X319" i="11"/>
  <c r="X318" i="11"/>
  <c r="X317" i="11"/>
  <c r="X316" i="11"/>
  <c r="X315" i="11"/>
  <c r="X314" i="11"/>
  <c r="X313" i="11"/>
  <c r="X312" i="11"/>
  <c r="X311" i="11"/>
  <c r="X310" i="11"/>
  <c r="X309" i="11"/>
  <c r="X308" i="11"/>
  <c r="X307" i="11"/>
  <c r="X306" i="11"/>
  <c r="X305" i="11"/>
  <c r="X304" i="11"/>
  <c r="X303" i="11"/>
  <c r="X302" i="11"/>
  <c r="X301" i="11"/>
  <c r="X300" i="11"/>
  <c r="X299" i="11"/>
  <c r="X298" i="11"/>
  <c r="X297" i="11"/>
  <c r="X296" i="11"/>
  <c r="X295" i="11"/>
  <c r="X294" i="11"/>
  <c r="X293" i="11"/>
  <c r="X292" i="11"/>
  <c r="X291" i="11"/>
  <c r="X290" i="11"/>
  <c r="X289" i="11"/>
  <c r="X288" i="11"/>
  <c r="X287" i="11"/>
  <c r="X286" i="11"/>
  <c r="X285" i="11"/>
  <c r="X284" i="11"/>
  <c r="X283" i="11"/>
  <c r="X282" i="11"/>
  <c r="X281" i="11"/>
  <c r="X280" i="11"/>
  <c r="X279" i="11"/>
  <c r="X278" i="11"/>
  <c r="X277" i="11"/>
  <c r="X276" i="11"/>
  <c r="X275" i="11"/>
  <c r="X273" i="11"/>
  <c r="X272" i="11"/>
  <c r="X271" i="11"/>
  <c r="X270" i="11"/>
  <c r="X269" i="11"/>
  <c r="X268" i="11"/>
  <c r="X267" i="11"/>
  <c r="X266" i="11"/>
  <c r="X265" i="11"/>
  <c r="X264" i="11"/>
  <c r="X263" i="11"/>
  <c r="X262" i="11"/>
  <c r="X261" i="11"/>
  <c r="X260" i="11"/>
  <c r="X259" i="11"/>
  <c r="X258" i="11"/>
  <c r="X257" i="11"/>
  <c r="X256" i="11"/>
  <c r="X255" i="11"/>
  <c r="X254" i="11"/>
  <c r="X253" i="11"/>
  <c r="X252" i="11"/>
  <c r="X251" i="11"/>
  <c r="X250" i="11"/>
  <c r="X249" i="11"/>
  <c r="X248" i="11"/>
  <c r="X247" i="11"/>
  <c r="X246" i="11"/>
  <c r="X245" i="11"/>
  <c r="X244" i="11"/>
  <c r="X243" i="11"/>
  <c r="X242" i="11"/>
  <c r="X241" i="11"/>
  <c r="X240" i="11"/>
  <c r="X239" i="11"/>
  <c r="X238" i="11"/>
  <c r="X237" i="11"/>
  <c r="X236" i="11"/>
  <c r="X235" i="11"/>
  <c r="X234" i="11"/>
  <c r="X233" i="11"/>
  <c r="X232" i="11"/>
  <c r="X231" i="11"/>
  <c r="X230" i="11"/>
  <c r="X229" i="11"/>
  <c r="X228" i="11"/>
  <c r="X227" i="11"/>
  <c r="X226" i="11"/>
  <c r="X225" i="11"/>
  <c r="X224" i="11"/>
  <c r="X223" i="11"/>
  <c r="X222" i="11"/>
  <c r="X221" i="11"/>
  <c r="X220" i="11"/>
  <c r="X219" i="11"/>
  <c r="X218" i="11"/>
  <c r="X217" i="11"/>
  <c r="X216" i="11"/>
  <c r="X215" i="11"/>
  <c r="X214" i="11"/>
  <c r="X213" i="11"/>
  <c r="X212" i="11"/>
  <c r="X211" i="11"/>
  <c r="X210" i="11"/>
  <c r="X209" i="11"/>
  <c r="X208" i="11"/>
  <c r="X207" i="11"/>
  <c r="X206" i="11"/>
  <c r="X205" i="11"/>
  <c r="X204" i="11"/>
  <c r="X203" i="11"/>
  <c r="X202" i="11"/>
  <c r="X201" i="11"/>
  <c r="X200" i="11"/>
  <c r="X199" i="11"/>
  <c r="X198" i="11"/>
  <c r="X197" i="11"/>
  <c r="X196" i="11"/>
  <c r="X195" i="11"/>
  <c r="X194" i="11"/>
  <c r="X193" i="11"/>
  <c r="X192" i="11"/>
  <c r="X191" i="11"/>
  <c r="X190" i="11"/>
  <c r="X189" i="11"/>
  <c r="X188" i="11"/>
  <c r="X187" i="11"/>
  <c r="X186" i="11"/>
  <c r="X185" i="11"/>
  <c r="X184" i="11"/>
  <c r="X183" i="11"/>
  <c r="X182" i="11"/>
  <c r="X181" i="11"/>
  <c r="X180" i="11"/>
  <c r="X179" i="11"/>
  <c r="X178" i="11"/>
  <c r="X177" i="11"/>
  <c r="X176" i="11"/>
  <c r="X175" i="11"/>
  <c r="X174" i="11"/>
  <c r="X173" i="11"/>
  <c r="X172" i="11"/>
  <c r="X171" i="11"/>
  <c r="X170" i="11"/>
  <c r="X169" i="11"/>
  <c r="X168" i="11"/>
  <c r="X167" i="11"/>
  <c r="X166" i="11"/>
  <c r="X165" i="11"/>
  <c r="X164" i="11"/>
  <c r="X163" i="11"/>
  <c r="X162" i="11"/>
  <c r="X161" i="11"/>
  <c r="X160" i="11"/>
  <c r="X159" i="11"/>
  <c r="X158" i="11"/>
  <c r="X157" i="11"/>
  <c r="X156" i="11"/>
  <c r="X155" i="11"/>
  <c r="X154" i="11"/>
  <c r="X153" i="11"/>
  <c r="X152" i="11"/>
  <c r="X151" i="11"/>
  <c r="X150" i="11"/>
  <c r="X149" i="11"/>
  <c r="X148" i="11"/>
  <c r="X147" i="11"/>
  <c r="X146" i="11"/>
  <c r="X145" i="11"/>
  <c r="X144" i="11"/>
  <c r="X143" i="11"/>
  <c r="X141" i="11"/>
  <c r="X140" i="11"/>
  <c r="X139" i="11"/>
  <c r="X138" i="11"/>
  <c r="X137" i="11"/>
  <c r="X136" i="11"/>
  <c r="X135" i="11"/>
  <c r="X134" i="11"/>
  <c r="X133" i="11"/>
  <c r="X132" i="11"/>
  <c r="X131" i="11"/>
  <c r="X130" i="11"/>
  <c r="X129" i="11"/>
  <c r="X128" i="11"/>
  <c r="X127" i="11"/>
  <c r="X126" i="11"/>
  <c r="X125" i="11"/>
  <c r="X124" i="11"/>
  <c r="X123" i="11"/>
  <c r="X122" i="11"/>
  <c r="X121" i="11"/>
  <c r="X120" i="11"/>
  <c r="X119" i="11"/>
  <c r="X118" i="11"/>
  <c r="X117" i="11"/>
  <c r="X116" i="11"/>
  <c r="X115" i="11"/>
  <c r="X114" i="11"/>
  <c r="X113" i="11"/>
  <c r="X112" i="11"/>
  <c r="X111" i="11"/>
  <c r="X110" i="11"/>
  <c r="X109" i="11"/>
  <c r="X108" i="11"/>
  <c r="X107" i="11"/>
  <c r="X106" i="11"/>
  <c r="X105" i="11"/>
  <c r="X104" i="11"/>
  <c r="X103" i="11"/>
  <c r="X102" i="11"/>
  <c r="X101" i="11"/>
  <c r="X100" i="11"/>
  <c r="X99" i="11"/>
  <c r="X98" i="11"/>
  <c r="X97" i="11"/>
  <c r="X96" i="11"/>
  <c r="X95" i="11"/>
  <c r="X94" i="11"/>
  <c r="X93" i="11"/>
  <c r="X92" i="11"/>
  <c r="X91" i="11"/>
  <c r="X90" i="11"/>
  <c r="X89" i="11"/>
  <c r="X88" i="11"/>
  <c r="X87" i="11"/>
  <c r="X86" i="11"/>
  <c r="X85" i="11"/>
  <c r="X84" i="11"/>
  <c r="X83" i="11"/>
  <c r="X82" i="11"/>
  <c r="X81" i="11"/>
  <c r="X80" i="11"/>
  <c r="X79" i="11"/>
  <c r="X78" i="11"/>
  <c r="X77" i="11"/>
  <c r="X76" i="11"/>
  <c r="X75" i="11"/>
  <c r="X74" i="11"/>
  <c r="X73" i="11"/>
  <c r="X72" i="11"/>
  <c r="X71" i="11"/>
  <c r="X70" i="11"/>
  <c r="X69" i="11"/>
  <c r="X68" i="11"/>
  <c r="X67" i="11"/>
  <c r="X66" i="11"/>
  <c r="X65" i="11"/>
  <c r="X64" i="11"/>
  <c r="X63" i="11"/>
  <c r="X62" i="11"/>
  <c r="X61" i="11"/>
  <c r="X60" i="11"/>
  <c r="X59" i="11"/>
  <c r="X58" i="11"/>
  <c r="X57" i="11"/>
  <c r="X56" i="11"/>
  <c r="X55" i="11"/>
  <c r="X54" i="11"/>
  <c r="X53" i="11"/>
  <c r="X52" i="11"/>
  <c r="X51" i="11"/>
  <c r="X50" i="11"/>
  <c r="X49" i="11"/>
  <c r="X48" i="11"/>
  <c r="X47" i="11"/>
  <c r="X46" i="11"/>
  <c r="X45" i="11"/>
  <c r="X44" i="11"/>
  <c r="X43" i="1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FB11" i="13" l="1"/>
  <c r="FZ8" i="13"/>
  <c r="X274" i="11"/>
  <c r="Y274" i="11" s="1"/>
  <c r="Z274" i="11" s="1"/>
  <c r="X817" i="11"/>
  <c r="Y817" i="11" s="1"/>
  <c r="Z817" i="11" s="1"/>
  <c r="X606" i="11"/>
  <c r="Y606" i="11" s="1"/>
  <c r="Z606" i="11" s="1"/>
  <c r="X142" i="11"/>
  <c r="X345" i="11"/>
  <c r="Y345" i="11" s="1"/>
  <c r="Z345" i="11" s="1"/>
  <c r="X718" i="11"/>
  <c r="Y718" i="11" s="1"/>
  <c r="Z718" i="11" s="1"/>
  <c r="C11" i="13"/>
  <c r="B11" i="13"/>
  <c r="FZ11" i="13" l="1"/>
  <c r="GA8" i="13"/>
  <c r="A8" i="2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B20" i="20"/>
  <c r="K16" i="20"/>
  <c r="J16" i="20"/>
  <c r="J17" i="20" s="1"/>
  <c r="M13" i="20"/>
  <c r="D13" i="20"/>
  <c r="N13" i="20" s="1"/>
  <c r="M12" i="20"/>
  <c r="D12" i="20"/>
  <c r="N12" i="20" s="1"/>
  <c r="A12" i="20"/>
  <c r="L12" i="20" s="1"/>
  <c r="M11" i="20"/>
  <c r="D11" i="20"/>
  <c r="N11" i="20" s="1"/>
  <c r="A11" i="20"/>
  <c r="L11" i="20" s="1"/>
  <c r="N10" i="20"/>
  <c r="M10" i="20"/>
  <c r="L10" i="20"/>
  <c r="D10" i="20"/>
  <c r="M5" i="20"/>
  <c r="M16" i="20" l="1"/>
  <c r="FZ13" i="13"/>
  <c r="FZ14" i="13" s="1"/>
  <c r="GA11" i="13"/>
  <c r="A33" i="21"/>
  <c r="A13" i="20"/>
  <c r="L13" i="20" s="1"/>
  <c r="A34" i="21" l="1"/>
  <c r="A35" i="21" l="1"/>
  <c r="A36" i="21" l="1"/>
  <c r="A37" i="21" l="1"/>
  <c r="A38" i="21" l="1"/>
  <c r="A39" i="21" l="1"/>
  <c r="A40" i="21" l="1"/>
  <c r="A41" i="21" l="1"/>
  <c r="A42" i="21" l="1"/>
  <c r="A43" i="21" l="1"/>
  <c r="A44" i="21" l="1"/>
  <c r="A45" i="21" l="1"/>
  <c r="A46" i="21" l="1"/>
  <c r="A47" i="21" l="1"/>
  <c r="A48" i="21" l="1"/>
  <c r="A49" i="21" l="1"/>
  <c r="A50" i="21" l="1"/>
  <c r="A51" i="21" l="1"/>
</calcChain>
</file>

<file path=xl/comments1.xml><?xml version="1.0" encoding="utf-8"?>
<comments xmlns="http://schemas.openxmlformats.org/spreadsheetml/2006/main">
  <authors>
    <author/>
  </authors>
  <commentList>
    <comment ref="I22" authorId="0" shapeId="0">
      <text>
        <r>
          <rPr>
            <sz val="11"/>
            <color rgb="FF000000"/>
            <rFont val="Calibri"/>
            <family val="2"/>
          </rPr>
          <t xml:space="preserve">Casper, Joshua:
CISCO LEASE PAYMENTS
</t>
        </r>
      </text>
    </comment>
    <comment ref="K22" authorId="0" shapeId="0">
      <text>
        <r>
          <rPr>
            <sz val="11"/>
            <color rgb="FF000000"/>
            <rFont val="Calibri"/>
            <family val="2"/>
          </rPr>
          <t>Casper, Joshua:
IBM LEASE</t>
        </r>
      </text>
    </comment>
    <comment ref="I47" authorId="0" shapeId="0">
      <text>
        <r>
          <rPr>
            <sz val="11"/>
            <color rgb="FF000000"/>
            <rFont val="Calibri"/>
            <family val="2"/>
          </rPr>
          <t xml:space="preserve">Casper, Joshua:
CISCO LEASE PAYMENTS
</t>
        </r>
      </text>
    </comment>
    <comment ref="K47" authorId="0" shapeId="0">
      <text>
        <r>
          <rPr>
            <sz val="11"/>
            <color rgb="FF000000"/>
            <rFont val="Calibri"/>
            <family val="2"/>
          </rPr>
          <t>Casper, Joshua:
IBM LEASE</t>
        </r>
      </text>
    </comment>
    <comment ref="I74" authorId="0" shapeId="0">
      <text>
        <r>
          <rPr>
            <sz val="11"/>
            <color rgb="FF000000"/>
            <rFont val="Calibri"/>
            <family val="2"/>
          </rPr>
          <t xml:space="preserve">Casper, Joshua:
CISCO LEASE PAYMENTS
</t>
        </r>
      </text>
    </comment>
    <comment ref="K74" authorId="0" shapeId="0">
      <text>
        <r>
          <rPr>
            <sz val="11"/>
            <color rgb="FF000000"/>
            <rFont val="Calibri"/>
            <family val="2"/>
          </rPr>
          <t>Casper, Joshua:
IBM LEASE</t>
        </r>
      </text>
    </comment>
    <comment ref="I102" authorId="0" shapeId="0">
      <text>
        <r>
          <rPr>
            <sz val="11"/>
            <color rgb="FF000000"/>
            <rFont val="Calibri"/>
            <family val="2"/>
          </rPr>
          <t xml:space="preserve">Casper, Joshua:
CISCO LEASE PAYMENTS
</t>
        </r>
      </text>
    </comment>
    <comment ref="K102" authorId="0" shapeId="0">
      <text>
        <r>
          <rPr>
            <sz val="11"/>
            <color rgb="FF000000"/>
            <rFont val="Calibri"/>
            <family val="2"/>
          </rPr>
          <t>Casper, Joshua:
IBM LEASE</t>
        </r>
      </text>
    </comment>
    <comment ref="I128" authorId="0" shapeId="0">
      <text>
        <r>
          <rPr>
            <sz val="11"/>
            <color rgb="FF000000"/>
            <rFont val="Calibri"/>
            <family val="2"/>
          </rPr>
          <t xml:space="preserve">Casper, Joshua:
CISCO LEASE PAYMENTS
</t>
        </r>
      </text>
    </comment>
    <comment ref="K128" authorId="0" shapeId="0">
      <text>
        <r>
          <rPr>
            <sz val="11"/>
            <color rgb="FF000000"/>
            <rFont val="Calibri"/>
            <family val="2"/>
          </rPr>
          <t>Casper, Joshua:
IBM LEASE</t>
        </r>
      </text>
    </comment>
    <comment ref="I153" authorId="0" shapeId="0">
      <text>
        <r>
          <rPr>
            <sz val="11"/>
            <color rgb="FF000000"/>
            <rFont val="Calibri"/>
            <family val="2"/>
          </rPr>
          <t xml:space="preserve">Casper, Joshua:
CISCO LEASE PAYMENTS
</t>
        </r>
      </text>
    </comment>
    <comment ref="K153" authorId="0" shapeId="0">
      <text>
        <r>
          <rPr>
            <sz val="11"/>
            <color rgb="FF000000"/>
            <rFont val="Calibri"/>
            <family val="2"/>
          </rPr>
          <t>Casper, Joshua:
IBM LEASE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37" authorId="0" shapeId="0">
      <text>
        <r>
          <rPr>
            <sz val="11"/>
            <color rgb="FF000000"/>
            <rFont val="Calibri"/>
            <family val="2"/>
          </rPr>
          <t>Naseem, Saad:
Wire-in BLUIP INC</t>
        </r>
      </text>
    </comment>
  </commentList>
</comments>
</file>

<file path=xl/sharedStrings.xml><?xml version="1.0" encoding="utf-8"?>
<sst xmlns="http://schemas.openxmlformats.org/spreadsheetml/2006/main" count="9714" uniqueCount="1192">
  <si>
    <t xml:space="preserve">Quick Book is good and cheaper Option. It Can Support Multiple Users and Multiple Companies can setup in it. </t>
  </si>
  <si>
    <t>LANDING DASHBOARD</t>
  </si>
  <si>
    <t xml:space="preserve">REPORTS AND DATA INPUT FORMATS </t>
  </si>
  <si>
    <t>Landing Dashboard should split in below categories and ONE click on each we can move to that specific Area.</t>
  </si>
  <si>
    <t>-  Financail Statistics</t>
  </si>
  <si>
    <t>-  KPI Dashborad</t>
  </si>
  <si>
    <t xml:space="preserve">Reports </t>
  </si>
  <si>
    <t xml:space="preserve">-  Sales and Marketing </t>
  </si>
  <si>
    <t>-  Operational Activities</t>
  </si>
  <si>
    <t>FINANCIAL STATISTICS :</t>
  </si>
  <si>
    <t>DATA Input Formats</t>
  </si>
  <si>
    <t>Monthly Financial Statements</t>
  </si>
  <si>
    <t>This will depicts Financial Numbers for decision making and Control purpose.</t>
  </si>
  <si>
    <t>BS and Income Statement'!A1</t>
  </si>
  <si>
    <t>Description</t>
  </si>
  <si>
    <t>Data Source</t>
  </si>
  <si>
    <t>Dashboard Presentation</t>
  </si>
  <si>
    <t xml:space="preserve">Financial Projections /Budget  </t>
  </si>
  <si>
    <t>Balance Sheet and Profit loss Statement. Update Monthly /Weekly.</t>
  </si>
  <si>
    <t>Report pulled from accounting system</t>
  </si>
  <si>
    <t>Tabular Form</t>
  </si>
  <si>
    <t>Projected Cash flow - Showing expected Daily Cash Inflows and Outflows- Update on Daily bases.</t>
  </si>
  <si>
    <t>Excel based daily report - Format attached</t>
  </si>
  <si>
    <t>Daily Sales Report</t>
  </si>
  <si>
    <t>Sales Report</t>
  </si>
  <si>
    <t>Sales Report'!A1</t>
  </si>
  <si>
    <t>Sales report pulled from Accounting system</t>
  </si>
  <si>
    <t>Graphical</t>
  </si>
  <si>
    <t xml:space="preserve">Cost activity report </t>
  </si>
  <si>
    <t>Cost report pulled from Accounting system</t>
  </si>
  <si>
    <t>Account receivable and Accounts payable Report. This will Show Actual AR balance of customer and vendor along with aging.</t>
  </si>
  <si>
    <t>Reports pulled from Accounting system</t>
  </si>
  <si>
    <t>Weekly Management Report</t>
  </si>
  <si>
    <t>Daily Bank Report - This will show Bank and Cash in Hand at the end of day.</t>
  </si>
  <si>
    <t>Numbers pulled from Accounting system</t>
  </si>
  <si>
    <t>Gross Margin Detail - This will show Gross Margin per Product Segment.</t>
  </si>
  <si>
    <t>Chart of Accounts</t>
  </si>
  <si>
    <t>Chart of Account'!A1</t>
  </si>
  <si>
    <t>KPI DASH BOARD</t>
  </si>
  <si>
    <t xml:space="preserve">Here we will Compare performance between selected KPIs and Target Achieved. </t>
  </si>
  <si>
    <t>Monthly Accounting Adjustments for Financial Close</t>
  </si>
  <si>
    <t>Accounting adjustment workplan'!A1</t>
  </si>
  <si>
    <t>Daily Bank Reconciliation Statements</t>
  </si>
  <si>
    <t>Bank Reconciliation Format'!A1</t>
  </si>
  <si>
    <t>Budget - where we will compare different elements of Budget against Actual</t>
  </si>
  <si>
    <t>Excel based  Budgets/Projections</t>
  </si>
  <si>
    <t>Daily Cash Flow Projections</t>
  </si>
  <si>
    <t>Cash Projection'!A1</t>
  </si>
  <si>
    <t xml:space="preserve">Revenue -  Actual Vs. Forecasted Numbers </t>
  </si>
  <si>
    <t>Forecasted Sales Report and Actual sales from Accounting system</t>
  </si>
  <si>
    <t>Financial ratios - Profit to Sales Ratio , Operating expenses to Sales ,Debt to equity ratio  and Others. This will be against Predefined KPI's.</t>
  </si>
  <si>
    <t>Ratio Analysis Working</t>
  </si>
  <si>
    <t>Inventory Management</t>
  </si>
  <si>
    <t>Inventory Report'!A1</t>
  </si>
  <si>
    <t>Actual operational expenses vs. Budgeted Operating Expenses</t>
  </si>
  <si>
    <t>Budgeted Operational expenses and Actual sales from Accounting system</t>
  </si>
  <si>
    <t xml:space="preserve">Account Receivable Aging Report </t>
  </si>
  <si>
    <t>AR Report'!A1</t>
  </si>
  <si>
    <t xml:space="preserve">Sales Management </t>
  </si>
  <si>
    <t xml:space="preserve">Account payable  Aging Report </t>
  </si>
  <si>
    <t>AP Report'!A1</t>
  </si>
  <si>
    <t>This will track sales based on product, region, and customer type.</t>
  </si>
  <si>
    <t>Sales Reports/ Data Input from Sales Force</t>
  </si>
  <si>
    <t xml:space="preserve">Target Market vs. actual markets,  Average Revenue per market </t>
  </si>
  <si>
    <t>Data input from marketing team</t>
  </si>
  <si>
    <t>Competitor Analysis</t>
  </si>
  <si>
    <t>Operational Activities</t>
  </si>
  <si>
    <t>Inventory showing Aging , stock detail and future stock requirements</t>
  </si>
  <si>
    <t>Sales Operational Team</t>
  </si>
  <si>
    <t>Graphical/Tabular</t>
  </si>
  <si>
    <t>Employee Headcount and Turnover Statistics</t>
  </si>
  <si>
    <t>HR Report</t>
  </si>
  <si>
    <t>BALANCE SHEET</t>
  </si>
  <si>
    <t>INCOME STATEMENT</t>
  </si>
  <si>
    <t>As of</t>
  </si>
  <si>
    <t>ASSETS:</t>
  </si>
  <si>
    <t>Jan 2017</t>
  </si>
  <si>
    <t>Feb 2017</t>
  </si>
  <si>
    <t>Mar 2017</t>
  </si>
  <si>
    <t>Qtr 
Jan - Mar 17</t>
  </si>
  <si>
    <t>Current assets:</t>
  </si>
  <si>
    <t>Ordinary Income/Expense</t>
  </si>
  <si>
    <t>Cash and cash equivalents</t>
  </si>
  <si>
    <t>Income</t>
  </si>
  <si>
    <t>Accounts receivable</t>
  </si>
  <si>
    <t>Cost of Goods Sold</t>
  </si>
  <si>
    <t>Prepaid expenses and other current assets</t>
  </si>
  <si>
    <t>Gross Profit</t>
  </si>
  <si>
    <t>Total current assets</t>
  </si>
  <si>
    <t>Operating Expenses</t>
  </si>
  <si>
    <t>Fixed assets:</t>
  </si>
  <si>
    <t>Other Income/Expense</t>
  </si>
  <si>
    <t>Property and equipment, net of accumulated</t>
  </si>
  <si>
    <t>Net Income</t>
  </si>
  <si>
    <t>depreciation and amortization</t>
  </si>
  <si>
    <t>Total Fixed assets</t>
  </si>
  <si>
    <t>TOTAL ASSETS</t>
  </si>
  <si>
    <t>LIABILITIES AND STOCKHOLDERS' EQUITY:</t>
  </si>
  <si>
    <t>Current liabilities:</t>
  </si>
  <si>
    <t>Accounts payable</t>
  </si>
  <si>
    <t>Credit Card</t>
  </si>
  <si>
    <t>Accrued expenses</t>
  </si>
  <si>
    <t>Other Liabilities</t>
  </si>
  <si>
    <t>Total current liabilities</t>
  </si>
  <si>
    <t>Long Term Liabilities</t>
  </si>
  <si>
    <t>Total Liabilities</t>
  </si>
  <si>
    <t>BANK RECONCILATION STATEMENT - FORMAT</t>
  </si>
  <si>
    <t>Stockholders' equity:</t>
  </si>
  <si>
    <t>Common stock</t>
  </si>
  <si>
    <t>Accumulated surplus / (deficit)</t>
  </si>
  <si>
    <t>BANK STATEMENT TRANSACTIONS</t>
  </si>
  <si>
    <t>Total stockholders' equity</t>
  </si>
  <si>
    <t>Total liabilities and stockholders' equity</t>
  </si>
  <si>
    <t xml:space="preserve">Transactions in Company  Books to Roll to Bank Balance </t>
  </si>
  <si>
    <t>Day</t>
  </si>
  <si>
    <t xml:space="preserve">To be Populated from QB  but but not needed for MVP </t>
  </si>
  <si>
    <t>Date</t>
  </si>
  <si>
    <t>Beg Balance</t>
  </si>
  <si>
    <t>Account Heads</t>
  </si>
  <si>
    <t>End Balance</t>
  </si>
  <si>
    <t xml:space="preserve"> Bank Balance</t>
  </si>
  <si>
    <t>Beg GL Balance</t>
  </si>
  <si>
    <t xml:space="preserve">End GL Balance </t>
  </si>
  <si>
    <t xml:space="preserve">Total GL Balance </t>
  </si>
  <si>
    <t xml:space="preserve">Roll to Bank </t>
  </si>
  <si>
    <t>Bank To G/L</t>
  </si>
  <si>
    <t>T</t>
  </si>
  <si>
    <t>W</t>
  </si>
  <si>
    <t>F</t>
  </si>
  <si>
    <t>S</t>
  </si>
  <si>
    <t>M</t>
  </si>
  <si>
    <t>Total</t>
  </si>
  <si>
    <t>*</t>
  </si>
  <si>
    <t>Company Name</t>
  </si>
  <si>
    <t>Outlet ID</t>
  </si>
  <si>
    <t>Co ID</t>
  </si>
  <si>
    <t>Co Name</t>
  </si>
  <si>
    <t>Invoice Date</t>
  </si>
  <si>
    <t xml:space="preserve">Invoice # </t>
  </si>
  <si>
    <t xml:space="preserve">SKU /Product # </t>
  </si>
  <si>
    <t xml:space="preserve">Product Category </t>
  </si>
  <si>
    <t>Customer #</t>
  </si>
  <si>
    <t xml:space="preserve">Bill to # </t>
  </si>
  <si>
    <t xml:space="preserve">Bill to Party Name                 </t>
  </si>
  <si>
    <t>State Code</t>
  </si>
  <si>
    <t xml:space="preserve">Ship to State       </t>
  </si>
  <si>
    <t xml:space="preserve">Reference </t>
  </si>
  <si>
    <t xml:space="preserve">Total Sales </t>
  </si>
  <si>
    <t>Discount</t>
  </si>
  <si>
    <t>Commissions</t>
  </si>
  <si>
    <t xml:space="preserve">Net Sales </t>
  </si>
  <si>
    <t xml:space="preserve">Allocations </t>
  </si>
  <si>
    <t xml:space="preserve">COGS1 </t>
  </si>
  <si>
    <t>COGS2</t>
  </si>
  <si>
    <t xml:space="preserve">COGS3 </t>
  </si>
  <si>
    <t xml:space="preserve">Total Cogs </t>
  </si>
  <si>
    <t xml:space="preserve">GM </t>
  </si>
  <si>
    <t xml:space="preserve">GM % </t>
  </si>
  <si>
    <t>G/L account</t>
  </si>
  <si>
    <t>Account name</t>
  </si>
  <si>
    <t xml:space="preserve">Cost Center </t>
  </si>
  <si>
    <t xml:space="preserve">Cost Center Number </t>
  </si>
  <si>
    <t xml:space="preserve">Project Code </t>
  </si>
  <si>
    <t xml:space="preserve">Project Name </t>
  </si>
  <si>
    <t>Region</t>
  </si>
  <si>
    <t>Cost $</t>
  </si>
  <si>
    <t xml:space="preserve">Tax </t>
  </si>
  <si>
    <t>Others</t>
  </si>
  <si>
    <t xml:space="preserve">Net Amount </t>
  </si>
  <si>
    <t xml:space="preserve">Currency </t>
  </si>
  <si>
    <t>Amount in Reported Curr</t>
  </si>
  <si>
    <t>$</t>
  </si>
  <si>
    <t>Travel</t>
  </si>
  <si>
    <t>Sat</t>
  </si>
  <si>
    <t>Sun</t>
  </si>
  <si>
    <t>Mon</t>
  </si>
  <si>
    <t>Wed</t>
  </si>
  <si>
    <t>Thu</t>
  </si>
  <si>
    <t>Fri</t>
  </si>
  <si>
    <t>Name</t>
  </si>
  <si>
    <t>All Closed</t>
  </si>
  <si>
    <t>Value</t>
  </si>
  <si>
    <t>Transaction</t>
  </si>
  <si>
    <t>x</t>
  </si>
  <si>
    <t>Cash Beginning Balance</t>
  </si>
  <si>
    <t xml:space="preserve">Payroll </t>
  </si>
  <si>
    <t>Accounting Adjustments</t>
  </si>
  <si>
    <t>Sample Work Plan</t>
  </si>
  <si>
    <t>Feburary 2017</t>
  </si>
  <si>
    <t>JE #</t>
  </si>
  <si>
    <t>JE Description</t>
  </si>
  <si>
    <t>Nature</t>
  </si>
  <si>
    <t>Staff Allocation</t>
  </si>
  <si>
    <t>DATA SOURCE</t>
  </si>
  <si>
    <t>Reversing</t>
  </si>
  <si>
    <t>Monthly</t>
  </si>
  <si>
    <t>Payroll Dept</t>
  </si>
  <si>
    <t>Rent Accrual</t>
  </si>
  <si>
    <t>Occassional</t>
  </si>
  <si>
    <t>Admin Corporate</t>
  </si>
  <si>
    <t>Prepaid Amortization</t>
  </si>
  <si>
    <t>Agreements</t>
  </si>
  <si>
    <t>Current Period Depreciation</t>
  </si>
  <si>
    <t>Fixed Asset Listing</t>
  </si>
  <si>
    <t>Cash Balance End of Day Today</t>
  </si>
  <si>
    <t>GMD /Revenue Adjustments</t>
  </si>
  <si>
    <t>Software</t>
  </si>
  <si>
    <t>Legal Accrual</t>
  </si>
  <si>
    <t xml:space="preserve">Trade A/P Accrual </t>
  </si>
  <si>
    <t xml:space="preserve">AP Accrual </t>
  </si>
  <si>
    <t>AP Dept.</t>
  </si>
  <si>
    <t>Prepared  BY:</t>
  </si>
  <si>
    <t>Journal Voucher</t>
  </si>
  <si>
    <t>Document # :</t>
  </si>
  <si>
    <t>Date Entered:</t>
  </si>
  <si>
    <t>Reversing Park Document #:</t>
  </si>
  <si>
    <t>Date To Be Rev. :</t>
  </si>
  <si>
    <t>N</t>
  </si>
  <si>
    <t>Review/Approved  BY:</t>
  </si>
  <si>
    <t>Account  Description</t>
  </si>
  <si>
    <t>Cctr Desc</t>
  </si>
  <si>
    <t>Pk</t>
  </si>
  <si>
    <t>GL Acct</t>
  </si>
  <si>
    <t>Cctr</t>
  </si>
  <si>
    <t>Co</t>
  </si>
  <si>
    <t>Cat</t>
  </si>
  <si>
    <t>Text</t>
  </si>
  <si>
    <t>Debit</t>
  </si>
  <si>
    <t>Credit</t>
  </si>
  <si>
    <t>Abs Amt</t>
  </si>
  <si>
    <t>Rev PK</t>
  </si>
  <si>
    <t>Out of Balance</t>
  </si>
  <si>
    <t>Explanation:</t>
  </si>
  <si>
    <t>CHART OF ACCOUNT</t>
  </si>
  <si>
    <t>SAMPLE GL ACCOUNT &amp; DESCRIPTION</t>
  </si>
  <si>
    <t xml:space="preserve">SAMPLE Cost Centers &amp; Profit Centers </t>
  </si>
  <si>
    <t>Status</t>
  </si>
  <si>
    <t>Petty Cash</t>
  </si>
  <si>
    <t>Active</t>
  </si>
  <si>
    <t>Bank Account</t>
  </si>
  <si>
    <t>Accounts Receivable - Trade</t>
  </si>
  <si>
    <t>Cost Center</t>
  </si>
  <si>
    <t>Category</t>
  </si>
  <si>
    <t>Created on</t>
  </si>
  <si>
    <t>Created by</t>
  </si>
  <si>
    <t>Credit Card - MasterCard</t>
  </si>
  <si>
    <t>Sales - Seattle</t>
  </si>
  <si>
    <t xml:space="preserve">Inventory </t>
  </si>
  <si>
    <t>Service - Seattle</t>
  </si>
  <si>
    <t>Prepaid Insurance</t>
  </si>
  <si>
    <t>Sales - Portland</t>
  </si>
  <si>
    <t>Deposits</t>
  </si>
  <si>
    <t>Service -Los Angeles</t>
  </si>
  <si>
    <t>Deposits Reserve</t>
  </si>
  <si>
    <t>Business Dev Speclst</t>
  </si>
  <si>
    <t>Computer Equipment</t>
  </si>
  <si>
    <t>Software Group</t>
  </si>
  <si>
    <t>Computer Software</t>
  </si>
  <si>
    <t>Adm - Executive Mana</t>
  </si>
  <si>
    <t>Furniture &amp; Fixtures</t>
  </si>
  <si>
    <t>Adm -  Facilitie</t>
  </si>
  <si>
    <t>Accumulated Depreciation - Leasehold Improvements</t>
  </si>
  <si>
    <t>Adm - Human Resource</t>
  </si>
  <si>
    <t>Intangible Assets</t>
  </si>
  <si>
    <t>Goodwill</t>
  </si>
  <si>
    <t>Accrued Expenses</t>
  </si>
  <si>
    <t>Payroll Control A/C</t>
  </si>
  <si>
    <t>Common Stock</t>
  </si>
  <si>
    <t>Paid-In Capital</t>
  </si>
  <si>
    <t>Retained Earnings - Beginning Year</t>
  </si>
  <si>
    <t>Retained Earnings</t>
  </si>
  <si>
    <t>Sales</t>
  </si>
  <si>
    <t>COGS</t>
  </si>
  <si>
    <t xml:space="preserve">Head Count Cost </t>
  </si>
  <si>
    <t xml:space="preserve">Salary </t>
  </si>
  <si>
    <t xml:space="preserve">Only Show 80% if the value </t>
  </si>
  <si>
    <t xml:space="preserve">Bonus </t>
  </si>
  <si>
    <t xml:space="preserve">Insurance </t>
  </si>
  <si>
    <t>Overtime</t>
  </si>
  <si>
    <t>Severance Payout</t>
  </si>
  <si>
    <t>Capitalized Labor Credit</t>
  </si>
  <si>
    <t>Payroll Taxes</t>
  </si>
  <si>
    <t>Medical Insurance</t>
  </si>
  <si>
    <t>Lodging</t>
  </si>
  <si>
    <t>Meals</t>
  </si>
  <si>
    <t>Entertainment</t>
  </si>
  <si>
    <t>Consulting</t>
  </si>
  <si>
    <t>Professional Services</t>
  </si>
  <si>
    <t>Outside Services</t>
  </si>
  <si>
    <t>Outsource People Cost</t>
  </si>
  <si>
    <t>Outsource Mgmt Fee</t>
  </si>
  <si>
    <t>Legal Expense</t>
  </si>
  <si>
    <t>Depreciation</t>
  </si>
  <si>
    <t>Office Rent</t>
  </si>
  <si>
    <t>Interest Income</t>
  </si>
  <si>
    <t>Interest Expense</t>
  </si>
  <si>
    <t>US</t>
  </si>
  <si>
    <t>California</t>
  </si>
  <si>
    <t>Products ($ 000)</t>
  </si>
  <si>
    <t>July 2017</t>
  </si>
  <si>
    <t>Product</t>
  </si>
  <si>
    <t xml:space="preserve">Country </t>
  </si>
  <si>
    <t>GLSTN</t>
  </si>
  <si>
    <t>Gullistan Hotels</t>
  </si>
  <si>
    <t>CHECK</t>
  </si>
  <si>
    <t>SJ</t>
  </si>
  <si>
    <t>Household</t>
  </si>
  <si>
    <t>COGS-Material</t>
  </si>
  <si>
    <t>COGS-Labor</t>
  </si>
  <si>
    <t>ATM 874610         C&amp;C SMART    FOODS   SAN JOSE     CA      ##8041</t>
  </si>
  <si>
    <t>ATM 741061         FOODMAXX#460 S    SAN JOSE     CA      ##8041</t>
  </si>
  <si>
    <t>ATM C&amp;C SMART FOOD51705713      SAN JOSE        CA ON 170103 #8041</t>
  </si>
  <si>
    <t>ATM 872536         C&amp;C SMART    FOODS   SAN JOSE     CA      ##8041</t>
  </si>
  <si>
    <t>DIRECTDEP WorldPay              BNKCRD DEP 010317 LK444137 229014 CCD</t>
  </si>
  <si>
    <t>DIRECTDEP WorldPay              BNKCRD DEP 010317 LK444137 230015 CCD</t>
  </si>
  <si>
    <t>DIRECTDEP WorldPay              BNKCRD DEP 010317 LK444137 231016 CCD</t>
  </si>
  <si>
    <t>DIRECTDEP DOORDASH.COM          TRANSFER   010317 DoorDash Inc.  CCD</t>
  </si>
  <si>
    <t>CREDIT VALUED CUSTOMER MONTHLY  SERVICE CHARGE REBATE</t>
  </si>
  <si>
    <t>ATM 421098         WALGREENS    STOR    SAN JOSE     CA      ##8041</t>
  </si>
  <si>
    <t>ATM THIEN THANH MARKET          SAN JOSE        CA ON 170104 #8041</t>
  </si>
  <si>
    <t>DIRECTDEP WorldPay              BNKCRD DEP 010417 LK444137 102017 CCD</t>
  </si>
  <si>
    <t>DIRECTDEP UBER USA         EDI  PAYMNT 010417 0163456665      CCD REF*TN*016345666</t>
  </si>
  <si>
    <t>ATM 871123         C&amp;C SMART    FOODS   SAN JOSE     CA      ##8041</t>
  </si>
  <si>
    <t>ATM 297248         COSTCO WHSE  #01   SANTA CLARA  CA      ##8041</t>
  </si>
  <si>
    <t>ATM INTL GOURMET FOODS          SAN JOSE        CA ON 170105 #8041</t>
  </si>
  <si>
    <t>ATM C&amp;C SMART FOOD51705713      SAN JOSE        CA ON 170105 #8041</t>
  </si>
  <si>
    <t>ATM THE ROW HOTEL               SAN JOSE        CA ON 170105 #8041</t>
  </si>
  <si>
    <t>DIRECTDEP WorldPay              BNKCRD DEP 010517 LK444137 103018 CCD</t>
  </si>
  <si>
    <t>ATM CVS/PHARMACY #03029         SAN JOSE        CA ON 170105 #8041</t>
  </si>
  <si>
    <t>ATM 876999         C&amp;C SMART    FOODS   SAN JOSE     CA      ##8041</t>
  </si>
  <si>
    <t>ATM 876771         C&amp;C SMART    FOODS   SAN JOSE     CA      ##8041</t>
  </si>
  <si>
    <t>ATM HALAL MEATS                 SAN JOSE        CA ON 170106 #8041</t>
  </si>
  <si>
    <t>DIRECTDEP WorldPay              BNKCRD DEP 010617 LK444137 104019 CCD</t>
  </si>
  <si>
    <t>ATM BIG LOTS STORES - #455      SAN JOSE        CA ON 170109 #8041</t>
  </si>
  <si>
    <t>ATM 958531         7-ELEVEN          SAN JOSE     CA      ##8041</t>
  </si>
  <si>
    <t>ATM GARLIC                      SANTA CLARA     CA ON 170109 #8041</t>
  </si>
  <si>
    <t>ATM 545310         DONG VINH    INC     SAN JOSE     CA      ##8041</t>
  </si>
  <si>
    <t>ATM 545240         DONG VINH    INC     SAN JOSE     CA      ##8041</t>
  </si>
  <si>
    <t>ATM 545230         DONG VINH    INC     SAN JOSE     CA      ##8041</t>
  </si>
  <si>
    <t>ATM 877255         C&amp;C SMART    FOODS   SAN JOSE     CA      ##8041</t>
  </si>
  <si>
    <t>ATM 878353         C&amp;C SMART    FOODS   SAN JOSE     CA      ##8041</t>
  </si>
  <si>
    <t>DIRECTDEP WorldPay              BNKCRD DEP 010917 LK444137 106021 CCD</t>
  </si>
  <si>
    <t>DIRECTDEP WorldPay              BNKCRD DEP 010917 LK444137 107022 CCD</t>
  </si>
  <si>
    <t>DIRECTDEP WorldPay              BNKCRD DEP 010917 LK444137 105020 CCD</t>
  </si>
  <si>
    <t>ATM 876795         C&amp;C SMART    FOODS   SAN JOSE     CA      ##8041</t>
  </si>
  <si>
    <t>ATM 879756         C&amp;C SMART    FOODS   SAN JOSE     CA      ##8041</t>
  </si>
  <si>
    <t>ATM FOODMAXX#460 SAN JOS        SAN JOSE        CA ON 170110 #8041</t>
  </si>
  <si>
    <t>ATM MERRY MART                  SANTA CLARA     CA ON 170110 #8041</t>
  </si>
  <si>
    <t>DIRECTDEP DOORDASH.COM          TRANSFER   011017 DoorDash Inc.  CCD</t>
  </si>
  <si>
    <t>ATM 99 CENTS ONLY STORES #      SAN JOSE        CA ON 170111 #8041</t>
  </si>
  <si>
    <t>DIRECTDEP WorldPay              BNKCRD DEP 011117 LK444137 109023 CCD</t>
  </si>
  <si>
    <t>DIRECTDEP UBER USA         EDI  PAYMNT 011117 0167705343      CCD REF*TN*016770534</t>
  </si>
  <si>
    <t>ATM 876741         C&amp;C SMART    FOODS   SAN JOSE     CA      ##8041</t>
  </si>
  <si>
    <t>DIRECTDEP WorldPay              BNKCRD DEP 011217 LK444137 110024 CCD</t>
  </si>
  <si>
    <t>ATM 871234         C&amp;C SMART    FOODS   SAN JOSE     CA      ##8041</t>
  </si>
  <si>
    <t>ATM ANWAR BAZAAR &amp; BAKERY       SAN JOSE        CA ON 170113 #8041</t>
  </si>
  <si>
    <t>DIRECTDEP WorldPay              BNKCRD DEP 011317 LK444137 111025 CCD</t>
  </si>
  <si>
    <t>ATM 298526         COSTCO WHSE  #01   SANTA CLARA  CA      ##8041</t>
  </si>
  <si>
    <t>ATM 875981         C&amp;C SMART    FOODS   SAN JOSE     CA      ##8041</t>
  </si>
  <si>
    <t>ATM 878006         C&amp;C SMART    FOODS   SAN JOSE     CA      ##8041</t>
  </si>
  <si>
    <t>ATM 878739         C&amp;C SMART    FOODS   SAN JOSE     CA      ##8041</t>
  </si>
  <si>
    <t>ATM 870460         C&amp;C SMART    FOODS   SAN JOSE     CA      ##8041</t>
  </si>
  <si>
    <t>ATM 878656         C&amp;C SMART    FOODS   SAN JOSE     CA      ##8041</t>
  </si>
  <si>
    <t>ATM ANWAR BAZAAR &amp; BAKERY       SAN JOSE        CA ON 170116 #8041</t>
  </si>
  <si>
    <t>ATM INTL GOURMET FOODS          SAN JOSE        CA ON 170116 #8041</t>
  </si>
  <si>
    <t>ATM BED BATH &amp; BEYOND #651      08004623966     NJ ON 170116 #8041</t>
  </si>
  <si>
    <t>DIRECTDEP WorldPay              BNKCRD DEP 011717 LK444137 114028 CCD</t>
  </si>
  <si>
    <t>DIRECTDEP WorldPay              BNKCRD DEP 011717 LK444137 113027 CCD</t>
  </si>
  <si>
    <t>DIRECTDEP WorldPay              BNKCRD DEP 011717 LK444137 112026 CCD</t>
  </si>
  <si>
    <t>DIRECTDEP DOORDASH.COM          TRANSFER   011717 DoorDash Inc.  CCD</t>
  </si>
  <si>
    <t>DIRECTDEBIT FARMERS INS EXCH    INSPAYMENT 011817 003876551001000 CCD</t>
  </si>
  <si>
    <t>ATM 870663         C&amp;C SMART    FOODS   SAN JOSE     CA      ##8041</t>
  </si>
  <si>
    <t>ATM 878090         C&amp;C SMART    FOODS   SAN JOSE     CA      ##8041</t>
  </si>
  <si>
    <t>DIRECTDEP WorldPay              BNKCRD DEP 011817 LK444137 116029 CCD</t>
  </si>
  <si>
    <t>DIRECTDEP UBER USA         EDI  PAYMNT 011817 0172714703      CCD REF*TN*017271470</t>
  </si>
  <si>
    <t>ATM 872711         C&amp;C SMART    FOODS   SAN JOSE     CA      ##8041</t>
  </si>
  <si>
    <t>ATM 512243         FOODMAXX#460 S    SAN JOSE     CA      ##8041</t>
  </si>
  <si>
    <t>ATM ANWAR BAZAAR &amp; BAKERY       SAN JOSE        CA ON 170119 #8041</t>
  </si>
  <si>
    <t>DIRECTDEP WorldPay              BNKCRD DEP 011917 LK444137 117030 CCD</t>
  </si>
  <si>
    <t>ATM 875531         C&amp;C SMART    FOODS   SAN JOSE     CA      ##8041</t>
  </si>
  <si>
    <t>DIRECTDEP WorldPay              BNKCRD DEP 012017 LK444137 118031 CCD</t>
  </si>
  <si>
    <t>ATM 878119         C&amp;C SMART    FOODS   SAN JOSE     CA      ##8041</t>
  </si>
  <si>
    <t>ATM 870799         C&amp;C SMART    FOODS   SAN JOSE     CA      ##8041</t>
  </si>
  <si>
    <t>ATM 879352         C&amp;C SMART    FOODS   SAN JOSE     CA      ##8041</t>
  </si>
  <si>
    <t>ATM 99 CENTS ONLY STORES #      SAN JOSE        CA ON 170123 #8041</t>
  </si>
  <si>
    <t>ATM 878830         C&amp;C SMART    FOODS   SAN JOSE     CA      ##8041</t>
  </si>
  <si>
    <t>ATM 873655         C&amp;C SMART    FOODS   SAN JOSE     CA      ##8041</t>
  </si>
  <si>
    <t>DIRECTDEP WorldPay              BNKCRD DEP 012317 LK444137 121034 CCD</t>
  </si>
  <si>
    <t>DIRECTDEP WorldPay              BNKCRD DEP 012317 LK444137 120033 CCD</t>
  </si>
  <si>
    <t>DIRECTDEP WorldPay              BNKCRD DEP 012317 LK444137 119032 CCD</t>
  </si>
  <si>
    <t>ATM BIG LOTS STORES - #455      SAN JOSE        CA ON 170124 #8041</t>
  </si>
  <si>
    <t>DIRECTDEP DOORDASH.COM          TRANSFER   012417 DoorDash Inc.  CCD</t>
  </si>
  <si>
    <t>ATM 873817         C&amp;C SMART    FOODS   SAN JOSE     CA      ##8041</t>
  </si>
  <si>
    <t>ATM 273627         LOWE'S #2211      SUNNYVALE    CA      ##8041</t>
  </si>
  <si>
    <t>DIRECTDEP UBER USA         EDI  PAYMNT 012517 0177141145      CCD REF*TN*017714114</t>
  </si>
  <si>
    <t>DIRECTDEP WorldPay              BNKCRD DEP 012517 LK444137 123035 CCD</t>
  </si>
  <si>
    <t>ATM 877229         C&amp;C SMART    FOODS   SAN JOSE     CA      ##8041</t>
  </si>
  <si>
    <t>ATM 400007         BARNESNOB    3600 St San Jose     CA      ##8041</t>
  </si>
  <si>
    <t>ATM 872694         C&amp;C SMART    FOODS   SAN JOSE     CA      ##8041</t>
  </si>
  <si>
    <t>DIRECTDEP WorldPay              BNKCRD DEP 012617 LK444137 124036 CCD</t>
  </si>
  <si>
    <t>ATM 870715         C&amp;C SMART    FOODS   SAN JOSE     CA      ##8041</t>
  </si>
  <si>
    <t>ATM 274393         RESTAURANT   DEP    SAN JOSE     CA      ##8041</t>
  </si>
  <si>
    <t>DIRECTDEP WorldPay              BNKCRD DEP 012717 LK444137 125037 CCD</t>
  </si>
  <si>
    <t>ATM 360237         FOODMAXX#460 S    SAN JOSE     CA      ##8041</t>
  </si>
  <si>
    <t>ATM 874308         C&amp;C SMART    FOODS   SAN JOSE     CA      ##8041</t>
  </si>
  <si>
    <t>ATM 225767         Wal-Mart     Super    MILPITAS     CA      ##8041</t>
  </si>
  <si>
    <t>ATM 181183         Wal-Mart     Super    MILPITAS     CA      ##8041</t>
  </si>
  <si>
    <t>ATM ROSE MARKET NO 3            CUPERTINO       CA ON 170130 #8041</t>
  </si>
  <si>
    <t>ATM 870039         C&amp;C SMART    FOODS   SAN JOSE     CA      ##8041</t>
  </si>
  <si>
    <t>ATM INTL GOURMET FOODS          SAN JOSE        CA ON 170130 #8041</t>
  </si>
  <si>
    <t>DIRECTDEP WorldPay              BNKCRD DEP 013017 LK444137 128040 CCD</t>
  </si>
  <si>
    <t>DIRECTDEP WorldPay              BNKCRD DEP 013017 LK444137 127039 CCD</t>
  </si>
  <si>
    <t>DIRECTDEP WorldPay              BNKCRD DEP 013017 LK444137 126038 CCD</t>
  </si>
  <si>
    <t>ATM 878851         C&amp;C SMART    FOODS   SAN JOSE     CA      ##8041</t>
  </si>
  <si>
    <t>ATM 803806         AMAZON.COM        SEATTLE      WA      ##8041</t>
  </si>
  <si>
    <t>ATM 877249         C&amp;C SMART    FOODS   SAN JOSE     CA      ##8041</t>
  </si>
  <si>
    <t>ATM HALAL MEATS                 SAN JOSE        CA ON 170131 #8041</t>
  </si>
  <si>
    <t>DIRECTDEP DOORDASH.COM          TRANSFER   013117 DoorDash Inc.  CCD</t>
  </si>
  <si>
    <t>ATM 000603         ANWAR BAZAAR &amp;    SAN JOSE     CA      ##8041</t>
  </si>
  <si>
    <t>DIRECTDEP WorldPay              BNKCRD DEP 020117 LK444137 130041 CCD</t>
  </si>
  <si>
    <t>DIRECTDEP UBER USA         EDI  PAYMNT 020117 0181683411      CCD REF*TN*018168341</t>
  </si>
  <si>
    <t>ATM 875536         C&amp;C SMART    FOODS   SAN JOSE     CA      ##8041</t>
  </si>
  <si>
    <t>ATM 207473         WHOLEFDS CBL 1    CAMPBELL     CA      ##8041</t>
  </si>
  <si>
    <t>ATM 825561         TAJ MAHAL         SANTA CLARA  CA      ##8041</t>
  </si>
  <si>
    <t>ATM 006373         PATEL        BROTHERS    SANTA CLARA  CA      ##8041</t>
  </si>
  <si>
    <t>ATM YELPINC*BIZSERVICES         4156324021      CA ON 170202 #8041</t>
  </si>
  <si>
    <t>DIRECTDEP WorldPay              BNKCRD DEP 020217 LK444137 131042 CCD</t>
  </si>
  <si>
    <t>ATM DULLESGLASSMIRROR           4029357733      VA ON 170202 #8041</t>
  </si>
  <si>
    <t>ATM 879230         C&amp;C SMART    FOODS   SAN JOSE     CA      ##8041</t>
  </si>
  <si>
    <t>ATM STAR HERBS AND GINSENG      SAN JOSE        CA ON 170203 #8041</t>
  </si>
  <si>
    <t>DIRECTDEP WorldPay              BNKCRD DEP 020317 LK444137 201043 CCD</t>
  </si>
  <si>
    <t>ATM 346705                      SMARTNFINAL436    SAN JOSE     CA      ##8041</t>
  </si>
  <si>
    <t>ATM 877513         C&amp;C SMART    FOODS   SAN JOSE     CA      ##8041</t>
  </si>
  <si>
    <t>ATM 000333         KOHLS 0994        MILPITAS     CA      ##8041</t>
  </si>
  <si>
    <t>ATM HOT TOPIC 0233              MILPITAS        CA ON 170206 #8041</t>
  </si>
  <si>
    <t>ATM ADIDAS 6238                 MILPITAS        CA ON 170206 #8041</t>
  </si>
  <si>
    <t>ATM HALAL MEATS                 SAN JOSE        CA ON 170206 #8041</t>
  </si>
  <si>
    <t>ATM 878544         C&amp;C SMART    FOODS   SAN JOSE     CA      ##8041</t>
  </si>
  <si>
    <t>ATM 99 CENTS ONLY STORES #      SAN JOSE        CA ON 170205 #8041</t>
  </si>
  <si>
    <t>DIRECTDEP WorldPay              BNKCRD DEP 020617 LK444137 204046 CCD</t>
  </si>
  <si>
    <t>DIRECTDEP WorldPay              BNKCRD DEP 020617 LK444137 203045 CCD</t>
  </si>
  <si>
    <t>DIRECTDEP WorldPay              BNKCRD DEP 020617 LK444137 202044 CCD</t>
  </si>
  <si>
    <t>ATM 001333         ANWAR BAZAAR &amp;    SAN JOSE     CA      ##8041</t>
  </si>
  <si>
    <t>ATM KABAB AND CURRYS            SANTA CLARA     CA ON 170207 #8041</t>
  </si>
  <si>
    <t>DIRECTDEP DOORDASH.COM          TRANSFER   020717 DoorDash Inc.  CCD</t>
  </si>
  <si>
    <t>ATM 879379         C&amp;C SMART    FOODS   SAN JOSE     CA      ##8041</t>
  </si>
  <si>
    <t>ATM INTL GOURMET FOODS          SAN JOSE        CA ON 170208 #8041</t>
  </si>
  <si>
    <t>DIRECTDEP UBER USA         EDI  PAYMNT 020817 0186273733      CCD REF*TN*018627373</t>
  </si>
  <si>
    <t>DIRECTDEP WorldPay              BNKCRD DEP 020817 LK444137 206047 CCD</t>
  </si>
  <si>
    <t>ATM 876629         C&amp;C SMART    FOODS   SAN JOSE     CA      ##8041</t>
  </si>
  <si>
    <t>ATM 288402         FOODMAXX#460 S    SAN JOSE     CA      ##8041</t>
  </si>
  <si>
    <t>ATM 99 CENTS ONLY STORES #      SAN JOSE        CA ON 170209 #8041</t>
  </si>
  <si>
    <t>ATM 441052         WALGREENS    STOR    SAN JOSE     CA      ##8041</t>
  </si>
  <si>
    <t>DIRECTDEP WorldPay              BNKCRD DEP 020917 LK444137 207048 CCD</t>
  </si>
  <si>
    <t>ATM 878293         C&amp;C SMART    FOODS   SAN JOSE     CA      ##8041</t>
  </si>
  <si>
    <t>ATM 225828         MAND LIQUORS and  SANTA CLARA  CA      ##8041</t>
  </si>
  <si>
    <t>ATM 873855         C&amp;C SMART    FOODS   SAN JOSE     CA      ##8041</t>
  </si>
  <si>
    <t>ATM 251109         AMAZON.COM        SEATTLE      WA      ##8041</t>
  </si>
  <si>
    <t>ATM 480356         COSTCO WHSE  #01   SAN JOSE     CA      ##8041</t>
  </si>
  <si>
    <t>ATM HALAL MEATS                 SAN JOSE        CA ON 170210 #8041</t>
  </si>
  <si>
    <t>DIRECTDEP WorldPay              BNKCRD DEP 021017 LK444137 208049 CCD</t>
  </si>
  <si>
    <t>ATM PUNJAB CAFE                 SAN JOSE        CA ON 170213 #8041</t>
  </si>
  <si>
    <t>ATM 874820         C&amp;C SMART    FOODS   SAN JOSE     CA      ##8041</t>
  </si>
  <si>
    <t>ATM 285971         RESTAURANT   DEP    SAN JOSE     CA      ##8041</t>
  </si>
  <si>
    <t>ATM 870003         C&amp;C SMART    FOODS   SAN JOSE     CA      ##8041</t>
  </si>
  <si>
    <t>ATM 99 CENTS ONLY STORES #      SAN JOSE        CA ON 170212 #8041</t>
  </si>
  <si>
    <t>DIRECTDEP WorldPay              BNKCRD DEP 021317 LK444137 211052 CCD</t>
  </si>
  <si>
    <t>DIRECTDEP WorldPay              BNKCRD DEP 021317 LK444137 210051 CCD</t>
  </si>
  <si>
    <t>DIRECTDEP WorldPay              BNKCRD DEP 021317 LK444137 209050 CCD</t>
  </si>
  <si>
    <t>ATM 872822         C&amp;C SMART    FOODS   SAN JOSE     CA      ##8041</t>
  </si>
  <si>
    <t>ATM 439809         FOODMAXX#460 S    SAN JOSE     CA      ##8041</t>
  </si>
  <si>
    <t>ATM 876025         C&amp;C SMART    FOODS   SAN JOSE     CA      ##8041</t>
  </si>
  <si>
    <t>DIRECTDEP DOORDASH.COM          TRANSFER   021417 DoorDash Inc.  CCD</t>
  </si>
  <si>
    <t>ATM 013916         INTL GOURMET F    SAN JOSE     CA      ##8041</t>
  </si>
  <si>
    <t>ATM 001712         ANWAR BAZAAR &amp;    SAN JOSE     CA      ##8041</t>
  </si>
  <si>
    <t>ATM 380651         FOODMAXX#460 S    SAN JOSE     CA      ##8041</t>
  </si>
  <si>
    <t>ATM 288603         RESTAURANT   DEP    SAN JOSE     CA      ##8041</t>
  </si>
  <si>
    <t>ATM 870627         C&amp;C SMART    FOODS   SAN JOSE     CA      ##8041</t>
  </si>
  <si>
    <t>DIRECTDEP WorldPay              BNKCRD DEP 021517 LK444137 213053 CCD</t>
  </si>
  <si>
    <t>DIRECTDEP UBER USA         EDI  PAYMNT 021517 0190802569      CCD REF*TN*019080256</t>
  </si>
  <si>
    <t>ATM 878208         C&amp;C SMART    FOODS   SAN JOSE     CA      ##8041</t>
  </si>
  <si>
    <t>ATM GULISTAN                    SAN JOSE        CA ON 170216 #8041</t>
  </si>
  <si>
    <t>ATM HALAL MEATS                 SAN JOSE        CA ON 170216 #8041</t>
  </si>
  <si>
    <t>ATM 0804/202104 SEES CANDY      800-995-1733    CA ON 170216 #8041</t>
  </si>
  <si>
    <t>DIRECTDEP WorldPay              BNKCRD DEP 021617 LK444137 214054 CCD</t>
  </si>
  <si>
    <t>ATM 870077         C&amp;C SMART    FOODS   SAN JOSE     CA      ##8041</t>
  </si>
  <si>
    <t>ATM 876480         C&amp;C SMART    FOODS   SAN JOSE     CA      ##8041</t>
  </si>
  <si>
    <t>ATM THE WEBSTAURANT STORE       717-392-7472    PA ON 170217 #8041</t>
  </si>
  <si>
    <t>DIRECTDEP WorldPay              BNKCRD DEP 021717 LK444137 215055 CCD</t>
  </si>
  <si>
    <t>ATM 293205         RESTAURANT   DEP    SAN JOSE     CA      ##8041</t>
  </si>
  <si>
    <t>ATM 857578         FOODMAXX#460 S    SAN JOSE     CA      ##8041</t>
  </si>
  <si>
    <t>ATM 876690         C&amp;C SMART    FOODS   SAN JOSE     CA      ##8041</t>
  </si>
  <si>
    <t>ATM 878265         C&amp;C SMART    FOODS   SAN JOSE     CA      ##8041</t>
  </si>
  <si>
    <t>ATM INTL GOURMET FOODS          SAN JOSE        CA ON 170221 #8041</t>
  </si>
  <si>
    <t>ATM 048056         COSTCO WHSE  #10   SAN JOSE     CA      ##8041</t>
  </si>
  <si>
    <t>ATM 755870         Wal-Mart     Super    MILPITAS     CA      ##8041</t>
  </si>
  <si>
    <t>ATM 875448         C&amp;C SMART    FOODS   SAN JOSE     CA      ##8041</t>
  </si>
  <si>
    <t>ATM 874070         C&amp;C SMART    FOODS   SAN JOSE     CA      ##8041</t>
  </si>
  <si>
    <t>ATM HALAL MEATS                 SAN JOSE        CA ON 170219 #8041</t>
  </si>
  <si>
    <t>DIRECTDEP WorldPay              BNKCRD DEP 022117 LK444137 216056 CCD</t>
  </si>
  <si>
    <t>DIRECTDEP WorldPay              BNKCRD DEP 022117 LK444137 218058 CCD</t>
  </si>
  <si>
    <t>DIRECTDEP WorldPay              BNKCRD DEP 022117 LK444137 217057 CCD</t>
  </si>
  <si>
    <t>DIRECTDEP DOORDASH.COM          TRANSFER   022117 DoorDash Inc.  CCD</t>
  </si>
  <si>
    <t>DIRECTDEBIT FARMERS INS EXCH    INSPAYMENT 022217 003876551001000 CCD</t>
  </si>
  <si>
    <t>ATM ANWAR BAZAAR &amp; BAKERY       SAN JOSE        CA ON 170222 #8041</t>
  </si>
  <si>
    <t>DIRECTDEP WorldPay              BNKCRD DEP 022217 LK444137 220059 CCD</t>
  </si>
  <si>
    <t>DIRECTDEP UBER USA         EDI  PAYMNT 022217 0195441737      CCD REF*TN*019544173</t>
  </si>
  <si>
    <t>DIRECTDEBIT SAN JOSE WATER C    PAYMENT    022317 7248586901      PPD S</t>
  </si>
  <si>
    <t>DIRECTDEBIT SAN JOSE WATER C    PAYMENT    022317 9332836908      PPD S</t>
  </si>
  <si>
    <t>ATM 878591         C&amp;C SMART    FOODS   SAN JOSE     CA      ##8041</t>
  </si>
  <si>
    <t>ATM 877486         C&amp;C SMART    FOODS   SAN JOSE     CA      ##8041</t>
  </si>
  <si>
    <t>ATM DRI*TECHSMITH               ORDERFIND.COM   MN ON 170223 #8041</t>
  </si>
  <si>
    <t>DIRECTDEP WorldPay              BNKCRD DEP 022317 LK444137 221060 CCD</t>
  </si>
  <si>
    <t>ATM 877169         C&amp;C SMART    FOODS   SAN JOSE     CA      ##8041</t>
  </si>
  <si>
    <t>ATM HALAL MEATS                 SAN JOSE        CA ON 170224 #8041</t>
  </si>
  <si>
    <t>ATM CENTRAL CASH CARRY          SAN JOSE        CA ON 170224 #8041</t>
  </si>
  <si>
    <t>DIRECTDEP WorldPay              BNKCRD DEP 022417 LK444137 222061 CCD</t>
  </si>
  <si>
    <t>ATM 870737         C&amp;C SMART    FOODS   SAN JOSE     CA      ##8041</t>
  </si>
  <si>
    <t>ATM 002618         ANWAR BAZAAR &amp;    SAN JOSE     CA      ##8041</t>
  </si>
  <si>
    <t>ATM 876735         C&amp;C SMART    FOODS   SAN JOSE     CA      ##8041</t>
  </si>
  <si>
    <t>ATM 870509         C&amp;C SMART    FOODS   SAN JOSE     CA      ##8041</t>
  </si>
  <si>
    <t>DIRECTDEP WorldPay              BNKCRD DEP 022717 LK444137 225064 CCD</t>
  </si>
  <si>
    <t>DIRECTDEP WorldPay              BNKCRD DEP 022717 LK444137 224063 CCD</t>
  </si>
  <si>
    <t>DIRECTDEP WorldPay              BNKCRD DEP 022717 LK444137 223062 CCD</t>
  </si>
  <si>
    <t>ATM 877451         C&amp;C SMART    FOODS   SAN JOSE     CA      ##8041</t>
  </si>
  <si>
    <t>DIRECTDEP DOORDASH.COM          TRANSFER   022817 DoorDash Inc.  CCD</t>
  </si>
  <si>
    <t>ATM 872265         C&amp;C SMART    FOODS   SAN JOSE     CA      ##8041</t>
  </si>
  <si>
    <t>ATM 99 CENTS ONLY STORES #      SAN JOSE        CA ON 170301 #8041</t>
  </si>
  <si>
    <t>ATM HALAL MEATS                 SAN JOSE        CA ON 170301 #8041</t>
  </si>
  <si>
    <t>DIRECTDEP WorldPay              BNKCRD DEP 030117 LK444137 227065 CCD</t>
  </si>
  <si>
    <t>DIRECTDEP UBER USA         EDI  PAYMNT 030117 0199904517      CCD REF*TN*019990451</t>
  </si>
  <si>
    <t>ATM 016218         INTL GOURMET F    SAN JOSE     CA      ##8041</t>
  </si>
  <si>
    <t>ATM 877715         C&amp;C SMART    FOODS   SAN JOSE     CA      ##8041</t>
  </si>
  <si>
    <t>ATM YELPINC*BIZSERVICES         4156324021      CA ON 170302 #8041</t>
  </si>
  <si>
    <t>DIRECTDEP WorldPay              BNKCRD DEP 030217 LK444137 228066 CCD</t>
  </si>
  <si>
    <t>POS 873799         C&amp;C SMART    FOODS   SAN JOSE     CA      ##8041</t>
  </si>
  <si>
    <t>DIRECTDEP WorldPay              BNKCRD DEP 030317 LK444137 301067 CCD</t>
  </si>
  <si>
    <t>POS 295389         COSTCO WHSE  #01   SANTA CLARA  CA      ##8041</t>
  </si>
  <si>
    <t>POS 294446         COSTCO WHSE  #01   SANTA CLARA  CA      ##8041</t>
  </si>
  <si>
    <t>POS 875156         C&amp;C SMART    FOODS   SAN JOSE     CA      ##8041</t>
  </si>
  <si>
    <t>POS 325567         FOODMAXX#460 S    SAN JOSE     CA      ##8041</t>
  </si>
  <si>
    <t>POS 875641         C&amp;C SMART    FOODS   SAN JOSE     CA      ##8041</t>
  </si>
  <si>
    <t>POS 99 CENTS ONLY STORES #      SAN JOSE        CA ON 170305 #8041</t>
  </si>
  <si>
    <t>POS ANWAR BAZAAR &amp; BAKERY       SAN JOSE        CA ON 170305 #8041</t>
  </si>
  <si>
    <t>DIRECTDEP WorldPay              BNKCRD DEP 030617 LK444137 304070 CCD</t>
  </si>
  <si>
    <t>DIRECTDEP WorldPay              BNKCRD DEP 030617 LK444137 303069 CCD</t>
  </si>
  <si>
    <t>DIRECTDEP WorldPay              BNKCRD DEP 030617 LK444137 302068 CCD</t>
  </si>
  <si>
    <t>DIRECTDEP DOORDASH.COM          TRANSFER   030717 DoorDash Inc.  CCD</t>
  </si>
  <si>
    <t>DIRECTDEP UBER USA         EDI  PAYMNT 030817 204261029       CCD REF*TN*020426102</t>
  </si>
  <si>
    <t>DIRECTDEP WorldPay              BNKCRD DEP 030817 LK444137 306071 CCD</t>
  </si>
  <si>
    <t>DIRECTDEP WorldPay              BNKCRD DEP 030917 LK444137 307072 CCD</t>
  </si>
  <si>
    <t>DIRECTDEP WorldPay              BNKCRD DEP 031017 LK444137 308073 CCD</t>
  </si>
  <si>
    <t>DIRECTDEP WorldPay              BNKCRD DEP 031317 LK444137 311076 CCD</t>
  </si>
  <si>
    <t>DIRECTDEP WorldPay              BNKCRD DEP 031317 LK444137 310075 CCD</t>
  </si>
  <si>
    <t>DIRECTDEP WorldPay              BNKCRD DEP 031317 LK444137 309074 CCD</t>
  </si>
  <si>
    <t>DIRECTDEP DOORDASH.COM          TRANSFER   031417 DoorDash Inc.  CCD</t>
  </si>
  <si>
    <t>DIRECTDEP WorldPay              BNKCRD DEP 031517 LK444137 313077 CCD</t>
  </si>
  <si>
    <t>DIRECTDEP UBER USA         EDI  PAYMNT 031517 208807947       CCD REF*TN*020880794</t>
  </si>
  <si>
    <t>DIRECTDEP WorldPay              BNKCRD DEP 031617 LK444137 314078 CCD</t>
  </si>
  <si>
    <t>DIRECTDEP WorldPay              BNKCRD DEP 031717 LK444137 315079 CCD</t>
  </si>
  <si>
    <t>DIRECTDEP WorldPay              BNKCRD DEP 032017 LK444137 316080 CCD</t>
  </si>
  <si>
    <t>DIRECTDEP WorldPay              BNKCRD DEP 032017 LK444137 317081 CCD</t>
  </si>
  <si>
    <t>DIRECTDEP WorldPay              BNKCRD DEP 032017 LK444137 318082 CCD</t>
  </si>
  <si>
    <t>DIRECTDEP WorldPay              BNKCRD DEP 032017 LK444137 318083 CCD</t>
  </si>
  <si>
    <t>DIRECTDEBIT FARMERS INS EXCH    INSPAYMENT 032117 003876551001000 CCD</t>
  </si>
  <si>
    <t>DIRECTDEP DOORDASH.COM          TRANSFER   032117 DoorDash Inc.  CCD</t>
  </si>
  <si>
    <t>DIRECTDEP WorldPay              BNKCRD DEP 032217 LK444137 320084 CCD</t>
  </si>
  <si>
    <t>DIRECTDEP UBER USA         EDI  PAYMNT 032217 213387873       CCD REF*TN*021338787</t>
  </si>
  <si>
    <t>DIRECTDEP WorldPay              BNKCRD DEP 032317 LK444137 321085 CCD</t>
  </si>
  <si>
    <t>DIRECTDEP WorldPay              BNKCRD DEP 032417 LK444137 322086 CCD</t>
  </si>
  <si>
    <t>DIRECTDEP WorldPay              BNKCRD DEP 032717 LK444137 324088 CCD</t>
  </si>
  <si>
    <t>DIRECTDEP WorldPay              BNKCRD DEP 032717 LK444137 323087 CCD</t>
  </si>
  <si>
    <t>DIRECTDEP WorldPay              BNKCRD DEP 032817 LK444137 325089 CCD</t>
  </si>
  <si>
    <t>DIRECTDEP DOORDASH.COM          TRANSFER   032817 DoorDash Inc.  CCD</t>
  </si>
  <si>
    <t>DIRECTDEP WorldPay              BNKCRD DEP 032917 LK444137 327090 CCD</t>
  </si>
  <si>
    <t>DIRECTDEP UBER USA         EDI  PAYMNT 032917 218118799       CCD REF*TN*021811879</t>
  </si>
  <si>
    <t>POS 206611         WHOLEFDS CBL 1    CAMPBELL     CA      ##7633</t>
  </si>
  <si>
    <t>DIRECTDEP WorldPay              BNKCRD DEP 033017 LK444137 328091 CCD</t>
  </si>
  <si>
    <t>POS 325647         RESTAURANT   DEP    SAN JOSE     CA      ##7633</t>
  </si>
  <si>
    <t>POS 873209         C&amp;C SMART    FOODS   SAN JOSE     CA      ##7633</t>
  </si>
  <si>
    <t>POS 872408         C&amp;C SMART    FOODS   SAN JOSE     CA      ##7633</t>
  </si>
  <si>
    <t>POS 729063         FOODMAXX#460 S    SAN JOSE     CA      ##7633</t>
  </si>
  <si>
    <t>POS 878285         C&amp;C SMART    FOODS   SAN JOSE     CA      ##7633</t>
  </si>
  <si>
    <t>POS 879790         C&amp;C SMART    FOODS   SAN JOSE     CA      ##7633</t>
  </si>
  <si>
    <t>POS 006477         ANWAR BAZAAR &amp;    SAN JOSE     CA      ##7633</t>
  </si>
  <si>
    <t>POS 022991         INTL GOURMET F    SAN JOSE     CA      ##7633</t>
  </si>
  <si>
    <t>POS 875622         C&amp;C SMART    FOODS   SAN JOSE     CA      ##7633</t>
  </si>
  <si>
    <t>DIRECTDEP WORLDPAY              BNKCRD DEP 040317 LK444137 329092 CCD</t>
  </si>
  <si>
    <t>DIRECTDEP WorldPay              BNKCRD DEP 040317 LK444137 401095 CCD</t>
  </si>
  <si>
    <t>DIRECTDEP WorldPay              BNKCRD DEP 040317 LK444137 331094 CCD</t>
  </si>
  <si>
    <t>DIRECTDEP WorldPay              BNKCRD DEP 040317 LK444137 330093 CCD</t>
  </si>
  <si>
    <t>DIRECTDEP WorldPay              BNKCRD DEP 040317 LK444137 401096 CCD</t>
  </si>
  <si>
    <t>DIRECTDEP WorldPay              BNKCRD DEP 040317 LK444137 401097 CCD</t>
  </si>
  <si>
    <t>POS 872751         C&amp;C SMART    FOODS   SAN JOSE     CA      ##7633</t>
  </si>
  <si>
    <t>POS 870395         C&amp;C SMART    FOODS   SAN JOSE     CA      ##7633</t>
  </si>
  <si>
    <t>POS 794636         FOODMAXX#460 S    SAN JOSE     CA      ##7633</t>
  </si>
  <si>
    <t>DIRECTDEP DOORDASH.COM          TRANSFER   040417 DoorDash Inc.  CCD</t>
  </si>
  <si>
    <t>POS 874187         C&amp;C SMART    FOODS   SAN JOSE     CA      ##7633</t>
  </si>
  <si>
    <t>POS CENTRAL CASH CARRY          SAN JOSE        CA ON 170405 #7633</t>
  </si>
  <si>
    <t>DIRECTDEP WorldPay              BNKCRD DEP 040517 LK444137 403098 CCD</t>
  </si>
  <si>
    <t>DIRECTDEP UBER USA         EDI  PAYMNT 040517 222725239       CCD REF*TN*022272523</t>
  </si>
  <si>
    <t>POS 299833         COSTCO WHSE  #01   SANTA CLARA  CA      ##7633</t>
  </si>
  <si>
    <t>POS 298216         COSTCO WHSE  #01   SANTA CLARA  CA      ##7633</t>
  </si>
  <si>
    <t>DIRECTDEP WorldPay              BNKCRD DEP 040617 LK444137 404099 CCD</t>
  </si>
  <si>
    <t>POS 870382         C&amp;C SMART    FOODS   SAN JOSE     CA      ##7633</t>
  </si>
  <si>
    <t>POS 875663         C&amp;C SMART    FOODS   SAN JOSE     CA      ##7633</t>
  </si>
  <si>
    <t>POS 99 CENTS ONLY STORES #      SAN JOSE        CA ON 170407 #7633</t>
  </si>
  <si>
    <t>POS C&amp;C SMART FOOD51705713      SAN JOSE        CA ON 170407 #7633</t>
  </si>
  <si>
    <t>DIRECTDEP WorldPay              BNKCRD DEP 040717 LK444137 405100 CCD</t>
  </si>
  <si>
    <t>POS 870546         C&amp;C SMART    FOODS   SAN JOSE     CA      ##7633</t>
  </si>
  <si>
    <t>POS 870653         C&amp;C SMART    FOODS   SAN JOSE     CA      ##7633</t>
  </si>
  <si>
    <t>POS HALAL MEATS                 SAN JOSE        CA ON 170410 #7633</t>
  </si>
  <si>
    <t>POS FOODMAXX#460 SAN JOS        SAN JOSE        CA ON 170409 #7633</t>
  </si>
  <si>
    <t>DIRECTDEP WorldPay              BNKCRD DEP 041017 LK444137 408103 CCD</t>
  </si>
  <si>
    <t>DIRECTDEP WorldPay              BNKCRD DEP 041017 LK444137 405101 CCD</t>
  </si>
  <si>
    <t>DIRECTDEP WorldPay              BNKCRD DEP 041017 LK444137 407102 CCD</t>
  </si>
  <si>
    <t>POS 007570         ANWAR BAZAAR &amp;    SAN JOSE     CA      ##7633</t>
  </si>
  <si>
    <t>POS 007568         ANWAR BAZAAR &amp;    SAN JOSE     CA      ##7633</t>
  </si>
  <si>
    <t>POS 870749         C&amp;C SMART    FOODS   SAN JOSE     CA      ##7633</t>
  </si>
  <si>
    <t>DEP</t>
  </si>
  <si>
    <t>DIRECTDEP DOORDASH.COM          TRANSFER   041117 DoorDash Inc.  CCD</t>
  </si>
  <si>
    <t>POS 460075         FOODMAXX#460 S    SAN JOSE     CA      ##7633</t>
  </si>
  <si>
    <t>DIRECTDEP WorldPay              BNKCRD DEP 041217 LK444137 410104 CCD</t>
  </si>
  <si>
    <t>DIRECTDEP UBER USA         EDI  PAYMNT 041217 227478703       CCD REF*TN*022747870</t>
  </si>
  <si>
    <t>POS 875698         C&amp;C SMART    FOODS   SAN JOSE     CA      ##7633</t>
  </si>
  <si>
    <t>DIRECTDEP WorldPay              BNKCRD DEP 041317 LK444137 411105 CCD</t>
  </si>
  <si>
    <t>POS 870415         C&amp;C SMART    FOODS   SAN JOSE     CA      ##7633</t>
  </si>
  <si>
    <t>POS 148316         FOODMAXX#460 S    SAN JOSE     CA      ##7633</t>
  </si>
  <si>
    <t>POS 872850         C&amp;C SMART    FOODS   SAN JOSE     CA      ##7633</t>
  </si>
  <si>
    <t>DIRECTDEP WorldPay              BNKCRD DEP 041417 LK444137 412106 CCD</t>
  </si>
  <si>
    <t>POS 872721         C&amp;C SMART    FOODS   SAN JOSE     CA      ##7633</t>
  </si>
  <si>
    <t>POS 878777         C&amp;C SMART    FOODS   SAN JOSE     CA      ##7633</t>
  </si>
  <si>
    <t>POS 879997         C&amp;C SMART    FOODS   SAN JOSE     CA      ##7633</t>
  </si>
  <si>
    <t>POS 879401         C&amp;C SMART    FOODS   SAN JOSE     CA      ##7633</t>
  </si>
  <si>
    <t>POS 878276         C&amp;C SMART    FOODS   SAN JOSE     CA      ##7633</t>
  </si>
  <si>
    <t>POS 223185         99 CENTS     1915 W  SAN JOSE     CA      ##7633</t>
  </si>
  <si>
    <t>POS INTL GOURMET FOODS          SAN JOSE        CA ON 170416 #7633</t>
  </si>
  <si>
    <t>DIRECTDEP WorldPay              BNKCRD DEP 041717 LK444137 415109 CCD</t>
  </si>
  <si>
    <t>DIRECTDEP WorldPay              BNKCRD DEP 041717 LK444137 414108 CCD</t>
  </si>
  <si>
    <t>DIRECTDEP WorldPay              BNKCRD DEP 041717 LK444137 413107 CCD</t>
  </si>
  <si>
    <t>DIRECTDEBIT FARMERS INS EXCH    INSPAYMENT 041817 003876551001000 CCD</t>
  </si>
  <si>
    <t>POS 337603         RESTAURANT   DEP    SAN JOSE     CA      ##7633</t>
  </si>
  <si>
    <t>POS 873597         C&amp;C SMART    FOODS   SAN JOSE     CA      ##7633</t>
  </si>
  <si>
    <t>POS 872067         C&amp;C SMART    FOODS   SAN JOSE     CA      ##7633</t>
  </si>
  <si>
    <t>POS 815865         FOODMAXX#460 S    SAN JOSE     CA      ##7633</t>
  </si>
  <si>
    <t>DIRECTDEP DOORDASH.COM          TRANSFER   041817 DoorDash Inc.  CCD</t>
  </si>
  <si>
    <t>POS 874046         C&amp;C SMART    FOODS   SAN JOSE     CA      ##7633</t>
  </si>
  <si>
    <t>POS 900472         COSTCO WHSE  #0    SANTA CLARA  CA      ##7633</t>
  </si>
  <si>
    <t>POS 896737         COSTCO WHSE  #0    SANTA CLARA  CA      ##7633</t>
  </si>
  <si>
    <t>POS 872102         C&amp;C SMART    FOODS   SAN JOSE     CA      ##7633</t>
  </si>
  <si>
    <t>POS 99 CENTS ONLY STORES #      SAN JOSE        CA ON 170419 #7633</t>
  </si>
  <si>
    <t>DIRECTDEP WorldPay              BNKCRD DEP 041917 LK444137 417110 CCD</t>
  </si>
  <si>
    <t>DIRECTDEP UBER USA         EDI  PAYMNT 041917 232060331       CCD REF*TN*023206033</t>
  </si>
  <si>
    <t>POS 421189         WALGREENS    STOR    SAN JOSE     CA      ##7633</t>
  </si>
  <si>
    <t>DIRECTDEP WorldPay              BNKCRD DEP 042017 LK444137 418111 CCD</t>
  </si>
  <si>
    <t>DIRECTDEBIT SAN JOSE WATER C    PAYMENT    042117 7248586901      PPD S</t>
  </si>
  <si>
    <t>DIRECTDEBIT SAN JOSE WATER C    PAYMENT    042117 9332836908      PPD S</t>
  </si>
  <si>
    <t>POS 873178         C&amp;C SMART    FOODS   SAN JOSE     CA      ##7633</t>
  </si>
  <si>
    <t>POS 031846         FOODMAXX#460 S    SAN JOSE     CA      ##7633</t>
  </si>
  <si>
    <t>POS 875522         C&amp;C SMART    FOODS   SAN JOSE     CA      ##7633</t>
  </si>
  <si>
    <t>POS HALAL MEATS                 SAN JOSE        CA ON 170421 #7633</t>
  </si>
  <si>
    <t>DIRECTDEP WorldPay              BNKCRD DEP 042117 LK444137 419112 CCD</t>
  </si>
  <si>
    <t>POS 879512         C&amp;C SMART    FOODS   SAN JOSE     CA      ##7633</t>
  </si>
  <si>
    <t>POS 007025         ZANOTTO'S    FAMI    SAN JOSE     CA      ##7633</t>
  </si>
  <si>
    <t>POS 319875         COSTCO WHSE  #0    SANTA CLARA  CA      ##7633</t>
  </si>
  <si>
    <t>POS 319236         COSTCO WHSE  #0    SANTA CLARA  CA      ##7633</t>
  </si>
  <si>
    <t>POS 874329         C&amp;C SMART    FOODS   SAN JOSE     CA      ##7633</t>
  </si>
  <si>
    <t>POS 148196         FOODMAXX#460 S    SAN JOSE     CA      ##7633</t>
  </si>
  <si>
    <t>POS 872870         C&amp;C SMART    FOODS   SAN JOSE     CA      ##7633</t>
  </si>
  <si>
    <t>POS 871813         C&amp;C SMART    FOODS   SAN JOSE     CA      ##7633</t>
  </si>
  <si>
    <t>DIRECTDEP WorldPay              BNKCRD DEP 042417 LK444137 421114 CCD</t>
  </si>
  <si>
    <t>DIRECTDEP WorldPay              BNKCRD DEP 042417 LK444137 420113 CCD</t>
  </si>
  <si>
    <t>POS 879175         C&amp;C SMART    FOODS   SAN JOSE     CA      ##7633</t>
  </si>
  <si>
    <t>POS 871739         C&amp;C SMART    FOODS   SAN JOSE     CA      ##7633</t>
  </si>
  <si>
    <t>POS 342839         RESTAURANT   DEP    SAN JOSE     CA      ##7633</t>
  </si>
  <si>
    <t>DIRECTDEP DOORDASH.COM          TRANSFER   042517 DoorDash Inc.  CCD</t>
  </si>
  <si>
    <t>POS 027438         INTL GOURMET F    SAN JOSE     CA      ##7633</t>
  </si>
  <si>
    <t>POS 439336         FOODMAXX#460 S    SAN JOSE     CA      ##7633</t>
  </si>
  <si>
    <t>POS 871355         C&amp;C SMART    FOODS   SAN JOSE     CA      ##7633</t>
  </si>
  <si>
    <t>DIRECTDEP WorldPay              BNKCRD DEP 042617 LK444137 424115 CCD</t>
  </si>
  <si>
    <t>DIRECTDEP UBER USA         EDI  PAYMNT 042617 236844409       CCD REF*TN*023684440</t>
  </si>
  <si>
    <t>POS 871548         C&amp;C SMART    FOODS   SAN JOSE     CA      ##7633</t>
  </si>
  <si>
    <t>POS 872480         C&amp;C SMART    FOODS   SAN JOSE     CA      ##7633</t>
  </si>
  <si>
    <t>DIRECTDEP WorldPay              BNKCRD DEP 042717 LK444137 425116 CCD</t>
  </si>
  <si>
    <t>POS 871185         C&amp;C SMART    FOODS   SAN JOSE     CA      ##7633</t>
  </si>
  <si>
    <t>DIRECTDEP WorldPay              BNKCRD DEP 042817 LK444137 426117 CCD</t>
  </si>
  <si>
    <t>POS 873018         C&amp;C SMART    FOODS   SAN JOSE     CA      ##7633</t>
  </si>
  <si>
    <t>POS 877498         C&amp;C SMART    FOODS   SAN JOSE     CA      ##7633</t>
  </si>
  <si>
    <t>POS 634077         FOODMAXX#460 S    SAN JOSE     CA      ##7633</t>
  </si>
  <si>
    <t>POS 876151         C&amp;C SMART    FOODS   SAN JOSE     CA      ##7633</t>
  </si>
  <si>
    <t>POS 99 CENTS ONLY STORES #      SAN JOSE        CA ON 170430 #7633</t>
  </si>
  <si>
    <t>DIRECTDEP WorldPay              BNKCRD DEP 050117 LK444137 429120 CCD</t>
  </si>
  <si>
    <t>DIRECTDEP WorldPay              BNKCRD DEP 050117 LK444137 427118 CCD</t>
  </si>
  <si>
    <t>DIRECTDEP WorldPay              BNKCRD DEP 050117 LK444137 428119 CCD</t>
  </si>
  <si>
    <t>POS 873031         C&amp;C SMART    FOODS   SAN JOSE     CA      ##7633</t>
  </si>
  <si>
    <t>POS 871907         C&amp;C SMART    FOODS   SAN JOSE     CA      ##7633</t>
  </si>
  <si>
    <t>DIRECTDEP DOORDASH.COM          TRANSFER   050217 DoorDash Inc.  CCD</t>
  </si>
  <si>
    <t>POS 874641         C&amp;C SMART    FOODS   SAN JOSE     CA      ##7633</t>
  </si>
  <si>
    <t>POS 874621         C&amp;C SMART    FOODS   SAN JOSE     CA      ##7633</t>
  </si>
  <si>
    <t>POS 202710         99 CENTS     1915 W  SAN JOSE     CA      ##7633</t>
  </si>
  <si>
    <t>DIRECTDEP WorldPay              BNKCRD DEP 050317 LK444137 501121 CCD</t>
  </si>
  <si>
    <t>DIRECTDEP UBER USA         EDI  PAYMNT 050317 241794427       CCD REF*TN*024179442</t>
  </si>
  <si>
    <t>POS 875587         C&amp;C SMART    FOODS   SAN JOSE     CA      ##7633</t>
  </si>
  <si>
    <t>POS 987273         COSTCO WHSE  #0    SAN JOSE     CA      ##7633</t>
  </si>
  <si>
    <t>POS 989889         COSTCO WHSE  #0    SAN JOSE     CA      ##7633</t>
  </si>
  <si>
    <t>POS 009513         ANWAR BAZAAR &amp;    SAN JOSE     CA      ##7633</t>
  </si>
  <si>
    <t>POS 874216         C&amp;C SMART    FOODS   SAN JOSE     CA      ##7633</t>
  </si>
  <si>
    <t>DIRECTDEP WorldPay              BNKCRD DEP 050417 LK444137 502122 CCD</t>
  </si>
  <si>
    <t>POS 879271         C&amp;C SMART    FOODS   SAN JOSE     CA      ##7633</t>
  </si>
  <si>
    <t>POS INTL GOURMET FOODS          SAN JOSE        CA ON 170505 #7633</t>
  </si>
  <si>
    <t>DIRECTDEP WorldPay              BNKCRD DEP 050517 LK444137 503123 CCD</t>
  </si>
  <si>
    <t>POS 874249         C&amp;C SMART    FOODS   SAN JOSE     CA      ##7633</t>
  </si>
  <si>
    <t>POS 615664         99 CENTS     1915 W  SAN JOSE     CA      ##7633</t>
  </si>
  <si>
    <t>POS 870818         C&amp;C SMART    FOODS   SAN JOSE     CA      ##7633</t>
  </si>
  <si>
    <t>POS 878550         C&amp;C SMART    FOODS   SAN JOSE     CA      ##7633</t>
  </si>
  <si>
    <t>POS 874650         C&amp;C SMART    FOODS   SAN JOSE     CA      ##7633</t>
  </si>
  <si>
    <t>POS 877479         C&amp;C SMART    FOODS   SAN JOSE     CA      ##7633</t>
  </si>
  <si>
    <t>POS 877587         C&amp;C SMART    FOODS   SAN JOSE     CA      ##7633</t>
  </si>
  <si>
    <t>DIRECTDEP WorldPay              BNKCRD DEP 050817 LK444137 506126 CCD</t>
  </si>
  <si>
    <t>DIRECTDEP WorldPay              BNKCRD DEP 050817 LK444137 505125 CCD</t>
  </si>
  <si>
    <t>DIRECTDEP WorldPay              BNKCRD DEP 050817 LK444137 504124 CCD</t>
  </si>
  <si>
    <t>POS 870028         C&amp;C SMART    FOODS   SAN JOSE     CA      ##7633</t>
  </si>
  <si>
    <t>DIRECTDEP DOORDASH.COM          TRANSFER   050917 DoorDash Inc.  CCD</t>
  </si>
  <si>
    <t>POS 877705         C&amp;C SMART    FOODS   SAN JOSE     CA      ##7633</t>
  </si>
  <si>
    <t>DIRECTDEP WorldPay              BNKCRD DEP 051017 LK444137 508127 CCD</t>
  </si>
  <si>
    <t>DIRECTDEP UBER USA         EDI  PAYMNT 051017 246854215       CCD REF*TN*024685421</t>
  </si>
  <si>
    <t>POS 873450         C&amp;C SMART    FOODS   SAN JOSE     CA      ##7633</t>
  </si>
  <si>
    <t>DIRECTDEP WorldPay              BNKCRD DEP 051117 LK444137 509128 CCD</t>
  </si>
  <si>
    <t>POS 872735         C&amp;C SMART    FOODS   SAN JOSE     CA      ##7633</t>
  </si>
  <si>
    <t>POS 877285         C&amp;C SMART    FOODS   SAN JOSE     CA      ##7633</t>
  </si>
  <si>
    <t>DIRECTDEP WorldPay              BNKCRD DEP 051217 LK444137 510129 CCD</t>
  </si>
  <si>
    <t>POS 874105         C&amp;C SMART    FOODS   SAN JOSE     CA      ##7633</t>
  </si>
  <si>
    <t>POS 010608         ANWAR BAZAAR &amp;    SAN JOSE     CA      ##7633</t>
  </si>
  <si>
    <t>POS 359156         RESTAURANT   DEP    SAN JOSE     CA      ##7633</t>
  </si>
  <si>
    <t>DIRECTDEP WorldPay              BNKCRD DEP 051517 LK444137 513132 CCD</t>
  </si>
  <si>
    <t>DIRECTDEP WorldPay              BNKCRD DEP 051517 LK444137 512131 CCD</t>
  </si>
  <si>
    <t>DIRECTDEP WorldPay              BNKCRD DEP 051517 LK444137 511130 CCD</t>
  </si>
  <si>
    <t>POS 871139         C&amp;C SMART    FOODS   SAN JOSE     CA      ##7633</t>
  </si>
  <si>
    <t>POS 848921         FOODMAXX#460 S    SAN JOSE     CA      ##7633</t>
  </si>
  <si>
    <t>POS 873937         C&amp;C SMART    FOODS   SAN JOSE     CA      ##7633</t>
  </si>
  <si>
    <t>POS INTL GOURMET FOODS          SAN JOSE        CA ON 170516 #7633</t>
  </si>
  <si>
    <t>DIRECTDEP DOORDASH.COM          TRANSFER   051617 DoorDash Inc.  CCD</t>
  </si>
  <si>
    <t>POS 876625         C&amp;C SMART    FOODS   SAN JOSE     CA      ##7633</t>
  </si>
  <si>
    <t>DIRECTDEP WorldPay              BNKCRD DEP 051717 LK444137 515133 CCD</t>
  </si>
  <si>
    <t>DIRECTDEP UBER USA         EDI  PAYMNT 051717 252034189       CCD REF*TN*025203418</t>
  </si>
  <si>
    <t>POS 878670         C&amp;C SMART    FOODS   SAN JOSE     CA      ##7633</t>
  </si>
  <si>
    <t>POS 879157         C&amp;C SMART    FOODS   SAN JOSE     CA      ##7633</t>
  </si>
  <si>
    <t>POS 872076         C&amp;C SMART    FOODS   SAN JOSE     CA      ##7633</t>
  </si>
  <si>
    <t>DIRECTDEP WorldPay              BNKCRD DEP 051817 LK444137 516134 CCD</t>
  </si>
  <si>
    <t>POS 873465         C&amp;C SMART    FOODS   SAN JOSE     CA      ##7633</t>
  </si>
  <si>
    <t>POS 874139         C&amp;C SMART    FOODS   SAN JOSE     CA      ##7633</t>
  </si>
  <si>
    <t>POS 873577         C&amp;C SMART    FOODS   SAN JOSE     CA      ##7633</t>
  </si>
  <si>
    <t>DIRECTDEP WorldPay              BNKCRD DEP 051917 LK444137 517135 CCD</t>
  </si>
  <si>
    <t>POS 878176         C&amp;C SMART    FOODS   SAN JOSE     CA      ##7633</t>
  </si>
  <si>
    <t>POS 873190         C&amp;C SMART    FOODS   SAN JOSE     CA      ##7633</t>
  </si>
  <si>
    <t>POS 877983         C&amp;C SMART    FOODS   SAN JOSE     CA      ##7633</t>
  </si>
  <si>
    <t>POS INTL GOURMET FOODS          SAN JOSE        CA ON 170522 #7633</t>
  </si>
  <si>
    <t>POS 879840         C&amp;C SMART    FOODS   SAN JOSE     CA      ##7633</t>
  </si>
  <si>
    <t>POS 99 CENTS ONLY STORES #      SAN JOSE        CA ON 170521 #7633</t>
  </si>
  <si>
    <t>DIRECTDEP WorldPay              BNKCRD DEP 052217 LK444137 519137 CCD</t>
  </si>
  <si>
    <t>DIRECTDEP WorldPay              BNKCRD DEP 052217 LK444137 520138 CCD</t>
  </si>
  <si>
    <t>DIRECTDEP WorldPay              BNKCRD DEP 052217 LK444137 518136 CCD</t>
  </si>
  <si>
    <t>DIRECTDEBIT FARMERS INS EXCH    INSPAYMENT 052317 003876551001000 CCD</t>
  </si>
  <si>
    <t>POS 367020         RESTAURANT   DEP    SAN JOSE     CA      ##7633</t>
  </si>
  <si>
    <t>POS 878481         C&amp;C SMART    FOODS   SAN JOSE     CA      ##7633</t>
  </si>
  <si>
    <t>POS 401554         SAFEWAY      STORE  1 SAN JOSE     CA      ##7633</t>
  </si>
  <si>
    <t>POS MILPITAS HALAL MARKET       MILPITAS        CA ON 170523 #7633</t>
  </si>
  <si>
    <t>POS THE WEBSTAURANT STORE       717-392-7472    PA ON 170523 #7633</t>
  </si>
  <si>
    <t>DIRECTDEP DOORDASH.COM          TRANSFER   052317 DoorDash Inc.  CCD</t>
  </si>
  <si>
    <t>POS 872439         C&amp;C SMART    FOODS   SAN JOSE     CA      ##7633</t>
  </si>
  <si>
    <t>POS 873983         C&amp;C SMART    FOODS   SAN JOSE     CA      ##7633</t>
  </si>
  <si>
    <t>DIRECTDEP WorldPay              BNKCRD DEP 052417 LK444137 522139 CCD</t>
  </si>
  <si>
    <t>DIRECTDEP UBER USA         EDI  PAYMNT 052417 257315335       CCD REF*TN*025731533</t>
  </si>
  <si>
    <t>DIRECTDEP WorldPay              BNKCRD DEP 052517 LK444137 523140 CCD</t>
  </si>
  <si>
    <t>POS 011795         ANWAR BAZAAR &amp;    SAN JOSE     CA      ##7633</t>
  </si>
  <si>
    <t>DIRECTDEP WorldPay              BNKCRD DEP 052617 LK444137 524141 CCD</t>
  </si>
  <si>
    <t>POS C&amp;C SMART FOOD51705713      SAN JOSE        CA ON 170530 #7633</t>
  </si>
  <si>
    <t>POS 752769         COSTCO WHSE  #0    SANTA CLARA  CA      ##7633</t>
  </si>
  <si>
    <t>POS 754933         COSTCO WHSE  #0    SANTA CLARA  CA      ##7633</t>
  </si>
  <si>
    <t>POS C&amp;C SMART FOOD51705713      SAN JOSE        CA ON 170529 #7633</t>
  </si>
  <si>
    <t>POS 363285         FOODMAXX#460 S    SAN JOSE     CA      ##7633</t>
  </si>
  <si>
    <t>POS 515681         SAFEWAY      STORE  1 SAN JOSE     CA      ##7633</t>
  </si>
  <si>
    <t>POS C&amp;C SMART FOOD51705713      SAN JOSE        CA ON 170528 #7633</t>
  </si>
  <si>
    <t>POS HALAL MEATS                 SAN JOSE        CA ON 170529 #7633</t>
  </si>
  <si>
    <t>DIRECTDEP WorldPay              BNKCRD DEP 053017 LK444137 526144 CCD</t>
  </si>
  <si>
    <t>DIRECTDEP WorldPay              BNKCRD DEP 053017 LK444137 525142 CCD</t>
  </si>
  <si>
    <t>DIRECTDEP WorldPay              BNKCRD DEP 053017 LK444137 527145 CCD</t>
  </si>
  <si>
    <t>DIRECTDEP DOORDASH.COM          TRANSFER   053017 DoorDash Inc.  CCD</t>
  </si>
  <si>
    <t>DIRECTDEP WorldPay              BNKCRD DEP 053017 LK444137 525143 CCD</t>
  </si>
  <si>
    <t>POS 070353         COSTCO WHSE  #0    SAN JOSE     CA      ##7633</t>
  </si>
  <si>
    <t>DIRECTDEP WorldPay              BNKCRD DEP 053117 LK444137 529146 CCD</t>
  </si>
  <si>
    <t>DIRECTDEP UBER USA         EDI  PAYMNT 053117 263233343       CCD REF*TN*026323334</t>
  </si>
  <si>
    <t>POS 073106         C&amp;C SMART    FOODS   SAN JOSE     CA      ##7633</t>
  </si>
  <si>
    <t>POS 071795         C&amp;C SMART    FOODS   SAN JOSE     CA      ##7633</t>
  </si>
  <si>
    <t>POS 071143         C&amp;C SMART    FOODS   SAN JOSE     CA      ##7633</t>
  </si>
  <si>
    <t>POS 397059         RESTAURANT   DEP    SAN JOSE     CA      ##7633</t>
  </si>
  <si>
    <t>DIRECTDEP UBER USA         EDI  PAYMNT 062817 285081303       CCD REF*TN*028508130</t>
  </si>
  <si>
    <t>POS 003861         TARGET T-    5769 Lo Antioch      CA      ##7633</t>
  </si>
  <si>
    <t>DIRECTDEP DoorDash Inc.        TRANSFER   062717 DoorDash Inc.  CCD</t>
  </si>
  <si>
    <t>POS 015161         ANWAR BAZAAR &amp;    SAN JOSE     CA      ##7633</t>
  </si>
  <si>
    <t>POS 038450         INTL GOURMET F    SAN JOSE     CA      ##7633</t>
  </si>
  <si>
    <t>POS 071819         C&amp;C SMART    FOODS   SAN JOSE     CA      ##7633</t>
  </si>
  <si>
    <t>POS 070898         C&amp;C SMART    FOODS   SAN JOSE     CA      ##7633</t>
  </si>
  <si>
    <t>POS 071982         C&amp;C SMART    FOODS   SAN JOSE     CA      ##7633</t>
  </si>
  <si>
    <t>POS THE HOME DEPOT #0642        CAMPBELL        CA ON 170626 #7633</t>
  </si>
  <si>
    <t>DIRECTDEP WorldPay              BNKCRD DEP 062617 LK444137 623168 CCD</t>
  </si>
  <si>
    <t>DIRECTDEP WorldPay              BNKCRD DEP 062617 LK444137 624169 CCD</t>
  </si>
  <si>
    <t>DIRECTDEP WorldPay              BNKCRD DEP 062617 LK444137 622167 CCD</t>
  </si>
  <si>
    <t>POS 076779         C&amp;C SMART    FOODS   SAN JOSE     CA      ##7633</t>
  </si>
  <si>
    <t>POS 100770         MADINA       ZABIHA     FREMONT      CA      ##7633</t>
  </si>
  <si>
    <t>POS 351767         MEDINA HALAL MARK FREMONT      CA      ##7633</t>
  </si>
  <si>
    <t>DIRECTDEP WorldPay              BNKCRD DEP 062317 LK444137 621166 CCD</t>
  </si>
  <si>
    <t>POS 073980         C&amp;C SMART    FOODS   SAN JOSE     CA      ##7633</t>
  </si>
  <si>
    <t>POS 422033         WALGREENS    STOR    SAN JOSE     CA      ##7633</t>
  </si>
  <si>
    <t>DIRECTDEP WorldPay              BNKCRD DEP 062217 LK444137 620165 CCD</t>
  </si>
  <si>
    <t>POS 073733         C&amp;C SMART    FOODS   SAN JOSE     CA      ##7633</t>
  </si>
  <si>
    <t>DIRECTDEP WorldPay              BNKCRD DEP 062117 LK444137 619164 CCD</t>
  </si>
  <si>
    <t>DIRECTDEP UBER USA         EDI  PAYMNT 062117 279504823       CCD REF*TN*027950482</t>
  </si>
  <si>
    <t>DIRECTDEBIT SAN JOSE WATER C    PAYMENT    062017 7248586901      PPD S</t>
  </si>
  <si>
    <t>DIRECTDEBIT SAN JOSE WATER C    PAYMENT    062017 9332836908      PPD S</t>
  </si>
  <si>
    <t>DIRECTDEBIT FARMERS INS EXCH    INSPAYMENT 062017 003876551001000 CCD</t>
  </si>
  <si>
    <t>POS TINAS SALON &amp; BARBER S      SAN JOSE        CA ON 170620 #7633</t>
  </si>
  <si>
    <t>DIRECTDEP DoorDash Inc.        TRANSFER   062017 DoorDash Inc.  CCD</t>
  </si>
  <si>
    <t>POS 075280         C&amp;C SMART    FOODS   SAN JOSE     CA      ##7633</t>
  </si>
  <si>
    <t>POS 070564         C&amp;C SMART    FOODS   SAN JOSE     CA      ##7633</t>
  </si>
  <si>
    <t>POS 326649         THIEN THANH  MA    SAN JOSE     CA      ##7633</t>
  </si>
  <si>
    <t>POS 718846         Wal-Mart     Super    MILPITAS     CA      ##7633</t>
  </si>
  <si>
    <t>POS 369534         COSTCO WHSE  #0    SAN JOSE     CA      ##7633</t>
  </si>
  <si>
    <t>POS 371646         COSTCO WHSE  #0    SAN JOSE     CA      ##7633</t>
  </si>
  <si>
    <t>POS 077963         C&amp;C SMART    FOODS   SAN JOSE     CA      ##7633</t>
  </si>
  <si>
    <t>DIRECTDEP WorldPay              BNKCRD DEP 061917 LK444137 615161 CCD</t>
  </si>
  <si>
    <t>DIRECTDEP WorldPay              BNKCRD DEP 061917 LK444137 617163 CCD</t>
  </si>
  <si>
    <t>DIRECTDEP WorldPay              BNKCRD DEP 061917 LK444137 616162 CCD</t>
  </si>
  <si>
    <t>POS 99 CENTS ONLY STORES #      SAN JOSE        CA ON 170616 #7633</t>
  </si>
  <si>
    <t>POS C&amp;C SMART FOOD51705713      SAN JOSE        CA ON 170616 #7633</t>
  </si>
  <si>
    <t>POS HALAL MEATS                 SAN JOSE        CA ON 170616 #7633</t>
  </si>
  <si>
    <t>DIRECTDEP WorldPay              BNKCRD DEP 061617 LK444137 614160 CCD</t>
  </si>
  <si>
    <t>POS 074957         C&amp;C SMART    FOODS   SAN JOSE     CA      ##7633</t>
  </si>
  <si>
    <t>DIRECTDEP WorldPay              BNKCRD DEP 061517 LK444137 613159 CCD</t>
  </si>
  <si>
    <t>POS 072391         C&amp;C SMART    FOODS   SAN JOSE     CA      ##7633</t>
  </si>
  <si>
    <t>POS 075721         THIEN THANH  MA    SAN JOSE     CA      ##7633</t>
  </si>
  <si>
    <t>DIRECTDEP WorldPay              BNKCRD DEP 061417 LK444137 612158 CCD</t>
  </si>
  <si>
    <t>DIRECTDEP UBER USA         EDI  PAYMNT 061417 273864547       CCD REF*TN*027386454</t>
  </si>
  <si>
    <t>POS 075579         C&amp;C SMART    FOODS   SAN JOSE     CA      ##7633</t>
  </si>
  <si>
    <t>POS 073555         C&amp;C SMART    FOODS   SAN JOSE     CA      ##7633</t>
  </si>
  <si>
    <t>POS C&amp;C SMART FOOD51705713      SAN JOSE        CA ON 170613 #7633</t>
  </si>
  <si>
    <t>POS FOODMAXX#460 SAN JOS        SAN JOSE        CA ON 170613 #7633</t>
  </si>
  <si>
    <t>DIRECTDEP DOORDASH.COM          TRANSFER   061317 DoorDash Inc.  CCD</t>
  </si>
  <si>
    <t>POS 013710         ANWAR BAZAAR &amp;    SAN JOSE     CA      ##7633</t>
  </si>
  <si>
    <t>POS 013708         ANWAR BAZAAR &amp;    SAN JOSE     CA      ##7633</t>
  </si>
  <si>
    <t>POS C&amp;C SMART FOOD51705713      SAN JOSE        CA ON 170612 #7633</t>
  </si>
  <si>
    <t>POS 037130         FOODMAXX#460 S    SAN JOSE     CA      ##7633</t>
  </si>
  <si>
    <t>POS THIEN THANH MARKET          SAN JOSE        CA ON 170612 #7633</t>
  </si>
  <si>
    <t>DIRECTDEP WorldPay              BNKCRD DEP 061217 LK444137 610157 CCD</t>
  </si>
  <si>
    <t>DIRECTDEP WorldPay              BNKCRD DEP 061217 LK444137 608155 CCD</t>
  </si>
  <si>
    <t>DIRECTDEP WorldPay              BNKCRD DEP 061217 LK444137 609156 CCD</t>
  </si>
  <si>
    <t>POS C&amp;C SMART FOOD51705713      SAN JOSE        CA ON 170609 #7633</t>
  </si>
  <si>
    <t>DIRECTDEP WorldPay              BNKCRD DEP 060917 LK444137 607154 CCD</t>
  </si>
  <si>
    <t>POS 550942         FOODMAXX#460 S    SAN JOSE     CA      ##7633</t>
  </si>
  <si>
    <t>POS C&amp;C SMART FOOD51705713      SAN JOSE        CA ON 170608 #7633</t>
  </si>
  <si>
    <t>POS INTL GOURMET FOODS          SAN JOSE        CA ON 170608 #7633</t>
  </si>
  <si>
    <t>DIRECTDEP WorldPay              BNKCRD DEP 060817 LK444137 606153 CCD</t>
  </si>
  <si>
    <t>POS 99 CENTS ONLY STORES #      SAN JOSE        CA ON 170607 #7633</t>
  </si>
  <si>
    <t>POS C&amp;C SMART FOOD51705713      SAN JOSE        CA ON 170607 #7633</t>
  </si>
  <si>
    <t>DIRECTDEP WorldPay              BNKCRD DEP 060717 LK444137 605152 CCD</t>
  </si>
  <si>
    <t>DIRECTDEP UBER USA         EDI  PAYMNT 060717 268402019       CCD REF*TN*026840201</t>
  </si>
  <si>
    <t>POS DAN T DANG OD               SAN JOSE        CA ON 170606 #7633</t>
  </si>
  <si>
    <t>DIRECTDEP DOORDASH.COM          TRANSFER   060617 DoorDash Inc.  CCD</t>
  </si>
  <si>
    <t>POS 013106         ANWAR BAZAAR &amp;    SAN JOSE     CA      ##7633</t>
  </si>
  <si>
    <t>POS 078496         C&amp;C SMART    FOODS   SAN JOSE     CA      ##7633</t>
  </si>
  <si>
    <t>POS 331638         COSTCO WHSE  #0    SAN JOSE     CA      ##7633</t>
  </si>
  <si>
    <t>POS 371538         COSTCO WHSE  #0    SAN JOSE     CA      ##7633</t>
  </si>
  <si>
    <t>POS 449434         THIEN THANH  MA    SAN JOSE     CA      ##7633</t>
  </si>
  <si>
    <t>POS 000441         KOHLS 0977        CAMPBELL     CA      ##7633</t>
  </si>
  <si>
    <t>POS 99 CENTS ONLY STORES #      SAN JOSE        CA ON 170605 #7633</t>
  </si>
  <si>
    <t>DIRECTDEP WorldPay              BNKCRD DEP 060517 LK444137 603151 CCD</t>
  </si>
  <si>
    <t>DIRECTDEP WorldPay              BNKCRD DEP 060517 LK444137 601149 CCD</t>
  </si>
  <si>
    <t>DIRECTDEP WorldPay              BNKCRD DEP 060517 LK444137 602150 CCD</t>
  </si>
  <si>
    <t>POS 077665         C&amp;C SMART    FOODS   SAN JOSE     CA      ##7633</t>
  </si>
  <si>
    <t>POS 422055         WALGREENS    STOR    SAN JOSE     CA      ##7633</t>
  </si>
  <si>
    <t>POS 078775         C&amp;C SMART    FOODS   SAN JOSE     CA      ##7633</t>
  </si>
  <si>
    <t>POS C&amp;C SMART FOOD51705713      SAN JOSE        CA ON 170602 #7633</t>
  </si>
  <si>
    <t>DIRECTDEP WorldPay              BNKCRD DEP 060217 LK444137 531148 CCD</t>
  </si>
  <si>
    <t>POS C&amp;C SMART FOOD51705713      SAN JOSE        CA ON 170601 #7633</t>
  </si>
  <si>
    <t>DIRECTDEP WorldPay              BNKCRD DEP 060117 LK444137 530147 CCD</t>
  </si>
  <si>
    <t>POS 070149         C&amp;C SMART    FOODS   SAN JOSE     CA      ##7633</t>
  </si>
  <si>
    <t>POS 076282         C&amp;C SMART    FOODS   SAN JOSE     CA      ##7633</t>
  </si>
  <si>
    <t>DIRECTDEP WorldPay              BNKCRD DEP 072617 LK444137 724001 CCD</t>
  </si>
  <si>
    <t>DIRECTDEP UBER USA         EDI  PAYMNT 072617 307844155       CCD REF*TN*030784415</t>
  </si>
  <si>
    <t>POS 005869         BIG LOTS     STORE    SAN JOSE     CA      ##7633</t>
  </si>
  <si>
    <t>POS 999909         AMAZON.COM        SEATTLE      WA      ##7633</t>
  </si>
  <si>
    <t>POS THIEN THANH MARKET          SAN JOSE        CA ON 170703 #7633</t>
  </si>
  <si>
    <t>POS C&amp;C SMART FOOD51705713      SAN JOSE        CA ON 170705 #7633</t>
  </si>
  <si>
    <t>DIRECTDEP DoorDash Inc.        TRANSFER   072517 DoorDash Inc.  CCD</t>
  </si>
  <si>
    <t>POS CENTRAL CASH CARRY          SAN JOSE        CA ON 170704 #7633</t>
  </si>
  <si>
    <t>POS C&amp;C SMART FOOD51705713      SAN JOSE        CA ON 170707 #7633</t>
  </si>
  <si>
    <t>POS 070064         C&amp;C SMART    FOODS   SAN JOSE     CA      ##7633</t>
  </si>
  <si>
    <t>POS 075718         C&amp;C SMART    FOODS   SAN JOSE     CA      ##7633</t>
  </si>
  <si>
    <t>DIRECTDEP WorldPay              BNKCRD DEP 072417 LK444137 721001 CCD</t>
  </si>
  <si>
    <t>DIRECTDEP WorldPay              BNKCRD DEP 072417 LK444137 722001 CCD</t>
  </si>
  <si>
    <t>DIRECTDEP WorldPay              BNKCRD DEP 072417 LK444137 720001 CCD</t>
  </si>
  <si>
    <t>POS 619562         99 CENTS     1915 W  SAN JOSE     CA      ##7633</t>
  </si>
  <si>
    <t>DIRECTDEP WorldPay              BNKCRD DEP 072117 LK444137 719001 CCD</t>
  </si>
  <si>
    <t>POS 785806         THIEN THANH  MA    SAN JOSE     CA      ##7633</t>
  </si>
  <si>
    <t>DIRECTDEP WorldPay              BNKCRD DEP 072017 LK444137 718001 CCD</t>
  </si>
  <si>
    <t>POS THE WEBSTAURANT STORE       717-392-7472    PA ON 170710 #7633</t>
  </si>
  <si>
    <t>POS C&amp;C SMART FOOD51705713      SAN JOSE        CA ON 170709 #7633</t>
  </si>
  <si>
    <t>POS CENTRAL CASH &amp; CARRY        SAN JOSE        CA ON 170710 #7633</t>
  </si>
  <si>
    <t>POS 070935         C&amp;C SMART    FOODS   SAN JOSE     CA      ##7633</t>
  </si>
  <si>
    <t>POS INTL GOURMET FOODS          SAN JOSE        CA ON 170711 #7633</t>
  </si>
  <si>
    <t>POS 052698         FOODMAXX#460 S    SAN JOSE     CA      ##7633</t>
  </si>
  <si>
    <t>DIRECTDEP WorldPay              BNKCRD DEP 071917 LK444137 717001 CCD</t>
  </si>
  <si>
    <t>DIRECTDEP UBER USA         EDI  PAYMNT 071917 301609537       CCD REF*TN*030160953</t>
  </si>
  <si>
    <t>POS 073758         C&amp;C SMART    FOODS   SAN JOSE     CA      ##7633</t>
  </si>
  <si>
    <t>POS 075309         C&amp;C SMART    FOODS   SAN JOSE     CA      ##7633</t>
  </si>
  <si>
    <t>DIRECTDEP DoorDash Inc.        TRANSFER   071817 DoorDash Inc.  CCD</t>
  </si>
  <si>
    <t>POS 074312         C&amp;C SMART    FOODS   SAN JOSE     CA      ##7633</t>
  </si>
  <si>
    <t>POS 075685         C&amp;C SMART    FOODS   SAN JOSE     CA      ##7633</t>
  </si>
  <si>
    <t>POS 078836         C&amp;C SMART    FOODS   SAN JOSE     CA      ##7633</t>
  </si>
  <si>
    <t>POS 078986         C&amp;C SMART    FOODS   SAN JOSE     CA      ##7633</t>
  </si>
  <si>
    <t>POS 284877         THIEN THANH  MA    SAN JOSE     CA      ##7633</t>
  </si>
  <si>
    <t>POS 343945         FOODMAXX#460 S    SAN JOSE     CA      ##7633</t>
  </si>
  <si>
    <t>POS 385260         COSTCO WHSE  #0    SAN JOSE     CA      ##7633</t>
  </si>
  <si>
    <t>POS 406184         COSTCO WHSE  #0    SAN JOSE     CA      ##7633</t>
  </si>
  <si>
    <t>DIRECTDEP WorldPay              BNKCRD DEP 071717 LK444137 714001 CCD</t>
  </si>
  <si>
    <t>DIRECTDEP WorldPay              BNKCRD DEP 071717 LK444137 715001 CCD</t>
  </si>
  <si>
    <t>DIRECTDEP WorldPay              BNKCRD DEP 071717 LK444137 713001 CCD</t>
  </si>
  <si>
    <t>DIRECTDEP WorldPay              BNKCRD DEP 071417 LK444137 712001 CCD</t>
  </si>
  <si>
    <t>POS 454895         COSTCO WHSE  #0    SANTA CLARA  CA      ##7633</t>
  </si>
  <si>
    <t>POS 017051         ANWAR BAZAAR &amp;    SAN JOSE     CA      ##7633</t>
  </si>
  <si>
    <t>POS 078994         C&amp;C SMART    FOODS   SAN JOSE     CA      ##7633</t>
  </si>
  <si>
    <t>DIRECTDEP WorldPay              BNKCRD DEP 071317 LK444137 708179 CCD</t>
  </si>
  <si>
    <t>POS ENA*APPLIANCE WARRANTY      886-386-5286    NC ON 170718 #7633</t>
  </si>
  <si>
    <t>POS 074223         C&amp;C SMART    FOODS   SAN JOSE     CA      ##7633</t>
  </si>
  <si>
    <t>DIRECTDEP UBER USA         EDI  PAYMNT 071217 295927589       CCD REF*TN*029592758</t>
  </si>
  <si>
    <t>DIRECTDEBIT FARMERS INS EXCH    INSPAYMENT 071917 003876551001000 CCD</t>
  </si>
  <si>
    <t>DIRECTDEP WorldPay              BNKCRD DEP 071117 LK444137 707178 CCD</t>
  </si>
  <si>
    <t>DIRECTDEP DoorDash Inc.        TRANSFER   071117 DoorDash Inc.  CCD</t>
  </si>
  <si>
    <t>POS 565596         FOODMAXX#460 S    SAN JOSE     CA      ##7633</t>
  </si>
  <si>
    <t>POS INTL GOURMET FOODS          SAN JOSE        CA ON 170719 #7633</t>
  </si>
  <si>
    <t>POS 071578         C&amp;C SMART    FOODS   SAN JOSE     CA      ##7633</t>
  </si>
  <si>
    <t>POS 076449         C&amp;C SMART    FOODS   SAN JOSE     CA      ##7633</t>
  </si>
  <si>
    <t>POS 414658         RESTAURANT   DEP    SAN JOSE     CA      ##7633</t>
  </si>
  <si>
    <t>POS 072221         C&amp;C SMART    FOODS   SAN JOSE     CA      ##7633</t>
  </si>
  <si>
    <t>POS 006254         BED BATH     BEYON    Campbell     CA      ##7633</t>
  </si>
  <si>
    <t>DIRECTDEP WorldPay              BNKCRD DEP 071017 LK444137 706176 CCD</t>
  </si>
  <si>
    <t>DIRECTDEP WorldPay              BNKCRD DEP 071017 LK444137 707177 CCD</t>
  </si>
  <si>
    <t>POS 075965         C&amp;C SMART    FOODS   SAN JOSE     CA      ##7633</t>
  </si>
  <si>
    <t>DIRECTDEP WorldPay              BNKCRD DEP 070717 LK444137 704175 CCD</t>
  </si>
  <si>
    <t>DIRECTDEP WorldPay              BNKCRD DEP 070617 LK444137 704174 CCD</t>
  </si>
  <si>
    <t>POS 077140         C&amp;C SMART    FOODS   SAN JOSE     CA      ##7633</t>
  </si>
  <si>
    <t>POS 666544         99 CENTS     1915 W  SAN JOSE     CA      ##7633</t>
  </si>
  <si>
    <t>POS 800130         THIEN THANH  MA    SAN JOSE     CA      ##7633</t>
  </si>
  <si>
    <t>POS 978855         COSTCO WHSE  #1    SAN JOSE     CA      ##7633</t>
  </si>
  <si>
    <t>POS 074154         C&amp;C SMART    FOODS   SAN JOSE     CA      ##7633</t>
  </si>
  <si>
    <t>DIRECTDEP WorldPay              BNKCRD DEP 070517 LK444137 703173 CCD</t>
  </si>
  <si>
    <t>DIRECTDEP UBER USA         EDI  PAYMNT 070517 288176739       CCD REF*TN*028817673</t>
  </si>
  <si>
    <t>POS 076807         C&amp;C SMART    FOODS   SAN JOSE     CA      ##7633</t>
  </si>
  <si>
    <t>POS C&amp;C SMART FOOD51705713      SAN JOSE        CA ON 170725 #7633</t>
  </si>
  <si>
    <t>POS MILPITAS HALAL MARKET       MILPITAS        CA ON 170725 #7633</t>
  </si>
  <si>
    <t>POS 073628         C&amp;C SMART    FOODS   SAN JOSE     CA      ##7633</t>
  </si>
  <si>
    <t>POS 074188         C&amp;C SMART    FOODS   SAN JOSE     CA      ##7633</t>
  </si>
  <si>
    <t>POS 419593         RESTAURANT   DEP    SAN JOSE     CA      ##7633</t>
  </si>
  <si>
    <t>POS C&amp;C SMART FOOD51705713      SAN JOSE        CA ON 170726 #7633</t>
  </si>
  <si>
    <t>DIRECTDEP WorldPay              BNKCRD DEP 070317 LK444137 701172 CCD</t>
  </si>
  <si>
    <t>DIRECTDEP WorldPay              BNKCRD DEP 070317 LK444137 630171 CCD</t>
  </si>
  <si>
    <t>DIRECTDEP WorldPay              BNKCRD DEP 070317 LK444137 629170 CCD</t>
  </si>
  <si>
    <t>DIRECTDEP DoorDash Inc.        TRANSFER   070317 DoorDash Inc.  CCD</t>
  </si>
  <si>
    <t>Expenses</t>
  </si>
  <si>
    <t>Gulistan Halal Restaurant</t>
  </si>
  <si>
    <t>Rent or lease payments</t>
  </si>
  <si>
    <t>Bank Charges</t>
  </si>
  <si>
    <t>Other general and administrative expenses</t>
  </si>
  <si>
    <t>Meals and Entertainment</t>
  </si>
  <si>
    <t>Utilities</t>
  </si>
  <si>
    <t>Travel expenses - general and admin expenses</t>
  </si>
  <si>
    <t>Insurance - General</t>
  </si>
  <si>
    <t>Travel Expense General</t>
  </si>
  <si>
    <t xml:space="preserve"> Rent or lease payments</t>
  </si>
  <si>
    <t>Stationary &amp; Printing</t>
  </si>
  <si>
    <t>Trainings</t>
  </si>
  <si>
    <t xml:space="preserve">Medical </t>
  </si>
  <si>
    <t>Medical</t>
  </si>
  <si>
    <t>Office Expenses</t>
  </si>
  <si>
    <t xml:space="preserve">Expenses </t>
  </si>
  <si>
    <t> Travel expenses - general and admin expenses</t>
  </si>
  <si>
    <t> Other general and administrative expenses</t>
  </si>
  <si>
    <t xml:space="preserve"> Legal and professional fees</t>
  </si>
  <si>
    <t>Rent</t>
  </si>
  <si>
    <t>Office Maintenance</t>
  </si>
  <si>
    <t>Shipping and delivery expense</t>
  </si>
  <si>
    <t>Dues and subscriptions</t>
  </si>
  <si>
    <t xml:space="preserve"> </t>
  </si>
  <si>
    <t>Trainigs</t>
  </si>
  <si>
    <t>Legal and Professional fee</t>
  </si>
  <si>
    <t>Miscellaneous Expenses</t>
  </si>
  <si>
    <t>Remarks</t>
  </si>
  <si>
    <t>Sales per Month</t>
  </si>
  <si>
    <t>Cogs Per Month</t>
  </si>
  <si>
    <t>GM %</t>
  </si>
  <si>
    <t>Month</t>
  </si>
  <si>
    <t>Jan</t>
  </si>
  <si>
    <t>Feb</t>
  </si>
  <si>
    <t>Mar</t>
  </si>
  <si>
    <t>Apr</t>
  </si>
  <si>
    <t>May</t>
  </si>
  <si>
    <t>Jun</t>
  </si>
  <si>
    <t>Jul</t>
  </si>
  <si>
    <t>GM $</t>
  </si>
  <si>
    <t>Walk In Customer</t>
  </si>
  <si>
    <t>Tue</t>
  </si>
  <si>
    <t>Aug 2017</t>
  </si>
  <si>
    <t>Sep 2017</t>
  </si>
  <si>
    <t>Oct 2017</t>
  </si>
  <si>
    <t>SALES FORECAST - Gullistan Hotel</t>
  </si>
  <si>
    <t xml:space="preserve">SALES REPORT JAN - JULY 2017  Gullistan Hotel </t>
  </si>
  <si>
    <t>Nov 2017</t>
  </si>
  <si>
    <t>Dec 2017</t>
  </si>
  <si>
    <t>Daily Cash Projections Gullistan Hotel</t>
  </si>
  <si>
    <t>For the Month July-17</t>
  </si>
  <si>
    <t>Friday</t>
  </si>
  <si>
    <t>Transactions</t>
  </si>
  <si>
    <t>Education</t>
  </si>
  <si>
    <t>Misc. Expenses</t>
  </si>
  <si>
    <t>Other-General</t>
  </si>
  <si>
    <t>Sales Tax</t>
  </si>
  <si>
    <t>Uncategorised Income</t>
  </si>
  <si>
    <t>Utility</t>
  </si>
  <si>
    <t>For the Month Aug-17</t>
  </si>
  <si>
    <t>For the Month Sep-17</t>
  </si>
  <si>
    <t>For the Month Oct-17</t>
  </si>
  <si>
    <t>For the Month Nov-17</t>
  </si>
  <si>
    <t>For the Month Dec-17</t>
  </si>
  <si>
    <t>San Jones</t>
  </si>
  <si>
    <t>Resturant</t>
  </si>
  <si>
    <t>Resturannt</t>
  </si>
  <si>
    <t>Other Payments</t>
  </si>
  <si>
    <t>Quarter 3</t>
  </si>
  <si>
    <t>Quarter 4</t>
  </si>
  <si>
    <t>Food &amp; Beverages</t>
  </si>
  <si>
    <t>Gulistan</t>
  </si>
  <si>
    <t>Profit and Loss</t>
  </si>
  <si>
    <t>January 2017</t>
  </si>
  <si>
    <t xml:space="preserve">   40014 Sales</t>
  </si>
  <si>
    <t>Total Income</t>
  </si>
  <si>
    <t>Cost of Sales</t>
  </si>
  <si>
    <t xml:space="preserve">   50013 Direct labour - COS</t>
  </si>
  <si>
    <t xml:space="preserve">   50016 Materials - COS</t>
  </si>
  <si>
    <t>Total Cost of Sales</t>
  </si>
  <si>
    <t xml:space="preserve">   60012 Bank charges</t>
  </si>
  <si>
    <t xml:space="preserve">   60019 Insurance - General</t>
  </si>
  <si>
    <t xml:space="preserve">   60025 Meals and entertainment</t>
  </si>
  <si>
    <t xml:space="preserve">   60028 Other general and administrative expenses</t>
  </si>
  <si>
    <t xml:space="preserve">   60033 Rent or lease payments</t>
  </si>
  <si>
    <t xml:space="preserve">   60039 Travel expenses - general and admin expenses</t>
  </si>
  <si>
    <t xml:space="preserve">   60042 Utilities</t>
  </si>
  <si>
    <t>Total Expenses</t>
  </si>
  <si>
    <t>Net Earnings</t>
  </si>
  <si>
    <t>Friday, Aug 04, 2017 09:43:19 PM GMT+5 - Accrual Basis</t>
  </si>
  <si>
    <t>February 2017</t>
  </si>
  <si>
    <t xml:space="preserve">   60015 Trainings</t>
  </si>
  <si>
    <t xml:space="preserve">   60026 Medical</t>
  </si>
  <si>
    <t xml:space="preserve">   60027 Office expenses</t>
  </si>
  <si>
    <t xml:space="preserve">   60037 Stationery and printing</t>
  </si>
  <si>
    <t>Friday, Aug 04, 2017 09:45:17 PM GMT+5 - Accrual Basis</t>
  </si>
  <si>
    <t>March 2017</t>
  </si>
  <si>
    <t>Friday, Aug 04, 2017 09:46:02 PM GMT+5 - Accrual Basis</t>
  </si>
  <si>
    <t>April 2017</t>
  </si>
  <si>
    <t xml:space="preserve">   60022 Legal and professional fees</t>
  </si>
  <si>
    <t>Friday, Aug 04, 2017 09:46:53 PM GMT+5 - Accrual Basis</t>
  </si>
  <si>
    <t>May 2017</t>
  </si>
  <si>
    <t xml:space="preserve">   60014 Dues and subscriptions</t>
  </si>
  <si>
    <t xml:space="preserve">   60036 Shipping and delivery expense</t>
  </si>
  <si>
    <t>June 2017</t>
  </si>
  <si>
    <t xml:space="preserve">   40013 Misc-Income</t>
  </si>
  <si>
    <t>Friday, Aug 04, 2017 09:48:17 PM GMT+5 - Accrual Basis</t>
  </si>
  <si>
    <t xml:space="preserve">   60040 Travel expenses - selling expenses</t>
  </si>
  <si>
    <t xml:space="preserve">   60044 Internet and Communication</t>
  </si>
  <si>
    <t xml:space="preserve">   60046 Property Taxes Paid</t>
  </si>
  <si>
    <t xml:space="preserve">Balance Sheet Comparison </t>
  </si>
  <si>
    <t>As of January 31, 2017</t>
  </si>
  <si>
    <t>As of Jan 31, 2017</t>
  </si>
  <si>
    <t>As of Jan 31, 2016 (PY)</t>
  </si>
  <si>
    <t>Assets</t>
  </si>
  <si>
    <t xml:space="preserve">   Current Assets</t>
  </si>
  <si>
    <t xml:space="preserve">      Accounts receivable</t>
  </si>
  <si>
    <t xml:space="preserve">         10012 Accounts Receivable (A/R)</t>
  </si>
  <si>
    <t xml:space="preserve">      Total Accounts receivable</t>
  </si>
  <si>
    <t xml:space="preserve">      10011 Cash and cash equivalents</t>
  </si>
  <si>
    <t xml:space="preserve">   Total Current Assets</t>
  </si>
  <si>
    <t>Total Assets</t>
  </si>
  <si>
    <t>Liabilities and shareholder's equity</t>
  </si>
  <si>
    <t xml:space="preserve">   Current liabilities:</t>
  </si>
  <si>
    <t xml:space="preserve">      20001 Accrued liabilities</t>
  </si>
  <si>
    <t xml:space="preserve">         20012 Sales and service tax payable</t>
  </si>
  <si>
    <t xml:space="preserve">      Total 20001 Accrued liabilities</t>
  </si>
  <si>
    <t xml:space="preserve">   Total current liabilities</t>
  </si>
  <si>
    <t xml:space="preserve">   Shareholders' equity:</t>
  </si>
  <si>
    <t xml:space="preserve">      Net Income</t>
  </si>
  <si>
    <t xml:space="preserve">      30015 Retained Earnings</t>
  </si>
  <si>
    <t xml:space="preserve">   Total shareholders' equity</t>
  </si>
  <si>
    <t>Total liabilities and equity</t>
  </si>
  <si>
    <t>Friday, Aug 04, 2017 10:01:13 PM GMT+5 - Accrual Basis</t>
  </si>
  <si>
    <t>As of February 28, 2017</t>
  </si>
  <si>
    <t>As of Feb 28, 2017</t>
  </si>
  <si>
    <t>As of Feb 29, 2016 (PY)</t>
  </si>
  <si>
    <t xml:space="preserve">      10017 Loans to Others</t>
  </si>
  <si>
    <t>Friday, Aug 04, 2017 10:02:32 PM GMT+5 - Accrual Basis</t>
  </si>
  <si>
    <t>As of March 31, 2017</t>
  </si>
  <si>
    <t>As of Mar 31, 2017</t>
  </si>
  <si>
    <t>As of Mar 31, 2016 (PY)</t>
  </si>
  <si>
    <t>Friday, Aug 04, 2017 10:03:08 PM GMT+5 - Accrual Basis</t>
  </si>
  <si>
    <t>As of April 30, 2017</t>
  </si>
  <si>
    <t>As of Apr 30, 2017</t>
  </si>
  <si>
    <t>As of Apr 30, 2016 (PY)</t>
  </si>
  <si>
    <t>Friday, Aug 04, 2017 10:03:36 PM GMT+5 - Accrual Basis</t>
  </si>
  <si>
    <t>As of May 31, 2017</t>
  </si>
  <si>
    <t>As of May 31, 2016 (PY)</t>
  </si>
  <si>
    <t>Friday, Aug 04, 2017 10:04:07 PM GMT+5 - Accrual Basis</t>
  </si>
  <si>
    <t>As of June 30, 2017</t>
  </si>
  <si>
    <t>As of Jun 30, 2017</t>
  </si>
  <si>
    <t>As of Jun 30, 2016 (PY)</t>
  </si>
  <si>
    <t>Friday, Aug 04, 2017 10:04:57 PM GMT+5 - Accrual Basis</t>
  </si>
  <si>
    <t>As of July 31, 2017</t>
  </si>
  <si>
    <t>As of Jul 31, 2017</t>
  </si>
  <si>
    <t>As of Jul 31, 2016 (PY)</t>
  </si>
  <si>
    <t>Friday, Aug 04, 2017 10:05:24 PM GMT+5 - Accrual Basis</t>
  </si>
  <si>
    <t>Amount in Local Curr</t>
  </si>
  <si>
    <t>Location</t>
  </si>
  <si>
    <t>Outlet Name</t>
  </si>
  <si>
    <t xml:space="preserve">Country  </t>
  </si>
  <si>
    <t xml:space="preserve">City </t>
  </si>
  <si>
    <t xml:space="preserve">State </t>
  </si>
  <si>
    <t>Company ID</t>
  </si>
  <si>
    <t xml:space="preserve">GP </t>
  </si>
  <si>
    <t>LA</t>
  </si>
  <si>
    <t>Address</t>
  </si>
  <si>
    <t>Tax re. Number</t>
  </si>
  <si>
    <t>Sales Tax Number</t>
  </si>
  <si>
    <t>Payroll ref. Number</t>
  </si>
  <si>
    <t>Number of Employees</t>
  </si>
  <si>
    <t xml:space="preserve">Attachments </t>
  </si>
  <si>
    <t xml:space="preserve">US </t>
  </si>
  <si>
    <t xml:space="preserve">Role ID </t>
  </si>
  <si>
    <t>Role Name</t>
  </si>
  <si>
    <t>Owner</t>
  </si>
  <si>
    <t>Viewer</t>
  </si>
  <si>
    <t>Contributor</t>
  </si>
  <si>
    <t>* ( Owner, Viewer, Contributor)</t>
  </si>
  <si>
    <t xml:space="preserve">Company ID </t>
  </si>
  <si>
    <t>User ID</t>
  </si>
  <si>
    <t>First Name</t>
  </si>
  <si>
    <t xml:space="preserve">Email </t>
  </si>
  <si>
    <t>Password</t>
  </si>
  <si>
    <t>Contact Number</t>
  </si>
  <si>
    <t xml:space="preserve">How did you hear about us </t>
  </si>
  <si>
    <t>Role</t>
  </si>
  <si>
    <t>Status ( Active/Deactivated)</t>
  </si>
  <si>
    <t>Category ID</t>
  </si>
  <si>
    <t xml:space="preserve">Category Title </t>
  </si>
  <si>
    <t>Country</t>
  </si>
  <si>
    <t>State</t>
  </si>
  <si>
    <t>Net Cash Balance</t>
  </si>
  <si>
    <t>Trans ID</t>
  </si>
  <si>
    <t xml:space="preserve">Customer Name                      </t>
  </si>
  <si>
    <t xml:space="preserve">Customer Purchase Order Number     </t>
  </si>
  <si>
    <t>Type</t>
  </si>
  <si>
    <t>Software Document #</t>
  </si>
  <si>
    <t xml:space="preserve">Date of invoice </t>
  </si>
  <si>
    <t>Payment Term</t>
  </si>
  <si>
    <t>Due Date</t>
  </si>
  <si>
    <t xml:space="preserve">Vendor #  </t>
  </si>
  <si>
    <t xml:space="preserve">Vendor Name                        </t>
  </si>
  <si>
    <t>Document #</t>
  </si>
  <si>
    <t xml:space="preserve">Doc Date  </t>
  </si>
  <si>
    <t>PyTm</t>
  </si>
  <si>
    <t xml:space="preserve">Due Date  </t>
  </si>
  <si>
    <t xml:space="preserve">PO Number </t>
  </si>
  <si>
    <t>SO Number</t>
  </si>
  <si>
    <t xml:space="preserve">Current              </t>
  </si>
  <si>
    <t xml:space="preserve">30 Days Past         </t>
  </si>
  <si>
    <t xml:space="preserve">45 Days Past         </t>
  </si>
  <si>
    <t xml:space="preserve">60 Days Past         </t>
  </si>
  <si>
    <t xml:space="preserve">Over 90 Days Past    </t>
  </si>
  <si>
    <t xml:space="preserve">Total                </t>
  </si>
  <si>
    <t>01</t>
  </si>
  <si>
    <t>Varint</t>
  </si>
  <si>
    <t>Net 30</t>
  </si>
  <si>
    <t>Saad</t>
  </si>
  <si>
    <t>saad@nuage-digital.com</t>
  </si>
  <si>
    <t>hello@nuage-digital.com</t>
  </si>
  <si>
    <t>support@nuage-digital.com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</si>
</sst>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8" formatCode="&quot;$&quot;#,##0.00_);[Red]\(&quot;$&quot;#,##0.00\)"/>
    <numFmt numFmtId="43" formatCode="_(* #,##0.00_);_(* \(#,##0.00\);_(* &quot;-&quot;??_);_(@_)"/>
    <numFmt numFmtId="164" formatCode="#,##0.00;\-#,##0.00"/>
    <numFmt numFmtId="165" formatCode="[$-409]mmm\-yy"/>
    <numFmt numFmtId="166" formatCode="_(* #,##0_);_(* \(#,##0\);_(* &quot;-&quot;??_);_(@_)"/>
    <numFmt numFmtId="167" formatCode="#,##0;\-#,##0"/>
    <numFmt numFmtId="168" formatCode="[$-409]mmmm\ d\,\ yyyy"/>
    <numFmt numFmtId="169" formatCode="ddd"/>
    <numFmt numFmtId="170" formatCode="mm/dd/yy"/>
    <numFmt numFmtId="171" formatCode="[$-409]mmmm\-yy"/>
    <numFmt numFmtId="172" formatCode="mmmm\-yy"/>
    <numFmt numFmtId="173" formatCode="[$-409]mmmm\ \-\ yyyy"/>
    <numFmt numFmtId="174" formatCode="####\-##"/>
    <numFmt numFmtId="175" formatCode="0.0%"/>
    <numFmt numFmtId="176" formatCode="#,##0.00000_);[Red]\(#,##0.00000\)"/>
    <numFmt numFmtId="177" formatCode="#,##0.00\ _€"/>
    <numFmt numFmtId="178" formatCode="&quot;$&quot;* #,##0.00\ _€"/>
  </numFmts>
  <fonts count="8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sz val="18"/>
      <color rgb="FF44546A"/>
      <name val="Calibri"/>
      <family val="2"/>
    </font>
    <font>
      <b/>
      <sz val="11"/>
      <color rgb="FF44546A"/>
      <name val="Calibri"/>
      <family val="2"/>
    </font>
    <font>
      <b/>
      <sz val="13"/>
      <color rgb="FF44546A"/>
      <name val="Calibri"/>
      <family val="2"/>
    </font>
    <font>
      <u/>
      <sz val="11"/>
      <color rgb="FF0563C1"/>
      <name val="Calibri"/>
      <family val="2"/>
    </font>
    <font>
      <b/>
      <sz val="11"/>
      <color rgb="FF3F3F3F"/>
      <name val="Calibri"/>
      <family val="2"/>
    </font>
    <font>
      <sz val="10"/>
      <color rgb="FF000000"/>
      <name val="Calibri"/>
      <family val="2"/>
    </font>
    <font>
      <sz val="10"/>
      <color rgb="FF1E4E79"/>
      <name val="Calibri"/>
      <family val="2"/>
    </font>
    <font>
      <b/>
      <sz val="10"/>
      <color rgb="FF000000"/>
      <name val="Calibri"/>
      <family val="2"/>
    </font>
    <font>
      <b/>
      <sz val="10"/>
      <color rgb="FF1E4E7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color rgb="FF000000"/>
      <name val="Verdana"/>
      <family val="2"/>
    </font>
    <font>
      <sz val="11"/>
      <color rgb="FFFA7D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sz val="9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</font>
    <font>
      <b/>
      <sz val="16"/>
      <color rgb="FF000000"/>
      <name val="Calibri"/>
      <family val="2"/>
    </font>
    <font>
      <b/>
      <sz val="11"/>
      <color rgb="FFFA7D00"/>
      <name val="Calibri"/>
      <family val="2"/>
    </font>
    <font>
      <b/>
      <sz val="15"/>
      <name val="Calibri"/>
      <family val="2"/>
    </font>
    <font>
      <b/>
      <sz val="9"/>
      <name val="Calibri"/>
      <family val="2"/>
    </font>
    <font>
      <sz val="9"/>
      <name val="Arial"/>
      <family val="2"/>
    </font>
    <font>
      <b/>
      <sz val="13"/>
      <name val="Calibri"/>
      <family val="2"/>
    </font>
    <font>
      <i/>
      <sz val="10"/>
      <name val="Calibri"/>
      <family val="2"/>
    </font>
    <font>
      <b/>
      <sz val="10"/>
      <color rgb="FFFFFFFF"/>
      <name val="Calibri"/>
      <family val="2"/>
    </font>
    <font>
      <i/>
      <u/>
      <sz val="10"/>
      <name val="Calibri"/>
      <family val="2"/>
    </font>
    <font>
      <b/>
      <u/>
      <sz val="10"/>
      <name val="Calibri"/>
      <family val="2"/>
    </font>
    <font>
      <sz val="9"/>
      <color rgb="FFFF0000"/>
      <name val="Calibri"/>
      <family val="2"/>
    </font>
    <font>
      <sz val="8"/>
      <color rgb="FF70AD47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Calibri"/>
      <family val="2"/>
    </font>
    <font>
      <b/>
      <sz val="8"/>
      <color rgb="FF44546A"/>
      <name val="Calibri"/>
      <family val="2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FFFFCC"/>
      <name val="Calibri"/>
      <family val="2"/>
    </font>
    <font>
      <b/>
      <sz val="8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Calibri"/>
      <family val="2"/>
    </font>
    <font>
      <b/>
      <sz val="12"/>
      <color rgb="FF44546A"/>
      <name val="Calibri"/>
      <family val="2"/>
    </font>
    <font>
      <b/>
      <u/>
      <sz val="12"/>
      <color theme="4" tint="-0.499984740745262"/>
      <name val="Calibri"/>
      <family val="2"/>
    </font>
    <font>
      <b/>
      <sz val="11"/>
      <color theme="4" tint="-0.499984740745262"/>
      <name val="Calibri"/>
      <family val="2"/>
    </font>
    <font>
      <sz val="8"/>
      <color rgb="FF0070C0"/>
      <name val="Calibri"/>
      <family val="2"/>
    </font>
    <font>
      <b/>
      <sz val="8"/>
      <color rgb="FF0070C0"/>
      <name val="Calibri"/>
      <family val="2"/>
    </font>
    <font>
      <b/>
      <sz val="12"/>
      <color rgb="FF0070C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Arial"/>
    </font>
    <font>
      <b/>
      <sz val="10"/>
      <color indexed="8"/>
      <name val="Arial"/>
    </font>
    <font>
      <b/>
      <sz val="9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b/>
      <sz val="11"/>
      <color rgb="FF3F3F3F"/>
      <name val="Calibri"/>
    </font>
    <font>
      <sz val="11"/>
      <color rgb="FFFF0000"/>
      <name val="Calibri"/>
    </font>
    <font>
      <sz val="11"/>
      <name val="Calibri"/>
    </font>
    <font>
      <b/>
      <sz val="11"/>
      <name val="Calibri"/>
    </font>
    <font>
      <sz val="11"/>
      <color rgb="FF0070C0"/>
      <name val="Calibri"/>
      <family val="2"/>
    </font>
    <font>
      <sz val="8"/>
      <color rgb="FF0070C0"/>
      <name val="Calibri"/>
      <family val="2"/>
      <scheme val="minor"/>
    </font>
    <font>
      <sz val="11"/>
      <color theme="9"/>
      <name val="Calibri"/>
      <family val="2"/>
    </font>
    <font>
      <sz val="11"/>
      <color rgb="FFFF0000"/>
      <name val="Calibri"/>
      <family val="2"/>
    </font>
    <font>
      <sz val="11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FF0000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DADADA"/>
        <bgColor rgb="FFDADADA"/>
      </patternFill>
    </fill>
    <fill>
      <patternFill patternType="solid">
        <fgColor rgb="FFE7E6E6"/>
        <bgColor rgb="FFE7E6E6"/>
      </patternFill>
    </fill>
    <fill>
      <patternFill patternType="solid">
        <fgColor rgb="FF000099"/>
        <bgColor rgb="FF000099"/>
      </patternFill>
    </fill>
    <fill>
      <patternFill patternType="solid">
        <fgColor rgb="FFBDD6EE"/>
        <bgColor rgb="FFBDD6EE"/>
      </patternFill>
    </fill>
    <fill>
      <patternFill patternType="solid">
        <fgColor rgb="FFCCFFFF"/>
        <bgColor rgb="FFCC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0C0C0C"/>
        <bgColor rgb="FF0C0C0C"/>
      </patternFill>
    </fill>
    <fill>
      <patternFill patternType="solid">
        <fgColor rgb="FFD6DCE4"/>
        <bgColor rgb="FFD6DCE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rgb="FFC5E0B3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9CC2E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ACCCE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4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9" fillId="0" borderId="0"/>
    <xf numFmtId="0" fontId="58" fillId="0" borderId="0"/>
    <xf numFmtId="0" fontId="74" fillId="0" borderId="0" applyNumberFormat="0" applyFill="0" applyBorder="0" applyAlignment="0" applyProtection="0"/>
    <xf numFmtId="0" fontId="1" fillId="0" borderId="0"/>
  </cellStyleXfs>
  <cellXfs count="378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2" borderId="2" xfId="0" applyFont="1" applyFill="1" applyBorder="1"/>
    <xf numFmtId="0" fontId="4" fillId="0" borderId="0" xfId="0" applyFont="1"/>
    <xf numFmtId="0" fontId="5" fillId="3" borderId="3" xfId="0" applyFont="1" applyFill="1" applyBorder="1" applyAlignment="1">
      <alignment vertical="center" wrapText="1"/>
    </xf>
    <xf numFmtId="0" fontId="6" fillId="2" borderId="2" xfId="0" applyFont="1" applyFill="1" applyBorder="1"/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4" borderId="4" xfId="0" applyFont="1" applyFill="1" applyBorder="1"/>
    <xf numFmtId="0" fontId="0" fillId="0" borderId="5" xfId="0" applyFont="1" applyBorder="1"/>
    <xf numFmtId="0" fontId="0" fillId="5" borderId="0" xfId="0" applyFont="1" applyFill="1" applyBorder="1"/>
    <xf numFmtId="0" fontId="8" fillId="4" borderId="6" xfId="0" applyFont="1" applyFill="1" applyBorder="1"/>
    <xf numFmtId="0" fontId="9" fillId="0" borderId="0" xfId="0" applyFont="1"/>
    <xf numFmtId="0" fontId="10" fillId="0" borderId="0" xfId="0" applyFont="1"/>
    <xf numFmtId="164" fontId="8" fillId="4" borderId="6" xfId="0" applyNumberFormat="1" applyFont="1" applyFill="1" applyBorder="1" applyAlignment="1">
      <alignment horizontal="center" vertical="center"/>
    </xf>
    <xf numFmtId="15" fontId="10" fillId="0" borderId="0" xfId="0" applyNumberFormat="1" applyFont="1"/>
    <xf numFmtId="165" fontId="8" fillId="4" borderId="6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2" fillId="0" borderId="0" xfId="0" applyFont="1"/>
    <xf numFmtId="49" fontId="8" fillId="4" borderId="6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wrapText="1"/>
    </xf>
    <xf numFmtId="49" fontId="11" fillId="0" borderId="0" xfId="0" applyNumberFormat="1" applyFont="1"/>
    <xf numFmtId="0" fontId="10" fillId="0" borderId="0" xfId="0" applyFont="1" applyAlignment="1">
      <alignment horizontal="left"/>
    </xf>
    <xf numFmtId="164" fontId="10" fillId="0" borderId="0" xfId="0" applyNumberFormat="1" applyFont="1"/>
    <xf numFmtId="166" fontId="10" fillId="0" borderId="0" xfId="0" applyNumberFormat="1" applyFont="1"/>
    <xf numFmtId="167" fontId="10" fillId="0" borderId="0" xfId="0" applyNumberFormat="1" applyFont="1"/>
    <xf numFmtId="166" fontId="10" fillId="3" borderId="0" xfId="0" applyNumberFormat="1" applyFont="1" applyFill="1" applyBorder="1"/>
    <xf numFmtId="166" fontId="10" fillId="0" borderId="7" xfId="0" applyNumberFormat="1" applyFont="1" applyBorder="1"/>
    <xf numFmtId="166" fontId="10" fillId="3" borderId="7" xfId="0" applyNumberFormat="1" applyFont="1" applyFill="1" applyBorder="1"/>
    <xf numFmtId="0" fontId="12" fillId="0" borderId="0" xfId="0" applyFont="1" applyAlignment="1">
      <alignment horizontal="left"/>
    </xf>
    <xf numFmtId="166" fontId="12" fillId="0" borderId="8" xfId="0" applyNumberFormat="1" applyFont="1" applyBorder="1"/>
    <xf numFmtId="166" fontId="12" fillId="3" borderId="8" xfId="0" applyNumberFormat="1" applyFont="1" applyFill="1" applyBorder="1"/>
    <xf numFmtId="0" fontId="13" fillId="0" borderId="0" xfId="0" applyFont="1"/>
    <xf numFmtId="0" fontId="14" fillId="0" borderId="0" xfId="0" applyFont="1"/>
    <xf numFmtId="166" fontId="10" fillId="0" borderId="8" xfId="0" applyNumberFormat="1" applyFont="1" applyBorder="1"/>
    <xf numFmtId="43" fontId="14" fillId="0" borderId="0" xfId="0" applyNumberFormat="1" applyFont="1"/>
    <xf numFmtId="0" fontId="13" fillId="0" borderId="0" xfId="0" applyFont="1" applyAlignment="1">
      <alignment horizontal="left"/>
    </xf>
    <xf numFmtId="0" fontId="15" fillId="0" borderId="0" xfId="0" applyFont="1"/>
    <xf numFmtId="43" fontId="3" fillId="2" borderId="2" xfId="0" applyNumberFormat="1" applyFont="1" applyFill="1" applyBorder="1"/>
    <xf numFmtId="43" fontId="14" fillId="2" borderId="2" xfId="0" applyNumberFormat="1" applyFont="1" applyFill="1" applyBorder="1"/>
    <xf numFmtId="166" fontId="10" fillId="0" borderId="9" xfId="0" applyNumberFormat="1" applyFont="1" applyBorder="1"/>
    <xf numFmtId="40" fontId="14" fillId="0" borderId="0" xfId="0" applyNumberFormat="1" applyFont="1"/>
    <xf numFmtId="166" fontId="0" fillId="0" borderId="0" xfId="0" applyNumberFormat="1" applyFont="1"/>
    <xf numFmtId="43" fontId="13" fillId="0" borderId="0" xfId="0" applyNumberFormat="1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43" fontId="3" fillId="2" borderId="2" xfId="0" applyNumberFormat="1" applyFont="1" applyFill="1" applyBorder="1" applyAlignment="1">
      <alignment horizontal="center" vertical="center" wrapText="1"/>
    </xf>
    <xf numFmtId="43" fontId="18" fillId="0" borderId="7" xfId="0" applyNumberFormat="1" applyFont="1" applyBorder="1" applyAlignment="1">
      <alignment horizontal="center" vertical="center" wrapText="1"/>
    </xf>
    <xf numFmtId="43" fontId="18" fillId="0" borderId="0" xfId="0" applyNumberFormat="1" applyFont="1" applyAlignment="1">
      <alignment vertical="center" wrapText="1"/>
    </xf>
    <xf numFmtId="0" fontId="13" fillId="6" borderId="0" xfId="0" applyFont="1" applyFill="1" applyBorder="1"/>
    <xf numFmtId="0" fontId="13" fillId="0" borderId="0" xfId="0" applyFont="1" applyAlignment="1">
      <alignment horizontal="center"/>
    </xf>
    <xf numFmtId="40" fontId="19" fillId="0" borderId="0" xfId="0" applyNumberFormat="1" applyFont="1"/>
    <xf numFmtId="40" fontId="0" fillId="0" borderId="0" xfId="0" applyNumberFormat="1" applyFont="1"/>
    <xf numFmtId="49" fontId="20" fillId="0" borderId="0" xfId="0" applyNumberFormat="1" applyFont="1"/>
    <xf numFmtId="49" fontId="14" fillId="0" borderId="0" xfId="0" applyNumberFormat="1" applyFont="1"/>
    <xf numFmtId="0" fontId="13" fillId="7" borderId="8" xfId="0" applyFont="1" applyFill="1" applyBorder="1"/>
    <xf numFmtId="0" fontId="13" fillId="7" borderId="8" xfId="0" applyFont="1" applyFill="1" applyBorder="1" applyAlignment="1">
      <alignment horizontal="center"/>
    </xf>
    <xf numFmtId="43" fontId="13" fillId="0" borderId="8" xfId="0" applyNumberFormat="1" applyFont="1" applyBorder="1"/>
    <xf numFmtId="40" fontId="13" fillId="0" borderId="8" xfId="0" applyNumberFormat="1" applyFont="1" applyBorder="1"/>
    <xf numFmtId="43" fontId="13" fillId="0" borderId="0" xfId="0" applyNumberFormat="1" applyFont="1"/>
    <xf numFmtId="40" fontId="21" fillId="0" borderId="0" xfId="0" applyNumberFormat="1" applyFont="1" applyAlignment="1">
      <alignment horizontal="center"/>
    </xf>
    <xf numFmtId="40" fontId="13" fillId="0" borderId="0" xfId="0" applyNumberFormat="1" applyFont="1"/>
    <xf numFmtId="0" fontId="22" fillId="0" borderId="0" xfId="0" applyFont="1"/>
    <xf numFmtId="0" fontId="23" fillId="0" borderId="0" xfId="0" applyFont="1" applyAlignment="1"/>
    <xf numFmtId="0" fontId="23" fillId="0" borderId="0" xfId="0" applyFont="1"/>
    <xf numFmtId="14" fontId="22" fillId="0" borderId="0" xfId="0" applyNumberFormat="1" applyFont="1"/>
    <xf numFmtId="0" fontId="22" fillId="0" borderId="0" xfId="0" applyFont="1" applyAlignment="1"/>
    <xf numFmtId="0" fontId="23" fillId="0" borderId="0" xfId="0" applyFont="1" applyAlignment="1">
      <alignment horizontal="center"/>
    </xf>
    <xf numFmtId="0" fontId="8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8" fontId="20" fillId="0" borderId="0" xfId="0" applyNumberFormat="1" applyFont="1" applyAlignment="1">
      <alignment horizontal="center" wrapText="1"/>
    </xf>
    <xf numFmtId="168" fontId="9" fillId="0" borderId="0" xfId="0" applyNumberFormat="1" applyFont="1" applyAlignment="1">
      <alignment horizontal="center" wrapText="1"/>
    </xf>
    <xf numFmtId="40" fontId="20" fillId="0" borderId="0" xfId="0" applyNumberFormat="1" applyFont="1" applyAlignment="1">
      <alignment horizontal="center" wrapText="1"/>
    </xf>
    <xf numFmtId="43" fontId="20" fillId="0" borderId="0" xfId="0" applyNumberFormat="1" applyFont="1" applyAlignment="1">
      <alignment horizontal="center" wrapText="1"/>
    </xf>
    <xf numFmtId="168" fontId="20" fillId="5" borderId="0" xfId="0" applyNumberFormat="1" applyFont="1" applyFill="1" applyBorder="1" applyAlignment="1">
      <alignment horizontal="center" wrapText="1"/>
    </xf>
    <xf numFmtId="169" fontId="24" fillId="0" borderId="0" xfId="0" applyNumberFormat="1" applyFont="1" applyAlignment="1">
      <alignment horizontal="center"/>
    </xf>
    <xf numFmtId="169" fontId="24" fillId="2" borderId="0" xfId="0" applyNumberFormat="1" applyFont="1" applyFill="1" applyBorder="1" applyAlignment="1">
      <alignment horizontal="center"/>
    </xf>
    <xf numFmtId="169" fontId="24" fillId="12" borderId="0" xfId="0" applyNumberFormat="1" applyFont="1" applyFill="1" applyBorder="1" applyAlignment="1">
      <alignment horizontal="center"/>
    </xf>
    <xf numFmtId="170" fontId="11" fillId="3" borderId="0" xfId="0" applyNumberFormat="1" applyFont="1" applyFill="1" applyBorder="1" applyAlignment="1">
      <alignment horizontal="center" shrinkToFit="1"/>
    </xf>
    <xf numFmtId="40" fontId="24" fillId="0" borderId="0" xfId="0" applyNumberFormat="1" applyFont="1"/>
    <xf numFmtId="40" fontId="24" fillId="12" borderId="0" xfId="0" applyNumberFormat="1" applyFont="1" applyFill="1" applyBorder="1"/>
    <xf numFmtId="40" fontId="20" fillId="0" borderId="0" xfId="0" applyNumberFormat="1" applyFont="1"/>
    <xf numFmtId="40" fontId="20" fillId="12" borderId="0" xfId="0" applyNumberFormat="1" applyFont="1" applyFill="1" applyBorder="1"/>
    <xf numFmtId="0" fontId="14" fillId="0" borderId="0" xfId="0" applyFont="1" applyAlignment="1">
      <alignment horizontal="center" vertical="center"/>
    </xf>
    <xf numFmtId="0" fontId="25" fillId="0" borderId="0" xfId="0" applyFont="1"/>
    <xf numFmtId="171" fontId="26" fillId="4" borderId="14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68" fontId="24" fillId="3" borderId="8" xfId="0" applyNumberFormat="1" applyFont="1" applyFill="1" applyBorder="1"/>
    <xf numFmtId="40" fontId="24" fillId="3" borderId="8" xfId="0" applyNumberFormat="1" applyFont="1" applyFill="1" applyBorder="1"/>
    <xf numFmtId="40" fontId="20" fillId="3" borderId="8" xfId="0" applyNumberFormat="1" applyFont="1" applyFill="1" applyBorder="1"/>
    <xf numFmtId="0" fontId="20" fillId="0" borderId="0" xfId="0" applyFont="1"/>
    <xf numFmtId="0" fontId="27" fillId="0" borderId="0" xfId="0" applyFont="1"/>
    <xf numFmtId="172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right"/>
    </xf>
    <xf numFmtId="0" fontId="18" fillId="15" borderId="15" xfId="0" applyFont="1" applyFill="1" applyBorder="1"/>
    <xf numFmtId="14" fontId="0" fillId="0" borderId="0" xfId="0" applyNumberFormat="1" applyFont="1"/>
    <xf numFmtId="173" fontId="6" fillId="16" borderId="16" xfId="0" applyNumberFormat="1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8" fillId="17" borderId="17" xfId="0" applyFont="1" applyFill="1" applyBorder="1" applyAlignment="1">
      <alignment horizontal="center"/>
    </xf>
    <xf numFmtId="0" fontId="28" fillId="17" borderId="0" xfId="0" applyFont="1" applyFill="1" applyBorder="1" applyAlignment="1">
      <alignment horizontal="left"/>
    </xf>
    <xf numFmtId="0" fontId="29" fillId="17" borderId="0" xfId="0" applyFont="1" applyFill="1" applyBorder="1"/>
    <xf numFmtId="0" fontId="30" fillId="0" borderId="18" xfId="0" applyFont="1" applyBorder="1" applyAlignment="1">
      <alignment horizontal="left"/>
    </xf>
    <xf numFmtId="0" fontId="24" fillId="0" borderId="0" xfId="0" applyFont="1"/>
    <xf numFmtId="0" fontId="11" fillId="0" borderId="0" xfId="0" applyFo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8" fillId="15" borderId="15" xfId="0" applyFont="1" applyFill="1" applyBorder="1" applyAlignment="1">
      <alignment horizontal="center"/>
    </xf>
    <xf numFmtId="0" fontId="24" fillId="17" borderId="0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20" fillId="0" borderId="19" xfId="0" applyFont="1" applyBorder="1" applyAlignment="1">
      <alignment horizontal="left"/>
    </xf>
    <xf numFmtId="174" fontId="20" fillId="0" borderId="19" xfId="0" applyNumberFormat="1" applyFont="1" applyBorder="1" applyAlignment="1">
      <alignment horizontal="center"/>
    </xf>
    <xf numFmtId="0" fontId="20" fillId="17" borderId="19" xfId="0" applyFont="1" applyFill="1" applyBorder="1" applyAlignment="1">
      <alignment horizontal="center"/>
    </xf>
    <xf numFmtId="43" fontId="20" fillId="0" borderId="19" xfId="0" applyNumberFormat="1" applyFont="1" applyBorder="1"/>
    <xf numFmtId="40" fontId="31" fillId="17" borderId="0" xfId="0" applyNumberFormat="1" applyFont="1" applyFill="1" applyBorder="1" applyAlignment="1">
      <alignment horizontal="right"/>
    </xf>
    <xf numFmtId="0" fontId="20" fillId="17" borderId="0" xfId="0" applyFont="1" applyFill="1" applyBorder="1" applyAlignment="1">
      <alignment horizontal="center"/>
    </xf>
    <xf numFmtId="0" fontId="20" fillId="0" borderId="19" xfId="0" applyFont="1" applyBorder="1"/>
    <xf numFmtId="174" fontId="20" fillId="0" borderId="19" xfId="0" applyNumberFormat="1" applyFont="1" applyBorder="1" applyAlignment="1">
      <alignment horizontal="left"/>
    </xf>
    <xf numFmtId="40" fontId="20" fillId="17" borderId="0" xfId="0" applyNumberFormat="1" applyFont="1" applyFill="1" applyBorder="1"/>
    <xf numFmtId="0" fontId="20" fillId="17" borderId="0" xfId="0" applyFont="1" applyFill="1" applyBorder="1"/>
    <xf numFmtId="0" fontId="20" fillId="18" borderId="19" xfId="0" applyFont="1" applyFill="1" applyBorder="1"/>
    <xf numFmtId="174" fontId="20" fillId="18" borderId="19" xfId="0" applyNumberFormat="1" applyFont="1" applyFill="1" applyBorder="1" applyAlignment="1">
      <alignment horizontal="left"/>
    </xf>
    <xf numFmtId="0" fontId="20" fillId="18" borderId="19" xfId="0" applyFont="1" applyFill="1" applyBorder="1" applyAlignment="1">
      <alignment horizontal="center"/>
    </xf>
    <xf numFmtId="43" fontId="20" fillId="18" borderId="19" xfId="0" applyNumberFormat="1" applyFont="1" applyFill="1" applyBorder="1"/>
    <xf numFmtId="0" fontId="32" fillId="19" borderId="19" xfId="0" applyFont="1" applyFill="1" applyBorder="1" applyAlignment="1">
      <alignment horizontal="center"/>
    </xf>
    <xf numFmtId="174" fontId="32" fillId="19" borderId="19" xfId="0" applyNumberFormat="1" applyFont="1" applyFill="1" applyBorder="1" applyAlignment="1">
      <alignment horizontal="center"/>
    </xf>
    <xf numFmtId="174" fontId="32" fillId="19" borderId="19" xfId="0" applyNumberFormat="1" applyFont="1" applyFill="1" applyBorder="1" applyAlignment="1">
      <alignment horizontal="left"/>
    </xf>
    <xf numFmtId="43" fontId="32" fillId="19" borderId="19" xfId="0" applyNumberFormat="1" applyFont="1" applyFill="1" applyBorder="1" applyAlignment="1">
      <alignment horizontal="center"/>
    </xf>
    <xf numFmtId="40" fontId="24" fillId="17" borderId="0" xfId="0" applyNumberFormat="1" applyFont="1" applyFill="1" applyBorder="1"/>
    <xf numFmtId="174" fontId="20" fillId="0" borderId="0" xfId="0" applyNumberFormat="1" applyFont="1" applyAlignment="1">
      <alignment horizontal="center"/>
    </xf>
    <xf numFmtId="0" fontId="33" fillId="7" borderId="0" xfId="0" applyFont="1" applyFill="1" applyBorder="1" applyAlignment="1">
      <alignment horizontal="left"/>
    </xf>
    <xf numFmtId="174" fontId="20" fillId="7" borderId="0" xfId="0" applyNumberFormat="1" applyFont="1" applyFill="1" applyBorder="1" applyAlignment="1">
      <alignment horizontal="left"/>
    </xf>
    <xf numFmtId="43" fontId="20" fillId="7" borderId="0" xfId="0" applyNumberFormat="1" applyFont="1" applyFill="1" applyBorder="1"/>
    <xf numFmtId="43" fontId="20" fillId="0" borderId="0" xfId="0" applyNumberFormat="1" applyFont="1"/>
    <xf numFmtId="0" fontId="34" fillId="0" borderId="0" xfId="0" applyFont="1"/>
    <xf numFmtId="0" fontId="20" fillId="0" borderId="0" xfId="0" applyFont="1" applyAlignment="1">
      <alignment horizontal="center"/>
    </xf>
    <xf numFmtId="174" fontId="20" fillId="0" borderId="0" xfId="0" applyNumberFormat="1" applyFont="1" applyAlignment="1">
      <alignment horizontal="left"/>
    </xf>
    <xf numFmtId="0" fontId="20" fillId="0" borderId="18" xfId="0" applyFont="1" applyBorder="1" applyAlignment="1">
      <alignment horizontal="left"/>
    </xf>
    <xf numFmtId="174" fontId="20" fillId="0" borderId="18" xfId="0" applyNumberFormat="1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174" fontId="20" fillId="0" borderId="18" xfId="0" applyNumberFormat="1" applyFont="1" applyBorder="1" applyAlignment="1">
      <alignment horizontal="left"/>
    </xf>
    <xf numFmtId="43" fontId="20" fillId="0" borderId="18" xfId="0" applyNumberFormat="1" applyFont="1" applyBorder="1"/>
    <xf numFmtId="0" fontId="5" fillId="20" borderId="3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35" fillId="0" borderId="0" xfId="0" applyFont="1"/>
    <xf numFmtId="0" fontId="36" fillId="5" borderId="0" xfId="0" applyFont="1" applyFill="1" applyBorder="1"/>
    <xf numFmtId="0" fontId="36" fillId="5" borderId="0" xfId="0" applyFont="1" applyFill="1" applyBorder="1" applyAlignment="1">
      <alignment horizontal="left"/>
    </xf>
    <xf numFmtId="0" fontId="42" fillId="0" borderId="0" xfId="0" applyFont="1"/>
    <xf numFmtId="43" fontId="38" fillId="0" borderId="0" xfId="4" applyFont="1"/>
    <xf numFmtId="40" fontId="42" fillId="8" borderId="0" xfId="0" applyNumberFormat="1" applyFont="1" applyFill="1" applyBorder="1"/>
    <xf numFmtId="0" fontId="42" fillId="8" borderId="0" xfId="0" applyFont="1" applyFill="1" applyBorder="1"/>
    <xf numFmtId="0" fontId="42" fillId="8" borderId="0" xfId="0" applyFont="1" applyFill="1" applyBorder="1" applyAlignment="1">
      <alignment horizontal="center"/>
    </xf>
    <xf numFmtId="0" fontId="42" fillId="0" borderId="0" xfId="0" applyFont="1" applyAlignment="1"/>
    <xf numFmtId="0" fontId="44" fillId="9" borderId="3" xfId="0" applyFont="1" applyFill="1" applyBorder="1" applyAlignment="1">
      <alignment horizontal="center"/>
    </xf>
    <xf numFmtId="0" fontId="41" fillId="10" borderId="3" xfId="0" applyFont="1" applyFill="1" applyBorder="1" applyAlignment="1">
      <alignment horizontal="center"/>
    </xf>
    <xf numFmtId="0" fontId="43" fillId="5" borderId="3" xfId="0" applyFont="1" applyFill="1" applyBorder="1" applyAlignment="1">
      <alignment horizontal="center"/>
    </xf>
    <xf numFmtId="0" fontId="41" fillId="11" borderId="3" xfId="0" applyFont="1" applyFill="1" applyBorder="1" applyAlignment="1">
      <alignment horizontal="center"/>
    </xf>
    <xf numFmtId="0" fontId="42" fillId="5" borderId="0" xfId="0" applyFont="1" applyFill="1" applyBorder="1"/>
    <xf numFmtId="0" fontId="42" fillId="11" borderId="0" xfId="0" applyFont="1" applyFill="1" applyBorder="1"/>
    <xf numFmtId="0" fontId="42" fillId="11" borderId="0" xfId="0" applyFont="1" applyFill="1" applyBorder="1" applyAlignment="1">
      <alignment horizontal="center"/>
    </xf>
    <xf numFmtId="0" fontId="42" fillId="0" borderId="0" xfId="0" applyFont="1" applyAlignment="1">
      <alignment horizontal="left"/>
    </xf>
    <xf numFmtId="14" fontId="38" fillId="0" borderId="0" xfId="0" applyNumberFormat="1" applyFont="1" applyAlignment="1">
      <alignment horizontal="left"/>
    </xf>
    <xf numFmtId="0" fontId="38" fillId="0" borderId="0" xfId="3" applyFont="1" applyAlignment="1">
      <alignment horizontal="center"/>
    </xf>
    <xf numFmtId="0" fontId="38" fillId="0" borderId="0" xfId="3" applyFont="1" applyAlignment="1">
      <alignment horizontal="left"/>
    </xf>
    <xf numFmtId="40" fontId="42" fillId="11" borderId="0" xfId="0" applyNumberFormat="1" applyFont="1" applyFill="1" applyBorder="1"/>
    <xf numFmtId="43" fontId="42" fillId="0" borderId="0" xfId="0" applyNumberFormat="1" applyFont="1"/>
    <xf numFmtId="43" fontId="42" fillId="11" borderId="0" xfId="0" applyNumberFormat="1" applyFont="1" applyFill="1" applyBorder="1"/>
    <xf numFmtId="43" fontId="42" fillId="0" borderId="0" xfId="1" applyFont="1"/>
    <xf numFmtId="0" fontId="42" fillId="0" borderId="0" xfId="0" applyFont="1" applyAlignment="1">
      <alignment horizontal="center"/>
    </xf>
    <xf numFmtId="9" fontId="45" fillId="11" borderId="0" xfId="2" applyFont="1" applyFill="1" applyBorder="1" applyAlignment="1">
      <alignment horizontal="center"/>
    </xf>
    <xf numFmtId="0" fontId="42" fillId="0" borderId="0" xfId="0" applyFont="1" applyFill="1"/>
    <xf numFmtId="0" fontId="42" fillId="0" borderId="0" xfId="0" applyFont="1" applyFill="1" applyBorder="1"/>
    <xf numFmtId="0" fontId="42" fillId="0" borderId="0" xfId="0" applyFont="1" applyFill="1" applyBorder="1" applyAlignment="1">
      <alignment horizontal="center"/>
    </xf>
    <xf numFmtId="0" fontId="42" fillId="0" borderId="0" xfId="0" applyFont="1" applyFill="1" applyAlignment="1"/>
    <xf numFmtId="43" fontId="45" fillId="11" borderId="0" xfId="0" applyNumberFormat="1" applyFont="1" applyFill="1" applyBorder="1"/>
    <xf numFmtId="166" fontId="42" fillId="0" borderId="0" xfId="1" applyNumberFormat="1" applyFont="1"/>
    <xf numFmtId="17" fontId="22" fillId="0" borderId="0" xfId="0" applyNumberFormat="1" applyFont="1"/>
    <xf numFmtId="166" fontId="22" fillId="0" borderId="0" xfId="1" applyNumberFormat="1" applyFont="1"/>
    <xf numFmtId="166" fontId="22" fillId="0" borderId="0" xfId="0" applyNumberFormat="1" applyFont="1"/>
    <xf numFmtId="166" fontId="46" fillId="0" borderId="20" xfId="0" applyNumberFormat="1" applyFont="1" applyBorder="1"/>
    <xf numFmtId="0" fontId="0" fillId="0" borderId="0" xfId="0" applyFont="1" applyBorder="1" applyAlignment="1"/>
    <xf numFmtId="0" fontId="0" fillId="0" borderId="0" xfId="0" applyFont="1" applyBorder="1"/>
    <xf numFmtId="0" fontId="40" fillId="0" borderId="0" xfId="0" applyFont="1" applyBorder="1"/>
    <xf numFmtId="0" fontId="0" fillId="21" borderId="0" xfId="0" applyFont="1" applyFill="1" applyBorder="1" applyAlignment="1"/>
    <xf numFmtId="0" fontId="0" fillId="22" borderId="0" xfId="0" applyFont="1" applyFill="1" applyBorder="1"/>
    <xf numFmtId="0" fontId="0" fillId="22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7" fillId="0" borderId="0" xfId="0" applyFont="1" applyFill="1" applyBorder="1" applyAlignment="1">
      <alignment wrapText="1"/>
    </xf>
    <xf numFmtId="40" fontId="48" fillId="0" borderId="0" xfId="1" applyNumberFormat="1" applyFont="1"/>
    <xf numFmtId="40" fontId="24" fillId="24" borderId="0" xfId="0" applyNumberFormat="1" applyFont="1" applyFill="1"/>
    <xf numFmtId="40" fontId="48" fillId="24" borderId="0" xfId="1" applyNumberFormat="1" applyFont="1" applyFill="1"/>
    <xf numFmtId="40" fontId="46" fillId="24" borderId="0" xfId="1" applyNumberFormat="1" applyFont="1" applyFill="1" applyAlignment="1"/>
    <xf numFmtId="0" fontId="49" fillId="2" borderId="1" xfId="0" applyFont="1" applyFill="1" applyBorder="1" applyAlignment="1">
      <alignment vertical="center"/>
    </xf>
    <xf numFmtId="40" fontId="48" fillId="0" borderId="0" xfId="1" applyNumberFormat="1" applyFont="1" applyFill="1"/>
    <xf numFmtId="40" fontId="24" fillId="0" borderId="0" xfId="0" applyNumberFormat="1" applyFont="1" applyFill="1"/>
    <xf numFmtId="40" fontId="20" fillId="0" borderId="0" xfId="0" applyNumberFormat="1" applyFont="1" applyFill="1"/>
    <xf numFmtId="0" fontId="0" fillId="0" borderId="0" xfId="0" applyFont="1" applyFill="1" applyAlignment="1"/>
    <xf numFmtId="40" fontId="24" fillId="0" borderId="0" xfId="0" applyNumberFormat="1" applyFont="1" applyFill="1" applyBorder="1"/>
    <xf numFmtId="40" fontId="20" fillId="0" borderId="0" xfId="0" applyNumberFormat="1" applyFont="1" applyFill="1" applyBorder="1"/>
    <xf numFmtId="16" fontId="47" fillId="23" borderId="0" xfId="0" applyNumberFormat="1" applyFont="1" applyFill="1" applyBorder="1"/>
    <xf numFmtId="0" fontId="0" fillId="23" borderId="0" xfId="0" applyFont="1" applyFill="1" applyBorder="1" applyAlignment="1"/>
    <xf numFmtId="0" fontId="50" fillId="23" borderId="0" xfId="0" applyFont="1" applyFill="1" applyBorder="1" applyAlignment="1"/>
    <xf numFmtId="0" fontId="51" fillId="23" borderId="0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horizontal="left"/>
    </xf>
    <xf numFmtId="0" fontId="22" fillId="0" borderId="0" xfId="0" applyFont="1" applyFill="1"/>
    <xf numFmtId="16" fontId="47" fillId="23" borderId="0" xfId="0" applyNumberFormat="1" applyFont="1" applyFill="1" applyBorder="1" applyAlignment="1">
      <alignment horizontal="center"/>
    </xf>
    <xf numFmtId="166" fontId="46" fillId="0" borderId="0" xfId="0" applyNumberFormat="1" applyFont="1" applyBorder="1"/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17" fontId="6" fillId="2" borderId="2" xfId="0" applyNumberFormat="1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/>
    <xf numFmtId="0" fontId="49" fillId="2" borderId="0" xfId="0" applyFont="1" applyFill="1" applyBorder="1" applyAlignment="1">
      <alignment vertical="center"/>
    </xf>
    <xf numFmtId="0" fontId="53" fillId="10" borderId="3" xfId="0" applyFont="1" applyFill="1" applyBorder="1" applyAlignment="1">
      <alignment horizontal="center"/>
    </xf>
    <xf numFmtId="0" fontId="54" fillId="2" borderId="0" xfId="0" applyFont="1" applyFill="1" applyBorder="1" applyAlignment="1">
      <alignment vertical="center"/>
    </xf>
    <xf numFmtId="0" fontId="0" fillId="0" borderId="0" xfId="0"/>
    <xf numFmtId="0" fontId="6" fillId="2" borderId="2" xfId="0" applyFont="1" applyFill="1" applyBorder="1" applyAlignment="1">
      <alignment horizontal="center"/>
    </xf>
    <xf numFmtId="43" fontId="22" fillId="0" borderId="0" xfId="1" applyFont="1"/>
    <xf numFmtId="16" fontId="22" fillId="0" borderId="0" xfId="0" applyNumberFormat="1" applyFont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Fill="1"/>
    <xf numFmtId="166" fontId="46" fillId="0" borderId="20" xfId="0" applyNumberFormat="1" applyFont="1" applyFill="1" applyBorder="1"/>
    <xf numFmtId="43" fontId="46" fillId="0" borderId="20" xfId="1" applyFont="1" applyFill="1" applyBorder="1"/>
    <xf numFmtId="0" fontId="56" fillId="0" borderId="0" xfId="0" applyFont="1" applyFill="1" applyBorder="1" applyAlignment="1">
      <alignment horizontal="center" vertical="center"/>
    </xf>
    <xf numFmtId="0" fontId="57" fillId="0" borderId="0" xfId="0" applyFont="1" applyFill="1"/>
    <xf numFmtId="0" fontId="57" fillId="0" borderId="0" xfId="0" applyFont="1" applyFill="1" applyAlignment="1"/>
    <xf numFmtId="0" fontId="57" fillId="0" borderId="0" xfId="0" applyFont="1" applyFill="1" applyAlignment="1">
      <alignment horizontal="center"/>
    </xf>
    <xf numFmtId="0" fontId="8" fillId="4" borderId="22" xfId="0" applyFont="1" applyFill="1" applyBorder="1"/>
    <xf numFmtId="0" fontId="8" fillId="4" borderId="21" xfId="0" applyFont="1" applyFill="1" applyBorder="1"/>
    <xf numFmtId="0" fontId="8" fillId="4" borderId="21" xfId="0" applyFont="1" applyFill="1" applyBorder="1" applyAlignment="1">
      <alignment horizontal="center"/>
    </xf>
    <xf numFmtId="43" fontId="0" fillId="0" borderId="0" xfId="0" applyNumberFormat="1" applyFont="1" applyFill="1"/>
    <xf numFmtId="9" fontId="0" fillId="0" borderId="0" xfId="2" applyFont="1" applyFill="1"/>
    <xf numFmtId="43" fontId="0" fillId="0" borderId="0" xfId="2" applyNumberFormat="1" applyFont="1" applyFill="1"/>
    <xf numFmtId="0" fontId="42" fillId="0" borderId="21" xfId="0" applyFont="1" applyBorder="1"/>
    <xf numFmtId="9" fontId="42" fillId="0" borderId="21" xfId="2" applyFont="1" applyBorder="1" applyAlignment="1">
      <alignment horizontal="center"/>
    </xf>
    <xf numFmtId="43" fontId="42" fillId="0" borderId="21" xfId="1" applyFont="1" applyBorder="1"/>
    <xf numFmtId="43" fontId="42" fillId="0" borderId="21" xfId="1" applyFont="1" applyBorder="1" applyAlignment="1"/>
    <xf numFmtId="0" fontId="45" fillId="0" borderId="21" xfId="0" applyFont="1" applyBorder="1"/>
    <xf numFmtId="43" fontId="45" fillId="0" borderId="21" xfId="0" applyNumberFormat="1" applyFont="1" applyBorder="1"/>
    <xf numFmtId="9" fontId="45" fillId="0" borderId="21" xfId="2" applyFont="1" applyBorder="1" applyAlignment="1">
      <alignment horizontal="center"/>
    </xf>
    <xf numFmtId="0" fontId="45" fillId="25" borderId="21" xfId="0" applyFont="1" applyFill="1" applyBorder="1" applyAlignment="1">
      <alignment horizontal="center"/>
    </xf>
    <xf numFmtId="9" fontId="42" fillId="0" borderId="0" xfId="0" applyNumberFormat="1" applyFont="1" applyAlignment="1"/>
    <xf numFmtId="0" fontId="19" fillId="23" borderId="0" xfId="0" applyFont="1" applyFill="1" applyBorder="1"/>
    <xf numFmtId="0" fontId="51" fillId="0" borderId="0" xfId="0" applyFont="1" applyFill="1" applyBorder="1"/>
    <xf numFmtId="16" fontId="0" fillId="0" borderId="0" xfId="0" applyNumberFormat="1" applyFont="1" applyFill="1" applyBorder="1"/>
    <xf numFmtId="0" fontId="0" fillId="26" borderId="0" xfId="0" applyFont="1" applyFill="1" applyBorder="1" applyAlignment="1"/>
    <xf numFmtId="43" fontId="0" fillId="0" borderId="0" xfId="1" applyFont="1" applyFill="1" applyBorder="1"/>
    <xf numFmtId="43" fontId="55" fillId="22" borderId="23" xfId="1" applyFont="1" applyFill="1" applyBorder="1"/>
    <xf numFmtId="43" fontId="0" fillId="22" borderId="0" xfId="1" applyFont="1" applyFill="1" applyBorder="1"/>
    <xf numFmtId="43" fontId="0" fillId="0" borderId="0" xfId="1" applyFont="1" applyFill="1" applyBorder="1" applyAlignment="1"/>
    <xf numFmtId="43" fontId="0" fillId="26" borderId="0" xfId="1" applyFont="1" applyFill="1" applyBorder="1" applyAlignment="1"/>
    <xf numFmtId="43" fontId="0" fillId="21" borderId="0" xfId="1" applyFont="1" applyFill="1" applyBorder="1" applyAlignment="1"/>
    <xf numFmtId="43" fontId="47" fillId="21" borderId="20" xfId="1" applyFont="1" applyFill="1" applyBorder="1" applyAlignment="1"/>
    <xf numFmtId="0" fontId="19" fillId="23" borderId="0" xfId="0" applyFont="1" applyFill="1" applyBorder="1" applyAlignment="1">
      <alignment horizontal="center"/>
    </xf>
    <xf numFmtId="43" fontId="0" fillId="22" borderId="0" xfId="0" applyNumberFormat="1" applyFont="1" applyFill="1" applyBorder="1" applyAlignment="1"/>
    <xf numFmtId="43" fontId="0" fillId="0" borderId="0" xfId="0" applyNumberFormat="1" applyFont="1" applyBorder="1" applyAlignment="1"/>
    <xf numFmtId="43" fontId="0" fillId="22" borderId="0" xfId="1" applyFont="1" applyFill="1" applyBorder="1" applyAlignment="1"/>
    <xf numFmtId="0" fontId="0" fillId="22" borderId="0" xfId="0" applyFont="1" applyFill="1" applyBorder="1" applyAlignment="1">
      <alignment wrapText="1"/>
    </xf>
    <xf numFmtId="175" fontId="0" fillId="0" borderId="0" xfId="2" applyNumberFormat="1" applyFont="1" applyBorder="1" applyAlignment="1"/>
    <xf numFmtId="43" fontId="0" fillId="0" borderId="0" xfId="1" applyFont="1" applyBorder="1" applyAlignment="1"/>
    <xf numFmtId="169" fontId="24" fillId="13" borderId="0" xfId="0" applyNumberFormat="1" applyFont="1" applyFill="1" applyBorder="1" applyAlignment="1">
      <alignment horizontal="center"/>
    </xf>
    <xf numFmtId="40" fontId="24" fillId="0" borderId="24" xfId="0" applyNumberFormat="1" applyFont="1" applyBorder="1"/>
    <xf numFmtId="40" fontId="24" fillId="12" borderId="24" xfId="0" applyNumberFormat="1" applyFont="1" applyFill="1" applyBorder="1"/>
    <xf numFmtId="40" fontId="24" fillId="24" borderId="24" xfId="0" applyNumberFormat="1" applyFont="1" applyFill="1" applyBorder="1"/>
    <xf numFmtId="0" fontId="0" fillId="0" borderId="24" xfId="0" applyFont="1" applyBorder="1" applyAlignment="1"/>
    <xf numFmtId="0" fontId="0" fillId="0" borderId="24" xfId="0" applyFont="1" applyFill="1" applyBorder="1" applyAlignment="1"/>
    <xf numFmtId="40" fontId="46" fillId="0" borderId="24" xfId="1" applyNumberFormat="1" applyFont="1" applyFill="1" applyBorder="1" applyAlignment="1"/>
    <xf numFmtId="40" fontId="46" fillId="24" borderId="24" xfId="1" applyNumberFormat="1" applyFont="1" applyFill="1" applyBorder="1" applyAlignment="1"/>
    <xf numFmtId="43" fontId="0" fillId="0" borderId="0" xfId="0" applyNumberFormat="1"/>
    <xf numFmtId="40" fontId="22" fillId="0" borderId="0" xfId="1" applyNumberFormat="1" applyFont="1" applyAlignment="1"/>
    <xf numFmtId="40" fontId="22" fillId="0" borderId="0" xfId="1" applyNumberFormat="1" applyFont="1" applyFill="1" applyAlignment="1"/>
    <xf numFmtId="40" fontId="24" fillId="0" borderId="24" xfId="0" applyNumberFormat="1" applyFont="1" applyFill="1" applyBorder="1"/>
    <xf numFmtId="40" fontId="48" fillId="24" borderId="24" xfId="1" applyNumberFormat="1" applyFont="1" applyFill="1" applyBorder="1"/>
    <xf numFmtId="43" fontId="24" fillId="0" borderId="0" xfId="1" applyFont="1" applyFill="1"/>
    <xf numFmtId="43" fontId="46" fillId="0" borderId="0" xfId="1" applyFont="1" applyFill="1" applyAlignment="1"/>
    <xf numFmtId="40" fontId="0" fillId="0" borderId="0" xfId="0" applyNumberFormat="1" applyFont="1" applyAlignment="1"/>
    <xf numFmtId="176" fontId="24" fillId="3" borderId="0" xfId="0" applyNumberFormat="1" applyFont="1" applyFill="1" applyBorder="1" applyAlignment="1"/>
    <xf numFmtId="40" fontId="48" fillId="0" borderId="24" xfId="1" applyNumberFormat="1" applyFont="1" applyFill="1" applyBorder="1"/>
    <xf numFmtId="40" fontId="24" fillId="0" borderId="0" xfId="1" applyNumberFormat="1" applyFont="1" applyFill="1"/>
    <xf numFmtId="40" fontId="24" fillId="24" borderId="0" xfId="1" applyNumberFormat="1" applyFont="1" applyFill="1"/>
    <xf numFmtId="0" fontId="11" fillId="0" borderId="0" xfId="0" applyFont="1" applyFill="1" applyAlignment="1"/>
    <xf numFmtId="40" fontId="24" fillId="24" borderId="24" xfId="1" applyNumberFormat="1" applyFont="1" applyFill="1" applyBorder="1"/>
    <xf numFmtId="9" fontId="0" fillId="0" borderId="0" xfId="2" applyFont="1" applyAlignment="1"/>
    <xf numFmtId="43" fontId="45" fillId="0" borderId="20" xfId="0" applyNumberFormat="1" applyFont="1" applyFill="1" applyBorder="1" applyAlignment="1"/>
    <xf numFmtId="43" fontId="38" fillId="0" borderId="20" xfId="4" applyFont="1" applyBorder="1"/>
    <xf numFmtId="43" fontId="45" fillId="11" borderId="20" xfId="0" applyNumberFormat="1" applyFont="1" applyFill="1" applyBorder="1"/>
    <xf numFmtId="9" fontId="45" fillId="11" borderId="20" xfId="2" applyFont="1" applyFill="1" applyBorder="1" applyAlignment="1">
      <alignment horizontal="center"/>
    </xf>
    <xf numFmtId="43" fontId="42" fillId="0" borderId="20" xfId="0" applyNumberFormat="1" applyFont="1" applyFill="1" applyBorder="1"/>
    <xf numFmtId="9" fontId="42" fillId="0" borderId="20" xfId="2" applyFont="1" applyFill="1" applyBorder="1" applyAlignment="1">
      <alignment horizontal="center"/>
    </xf>
    <xf numFmtId="0" fontId="19" fillId="23" borderId="0" xfId="0" quotePrefix="1" applyFont="1" applyFill="1" applyBorder="1" applyAlignment="1"/>
    <xf numFmtId="16" fontId="47" fillId="23" borderId="0" xfId="0" applyNumberFormat="1" applyFont="1" applyFill="1" applyBorder="1" applyAlignment="1"/>
    <xf numFmtId="0" fontId="58" fillId="0" borderId="0" xfId="6"/>
    <xf numFmtId="0" fontId="58" fillId="0" borderId="0" xfId="6" applyAlignment="1">
      <alignment wrapText="1"/>
    </xf>
    <xf numFmtId="0" fontId="37" fillId="0" borderId="0" xfId="0" applyFont="1" applyFill="1" applyBorder="1"/>
    <xf numFmtId="43" fontId="37" fillId="0" borderId="0" xfId="0" applyNumberFormat="1" applyFont="1" applyFill="1" applyBorder="1"/>
    <xf numFmtId="9" fontId="0" fillId="0" borderId="0" xfId="2" applyFont="1" applyFill="1" applyBorder="1"/>
    <xf numFmtId="43" fontId="0" fillId="0" borderId="0" xfId="0" applyNumberFormat="1" applyFont="1" applyFill="1" applyBorder="1"/>
    <xf numFmtId="9" fontId="45" fillId="0" borderId="20" xfId="2" applyFont="1" applyFill="1" applyBorder="1" applyAlignment="1">
      <alignment horizontal="center"/>
    </xf>
    <xf numFmtId="0" fontId="0" fillId="0" borderId="0" xfId="0" applyAlignment="1">
      <alignment horizontal="center"/>
    </xf>
    <xf numFmtId="9" fontId="38" fillId="0" borderId="20" xfId="2" applyFont="1" applyBorder="1" applyAlignment="1">
      <alignment horizontal="center"/>
    </xf>
    <xf numFmtId="0" fontId="0" fillId="0" borderId="5" xfId="0" applyFont="1" applyFill="1" applyBorder="1"/>
    <xf numFmtId="0" fontId="61" fillId="0" borderId="25" xfId="6" applyFont="1" applyBorder="1" applyAlignment="1">
      <alignment horizontal="center" wrapText="1"/>
    </xf>
    <xf numFmtId="0" fontId="62" fillId="0" borderId="0" xfId="6" applyFont="1" applyAlignment="1">
      <alignment horizontal="left" wrapText="1"/>
    </xf>
    <xf numFmtId="177" fontId="63" fillId="0" borderId="0" xfId="6" applyNumberFormat="1" applyFont="1" applyAlignment="1">
      <alignment wrapText="1"/>
    </xf>
    <xf numFmtId="177" fontId="63" fillId="0" borderId="0" xfId="6" applyNumberFormat="1" applyFont="1" applyAlignment="1">
      <alignment horizontal="right" wrapText="1"/>
    </xf>
    <xf numFmtId="178" fontId="62" fillId="0" borderId="26" xfId="6" applyNumberFormat="1" applyFont="1" applyBorder="1" applyAlignment="1">
      <alignment horizontal="right" wrapText="1"/>
    </xf>
    <xf numFmtId="0" fontId="64" fillId="4" borderId="6" xfId="0" applyFont="1" applyFill="1" applyBorder="1" applyAlignment="1">
      <alignment horizontal="center" vertical="center"/>
    </xf>
    <xf numFmtId="0" fontId="65" fillId="0" borderId="0" xfId="0" applyFont="1" applyAlignment="1"/>
    <xf numFmtId="0" fontId="66" fillId="0" borderId="0" xfId="0" applyFont="1" applyAlignment="1"/>
    <xf numFmtId="0" fontId="67" fillId="0" borderId="0" xfId="0" applyFont="1" applyAlignment="1"/>
    <xf numFmtId="0" fontId="68" fillId="0" borderId="0" xfId="0" applyFont="1" applyAlignment="1"/>
    <xf numFmtId="0" fontId="69" fillId="0" borderId="0" xfId="3" applyFont="1" applyAlignment="1">
      <alignment horizontal="left"/>
    </xf>
    <xf numFmtId="0" fontId="70" fillId="0" borderId="0" xfId="0" applyFont="1" applyAlignment="1"/>
    <xf numFmtId="0" fontId="71" fillId="0" borderId="0" xfId="0" applyFont="1" applyAlignment="1"/>
    <xf numFmtId="0" fontId="14" fillId="0" borderId="0" xfId="0" applyFont="1" applyAlignment="1"/>
    <xf numFmtId="0" fontId="70" fillId="27" borderId="0" xfId="0" applyFont="1" applyFill="1" applyAlignment="1"/>
    <xf numFmtId="0" fontId="73" fillId="27" borderId="0" xfId="0" applyFont="1" applyFill="1" applyAlignment="1"/>
    <xf numFmtId="0" fontId="73" fillId="0" borderId="0" xfId="0" applyFont="1" applyAlignment="1">
      <alignment horizontal="left"/>
    </xf>
    <xf numFmtId="0" fontId="73" fillId="0" borderId="0" xfId="0" applyFont="1"/>
    <xf numFmtId="0" fontId="14" fillId="0" borderId="0" xfId="0" applyFont="1" applyAlignment="1">
      <alignment horizontal="left"/>
    </xf>
    <xf numFmtId="0" fontId="71" fillId="0" borderId="0" xfId="0" applyFont="1"/>
    <xf numFmtId="0" fontId="74" fillId="0" borderId="0" xfId="7" applyAlignment="1"/>
    <xf numFmtId="0" fontId="37" fillId="0" borderId="0" xfId="0" applyFont="1" applyAlignment="1"/>
    <xf numFmtId="0" fontId="72" fillId="0" borderId="0" xfId="0" applyFont="1" applyAlignment="1">
      <alignment horizontal="left"/>
    </xf>
    <xf numFmtId="0" fontId="72" fillId="0" borderId="0" xfId="0" applyFont="1" applyAlignment="1"/>
    <xf numFmtId="0" fontId="75" fillId="0" borderId="0" xfId="0" applyFont="1" applyAlignment="1"/>
    <xf numFmtId="0" fontId="55" fillId="0" borderId="0" xfId="0" applyFont="1" applyAlignment="1">
      <alignment horizontal="left"/>
    </xf>
    <xf numFmtId="43" fontId="23" fillId="0" borderId="0" xfId="0" applyNumberFormat="1" applyFont="1" applyAlignment="1"/>
    <xf numFmtId="0" fontId="76" fillId="28" borderId="0" xfId="0" applyFont="1" applyFill="1" applyAlignment="1">
      <alignment horizontal="left"/>
    </xf>
    <xf numFmtId="0" fontId="76" fillId="28" borderId="0" xfId="0" applyFont="1" applyFill="1" applyBorder="1" applyAlignment="1">
      <alignment horizontal="left"/>
    </xf>
    <xf numFmtId="0" fontId="75" fillId="0" borderId="0" xfId="0" applyFont="1"/>
    <xf numFmtId="8" fontId="75" fillId="0" borderId="0" xfId="0" applyNumberFormat="1" applyFont="1"/>
    <xf numFmtId="8" fontId="75" fillId="0" borderId="0" xfId="0" applyNumberFormat="1" applyFont="1" applyAlignment="1"/>
    <xf numFmtId="0" fontId="76" fillId="28" borderId="0" xfId="0" applyFont="1" applyFill="1" applyAlignment="1"/>
    <xf numFmtId="0" fontId="76" fillId="28" borderId="0" xfId="0" applyFont="1" applyFill="1" applyBorder="1"/>
    <xf numFmtId="0" fontId="76" fillId="28" borderId="0" xfId="0" applyFont="1" applyFill="1" applyBorder="1" applyAlignment="1"/>
    <xf numFmtId="0" fontId="19" fillId="23" borderId="0" xfId="0" quotePrefix="1" applyFont="1" applyFill="1" applyBorder="1" applyAlignment="1">
      <alignment horizontal="center" vertical="center"/>
    </xf>
    <xf numFmtId="40" fontId="24" fillId="14" borderId="0" xfId="0" applyNumberFormat="1" applyFont="1" applyFill="1" applyBorder="1" applyAlignment="1">
      <alignment horizontal="center" vertical="center"/>
    </xf>
    <xf numFmtId="0" fontId="14" fillId="0" borderId="0" xfId="0" applyFont="1" applyBorder="1"/>
    <xf numFmtId="0" fontId="60" fillId="0" borderId="0" xfId="6" applyFont="1" applyAlignment="1">
      <alignment horizontal="center"/>
    </xf>
    <xf numFmtId="0" fontId="58" fillId="0" borderId="0" xfId="6"/>
    <xf numFmtId="0" fontId="63" fillId="0" borderId="0" xfId="6" applyFont="1" applyAlignment="1">
      <alignment horizontal="center"/>
    </xf>
    <xf numFmtId="0" fontId="59" fillId="0" borderId="0" xfId="6" applyFont="1" applyAlignment="1">
      <alignment horizontal="center"/>
    </xf>
    <xf numFmtId="0" fontId="61" fillId="0" borderId="25" xfId="6" applyFont="1" applyBorder="1" applyAlignment="1">
      <alignment horizontal="center" wrapText="1"/>
    </xf>
    <xf numFmtId="0" fontId="58" fillId="0" borderId="0" xfId="6" applyAlignment="1">
      <alignment wrapText="1"/>
    </xf>
    <xf numFmtId="43" fontId="16" fillId="0" borderId="10" xfId="0" applyNumberFormat="1" applyFont="1" applyBorder="1" applyAlignment="1">
      <alignment horizontal="center"/>
    </xf>
    <xf numFmtId="0" fontId="17" fillId="0" borderId="10" xfId="0" applyFont="1" applyBorder="1"/>
    <xf numFmtId="43" fontId="3" fillId="2" borderId="11" xfId="0" applyNumberFormat="1" applyFont="1" applyFill="1" applyBorder="1" applyAlignment="1">
      <alignment horizontal="center" vertical="center" wrapText="1"/>
    </xf>
    <xf numFmtId="0" fontId="17" fillId="0" borderId="12" xfId="0" applyFont="1" applyBorder="1"/>
    <xf numFmtId="0" fontId="17" fillId="0" borderId="13" xfId="0" applyFont="1" applyBorder="1"/>
    <xf numFmtId="0" fontId="42" fillId="0" borderId="0" xfId="8" applyFont="1" applyAlignment="1">
      <alignment horizontal="left"/>
    </xf>
    <xf numFmtId="0" fontId="52" fillId="0" borderId="0" xfId="8" applyFont="1"/>
    <xf numFmtId="0" fontId="77" fillId="0" borderId="0" xfId="8" applyFont="1" applyAlignment="1">
      <alignment horizontal="left"/>
    </xf>
    <xf numFmtId="0" fontId="9" fillId="0" borderId="0" xfId="8" applyFont="1" applyAlignment="1">
      <alignment horizontal="center"/>
    </xf>
    <xf numFmtId="0" fontId="78" fillId="0" borderId="0" xfId="8" applyNumberFormat="1" applyFont="1" applyAlignment="1">
      <alignment horizontal="left"/>
    </xf>
    <xf numFmtId="0" fontId="79" fillId="0" borderId="0" xfId="8" quotePrefix="1" applyFont="1" applyAlignment="1">
      <alignment horizontal="left"/>
    </xf>
    <xf numFmtId="0" fontId="42" fillId="0" borderId="0" xfId="8" applyFont="1"/>
    <xf numFmtId="17" fontId="79" fillId="0" borderId="0" xfId="8" applyNumberFormat="1" applyFont="1" applyAlignment="1">
      <alignment horizontal="left"/>
    </xf>
    <xf numFmtId="0" fontId="79" fillId="0" borderId="0" xfId="8" applyFont="1" applyAlignment="1">
      <alignment horizontal="left"/>
    </xf>
    <xf numFmtId="14" fontId="79" fillId="0" borderId="0" xfId="8" applyNumberFormat="1" applyFont="1" applyAlignment="1">
      <alignment horizontal="left"/>
    </xf>
    <xf numFmtId="43" fontId="79" fillId="0" borderId="0" xfId="8" applyNumberFormat="1" applyFont="1" applyAlignment="1">
      <alignment horizontal="left"/>
    </xf>
    <xf numFmtId="14" fontId="78" fillId="0" borderId="0" xfId="8" applyNumberFormat="1" applyFont="1" applyAlignment="1">
      <alignment horizontal="left"/>
    </xf>
    <xf numFmtId="0" fontId="1" fillId="0" borderId="0" xfId="8" applyFont="1" applyAlignment="1">
      <alignment horizontal="left"/>
    </xf>
    <xf numFmtId="0" fontId="9" fillId="0" borderId="0" xfId="8" applyFont="1" applyAlignment="1">
      <alignment horizontal="left"/>
    </xf>
    <xf numFmtId="0" fontId="1" fillId="0" borderId="0" xfId="8"/>
  </cellXfs>
  <cellStyles count="9">
    <cellStyle name="Comma" xfId="1" builtinId="3"/>
    <cellStyle name="Comma 2" xfId="4"/>
    <cellStyle name="Hyperlink" xfId="7" builtinId="8"/>
    <cellStyle name="Normal" xfId="0" builtinId="0"/>
    <cellStyle name="Normal 2" xfId="3"/>
    <cellStyle name="Normal 3" xfId="6"/>
    <cellStyle name="Normal 4" xfId="8"/>
    <cellStyle name="Normal 70 2" xfId="5"/>
    <cellStyle name="Percent" xfId="2" builtinId="5"/>
  </cellStyles>
  <dxfs count="830">
    <dxf>
      <fill>
        <patternFill patternType="solid">
          <fgColor rgb="FF66FFFF"/>
          <bgColor rgb="FF66FFFF"/>
        </patternFill>
      </fill>
      <border>
        <left/>
        <right/>
        <top/>
        <bottom/>
      </border>
    </dxf>
    <dxf>
      <fill>
        <patternFill patternType="solid">
          <fgColor rgb="FFFEF2CB"/>
          <bgColor rgb="FFFEF2CB"/>
        </patternFill>
      </fill>
      <border>
        <left/>
        <right/>
        <top/>
        <bottom/>
      </border>
    </dxf>
    <dxf>
      <font>
        <b/>
        <color rgb="FFFFFFFF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ill>
        <patternFill patternType="solid">
          <fgColor rgb="FF66FFFF"/>
          <bgColor rgb="FF66FFFF"/>
        </patternFill>
      </fill>
      <border>
        <left/>
        <right/>
        <top/>
        <bottom/>
      </border>
    </dxf>
    <dxf>
      <fill>
        <patternFill patternType="solid">
          <fgColor rgb="FFFEF2CB"/>
          <bgColor rgb="FFFEF2CB"/>
        </patternFill>
      </fill>
      <border>
        <left/>
        <right/>
        <top/>
        <bottom/>
      </border>
    </dxf>
    <dxf>
      <font>
        <b/>
        <color rgb="FFFFFFFF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792480</xdr:colOff>
      <xdr:row>0</xdr:row>
      <xdr:rowOff>0</xdr:rowOff>
    </xdr:to>
    <xdr:sp macro="" textlink="">
      <xdr:nvSpPr>
        <xdr:cNvPr id="2052" name="Rectangle 4" hidden="1">
          <a:extLst>
            <a:ext uri="{FF2B5EF4-FFF2-40B4-BE49-F238E27FC236}">
              <a16:creationId xmlns:a16="http://schemas.microsoft.com/office/drawing/2014/main" id="{00000000-0008-0000-0C00-000004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39</xdr:col>
      <xdr:colOff>792480</xdr:colOff>
      <xdr:row>29</xdr:row>
      <xdr:rowOff>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840980" cy="5457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39</xdr:col>
      <xdr:colOff>792480</xdr:colOff>
      <xdr:row>29</xdr:row>
      <xdr:rowOff>0</xdr:rowOff>
    </xdr:to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840980" cy="5457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39</xdr:col>
      <xdr:colOff>1000125</xdr:colOff>
      <xdr:row>29</xdr:row>
      <xdr:rowOff>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48625" cy="5457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39</xdr:col>
      <xdr:colOff>1000125</xdr:colOff>
      <xdr:row>29</xdr:row>
      <xdr:rowOff>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48625" cy="5457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39</xdr:col>
      <xdr:colOff>1000125</xdr:colOff>
      <xdr:row>29</xdr:row>
      <xdr:rowOff>0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48625" cy="5457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39</xdr:col>
      <xdr:colOff>1000125</xdr:colOff>
      <xdr:row>29</xdr:row>
      <xdr:rowOff>0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48625" cy="5457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39</xdr:col>
      <xdr:colOff>1000125</xdr:colOff>
      <xdr:row>29</xdr:row>
      <xdr:rowOff>0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48625" cy="5457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167640</xdr:colOff>
      <xdr:row>42</xdr:row>
      <xdr:rowOff>99060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0000000-0008-0000-12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167640</xdr:colOff>
      <xdr:row>42</xdr:row>
      <xdr:rowOff>99060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167640</xdr:colOff>
      <xdr:row>42</xdr:row>
      <xdr:rowOff>99060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42</xdr:row>
      <xdr:rowOff>19050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42</xdr:row>
      <xdr:rowOff>19050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42</xdr:row>
      <xdr:rowOff>19050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42</xdr:row>
      <xdr:rowOff>19050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42</xdr:row>
      <xdr:rowOff>19050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42</xdr:row>
      <xdr:rowOff>19050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42</xdr:row>
      <xdr:rowOff>19050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42</xdr:row>
      <xdr:rowOff>19050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nuage-digital.com" TargetMode="External"/><Relationship Id="rId2" Type="http://schemas.openxmlformats.org/officeDocument/2006/relationships/hyperlink" Target="mailto:hello@nuage-digital.com" TargetMode="External"/><Relationship Id="rId1" Type="http://schemas.openxmlformats.org/officeDocument/2006/relationships/hyperlink" Target="mailto:saad@nuage-digita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9" workbookViewId="0">
      <selection activeCell="B21" sqref="B21"/>
    </sheetView>
  </sheetViews>
  <sheetFormatPr defaultColWidth="15.140625" defaultRowHeight="15" customHeight="1"/>
  <cols>
    <col min="1" max="1" width="6.7109375" customWidth="1"/>
    <col min="2" max="2" width="79.85546875" customWidth="1"/>
    <col min="3" max="3" width="47.85546875" customWidth="1"/>
    <col min="4" max="6" width="22.7109375" customWidth="1"/>
    <col min="7" max="14" width="6.7109375" customWidth="1"/>
    <col min="15" max="26" width="13.28515625" customWidth="1"/>
  </cols>
  <sheetData>
    <row r="1" spans="1:26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1"/>
      <c r="B3" s="5" t="s">
        <v>1</v>
      </c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2" t="s">
        <v>3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>
      <c r="A6" s="1"/>
      <c r="B6" s="6" t="s">
        <v>4</v>
      </c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>
      <c r="A7" s="1"/>
      <c r="B7" s="6" t="s">
        <v>5</v>
      </c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>
      <c r="A8" s="1"/>
      <c r="B8" s="6" t="s">
        <v>7</v>
      </c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>
      <c r="A9" s="1"/>
      <c r="B9" s="6" t="s">
        <v>8</v>
      </c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>
      <c r="A12" s="1"/>
      <c r="B12" s="8" t="s">
        <v>9</v>
      </c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 t="s">
        <v>12</v>
      </c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1" t="s">
        <v>14</v>
      </c>
      <c r="C15" s="11" t="s">
        <v>15</v>
      </c>
      <c r="D15" s="240" t="s">
        <v>16</v>
      </c>
      <c r="E15" s="241"/>
      <c r="F15" s="242" t="s">
        <v>996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2" t="s">
        <v>18</v>
      </c>
      <c r="C16" s="12" t="s">
        <v>19</v>
      </c>
      <c r="D16" s="12" t="s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2" t="s">
        <v>21</v>
      </c>
      <c r="C17" s="12" t="s">
        <v>22</v>
      </c>
      <c r="D17" s="12" t="s">
        <v>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13" t="s">
        <v>23</v>
      </c>
      <c r="C18" s="12" t="s">
        <v>26</v>
      </c>
      <c r="D18" s="12" t="s">
        <v>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13" t="s">
        <v>28</v>
      </c>
      <c r="C19" s="12" t="s">
        <v>29</v>
      </c>
      <c r="D19" s="12" t="s">
        <v>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2" t="s">
        <v>30</v>
      </c>
      <c r="C20" s="12" t="s">
        <v>31</v>
      </c>
      <c r="D20" s="12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2" t="s">
        <v>33</v>
      </c>
      <c r="C21" s="12" t="s">
        <v>34</v>
      </c>
      <c r="D21" s="12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13" t="s">
        <v>35</v>
      </c>
      <c r="C22" s="12" t="s">
        <v>31</v>
      </c>
      <c r="D22" s="12" t="s">
        <v>27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>
      <c r="A24" s="1"/>
      <c r="B24" s="8" t="s">
        <v>38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2" t="s">
        <v>39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4" t="s">
        <v>14</v>
      </c>
      <c r="C28" s="14" t="s">
        <v>15</v>
      </c>
      <c r="D28" s="14" t="s">
        <v>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2" t="s">
        <v>44</v>
      </c>
      <c r="C29" s="12" t="s">
        <v>45</v>
      </c>
      <c r="D29" s="12" t="s">
        <v>27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2" t="s">
        <v>48</v>
      </c>
      <c r="C30" s="12" t="s">
        <v>49</v>
      </c>
      <c r="D30" s="12" t="s">
        <v>27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2" t="s">
        <v>50</v>
      </c>
      <c r="C31" s="12" t="s">
        <v>51</v>
      </c>
      <c r="D31" s="12" t="s">
        <v>27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2" t="s">
        <v>54</v>
      </c>
      <c r="C32" s="12" t="s">
        <v>55</v>
      </c>
      <c r="D32" s="12" t="s">
        <v>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1"/>
      <c r="B34" s="8" t="s">
        <v>58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4" t="s">
        <v>14</v>
      </c>
      <c r="C36" s="14" t="s">
        <v>15</v>
      </c>
      <c r="D36" s="14" t="s">
        <v>16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2" t="s">
        <v>61</v>
      </c>
      <c r="C37" s="12" t="s">
        <v>62</v>
      </c>
      <c r="D37" s="12" t="s">
        <v>27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2" t="s">
        <v>63</v>
      </c>
      <c r="C38" s="12" t="s">
        <v>64</v>
      </c>
      <c r="D38" s="12" t="s">
        <v>27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2" t="s">
        <v>65</v>
      </c>
      <c r="C39" s="12" t="s">
        <v>64</v>
      </c>
      <c r="D39" s="12" t="s">
        <v>27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>
      <c r="A41" s="1"/>
      <c r="B41" s="8" t="s">
        <v>66</v>
      </c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4" t="s">
        <v>14</v>
      </c>
      <c r="C44" s="14" t="s">
        <v>15</v>
      </c>
      <c r="D44" s="14" t="s">
        <v>16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2" t="s">
        <v>67</v>
      </c>
      <c r="C45" s="12" t="s">
        <v>68</v>
      </c>
      <c r="D45" s="12" t="s">
        <v>69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2" t="s">
        <v>70</v>
      </c>
      <c r="C46" s="12" t="s">
        <v>71</v>
      </c>
      <c r="D46" s="12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H4"/>
  <sheetViews>
    <sheetView workbookViewId="0">
      <selection activeCell="A10" sqref="A10"/>
    </sheetView>
  </sheetViews>
  <sheetFormatPr defaultRowHeight="15"/>
  <cols>
    <col min="1" max="1" width="11.5703125" bestFit="1" customWidth="1"/>
    <col min="2" max="2" width="16" bestFit="1" customWidth="1"/>
    <col min="3" max="3" width="8.140625" bestFit="1" customWidth="1"/>
    <col min="4" max="4" width="14.7109375" bestFit="1" customWidth="1"/>
    <col min="5" max="5" width="16.85546875" bestFit="1" customWidth="1"/>
    <col min="6" max="6" width="18.7109375" bestFit="1" customWidth="1"/>
    <col min="7" max="7" width="21" bestFit="1" customWidth="1"/>
    <col min="8" max="8" width="12.7109375" bestFit="1" customWidth="1"/>
  </cols>
  <sheetData>
    <row r="2" spans="1:8">
      <c r="A2" s="326" t="s">
        <v>132</v>
      </c>
      <c r="B2" s="326" t="s">
        <v>132</v>
      </c>
      <c r="C2" s="74"/>
      <c r="D2" s="74"/>
      <c r="E2" s="74"/>
      <c r="F2" s="74"/>
      <c r="G2" s="74"/>
      <c r="H2" s="74"/>
    </row>
    <row r="3" spans="1:8">
      <c r="A3" s="327" t="s">
        <v>1133</v>
      </c>
      <c r="B3" s="327" t="s">
        <v>133</v>
      </c>
      <c r="C3" s="327" t="s">
        <v>1136</v>
      </c>
      <c r="D3" s="327" t="s">
        <v>1137</v>
      </c>
      <c r="E3" s="327" t="s">
        <v>1138</v>
      </c>
      <c r="F3" s="327" t="s">
        <v>1139</v>
      </c>
      <c r="G3" s="327" t="s">
        <v>1140</v>
      </c>
      <c r="H3" s="327" t="s">
        <v>1141</v>
      </c>
    </row>
    <row r="4" spans="1:8" ht="15.75">
      <c r="A4" s="330" t="s">
        <v>302</v>
      </c>
      <c r="B4" s="331" t="s">
        <v>303</v>
      </c>
      <c r="C4" s="329" t="s">
        <v>1142</v>
      </c>
      <c r="D4" s="328"/>
      <c r="E4" s="328"/>
      <c r="F4" s="328"/>
      <c r="G4" s="328"/>
      <c r="H4" s="3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F9"/>
  <sheetViews>
    <sheetView workbookViewId="0">
      <selection activeCell="D4" sqref="D4"/>
    </sheetView>
  </sheetViews>
  <sheetFormatPr defaultRowHeight="15"/>
  <cols>
    <col min="2" max="2" width="12.42578125" bestFit="1" customWidth="1"/>
    <col min="6" max="6" width="11.5703125" bestFit="1" customWidth="1"/>
  </cols>
  <sheetData>
    <row r="2" spans="1:6">
      <c r="A2" s="320" t="s">
        <v>132</v>
      </c>
      <c r="B2" s="320" t="s">
        <v>132</v>
      </c>
      <c r="C2" s="320" t="s">
        <v>132</v>
      </c>
      <c r="D2" s="320" t="s">
        <v>132</v>
      </c>
      <c r="E2" s="321"/>
      <c r="F2" s="74"/>
    </row>
    <row r="3" spans="1:6">
      <c r="A3" s="322" t="s">
        <v>134</v>
      </c>
      <c r="B3" s="322" t="s">
        <v>1129</v>
      </c>
      <c r="C3" s="322" t="s">
        <v>1130</v>
      </c>
      <c r="D3" s="322" t="s">
        <v>1131</v>
      </c>
      <c r="E3" s="322" t="s">
        <v>1132</v>
      </c>
      <c r="F3" s="322" t="s">
        <v>1133</v>
      </c>
    </row>
    <row r="4" spans="1:6">
      <c r="A4" s="325">
        <v>125</v>
      </c>
      <c r="B4" s="325" t="s">
        <v>1134</v>
      </c>
      <c r="C4" s="325" t="s">
        <v>296</v>
      </c>
      <c r="D4" s="325" t="s">
        <v>1135</v>
      </c>
      <c r="E4" s="325" t="s">
        <v>297</v>
      </c>
      <c r="F4" s="325">
        <v>100</v>
      </c>
    </row>
    <row r="5" spans="1:6">
      <c r="A5" s="323"/>
      <c r="B5" s="323"/>
      <c r="C5" s="323"/>
      <c r="D5" s="323"/>
      <c r="E5" s="323"/>
      <c r="F5" s="323"/>
    </row>
    <row r="6" spans="1:6">
      <c r="A6" s="323"/>
      <c r="B6" s="323"/>
      <c r="C6" s="323"/>
      <c r="D6" s="323"/>
      <c r="E6" s="324"/>
      <c r="F6" s="323"/>
    </row>
    <row r="7" spans="1:6">
      <c r="A7" s="323"/>
      <c r="B7" s="323"/>
      <c r="C7" s="323"/>
      <c r="D7" s="323"/>
      <c r="E7" s="323"/>
      <c r="F7" s="323"/>
    </row>
    <row r="8" spans="1:6">
      <c r="A8" s="323"/>
      <c r="B8" s="323"/>
      <c r="C8" s="323"/>
      <c r="D8" s="323"/>
      <c r="E8" s="323"/>
      <c r="F8" s="323"/>
    </row>
    <row r="9" spans="1:6">
      <c r="A9" s="323"/>
      <c r="B9" s="323"/>
      <c r="C9" s="323"/>
      <c r="D9" s="323"/>
      <c r="E9" s="323"/>
      <c r="F9" s="323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I6"/>
  <sheetViews>
    <sheetView workbookViewId="0">
      <selection activeCell="G15" sqref="G15"/>
    </sheetView>
  </sheetViews>
  <sheetFormatPr defaultRowHeight="15"/>
  <cols>
    <col min="1" max="1" width="12" bestFit="1" customWidth="1"/>
    <col min="2" max="2" width="7.28515625" bestFit="1" customWidth="1"/>
    <col min="3" max="3" width="10.5703125" bestFit="1" customWidth="1"/>
    <col min="4" max="4" width="26.28515625" bestFit="1" customWidth="1"/>
    <col min="5" max="5" width="9.42578125" bestFit="1" customWidth="1"/>
    <col min="6" max="6" width="15.5703125" bestFit="1" customWidth="1"/>
    <col min="7" max="7" width="25.28515625" bestFit="1" customWidth="1"/>
    <col min="8" max="8" width="29.7109375" bestFit="1" customWidth="1"/>
    <col min="9" max="9" width="26.28515625" bestFit="1" customWidth="1"/>
  </cols>
  <sheetData>
    <row r="2" spans="1:9" s="74" customFormat="1">
      <c r="A2" s="326" t="s">
        <v>132</v>
      </c>
      <c r="B2" s="326" t="s">
        <v>132</v>
      </c>
      <c r="C2" s="326" t="s">
        <v>132</v>
      </c>
      <c r="D2" s="326" t="s">
        <v>132</v>
      </c>
      <c r="E2" s="326" t="s">
        <v>132</v>
      </c>
      <c r="F2" s="326" t="s">
        <v>132</v>
      </c>
      <c r="G2" s="333"/>
      <c r="H2" s="326" t="s">
        <v>1148</v>
      </c>
      <c r="I2" s="326" t="s">
        <v>132</v>
      </c>
    </row>
    <row r="3" spans="1:9" s="74" customFormat="1">
      <c r="A3" s="327" t="s">
        <v>1149</v>
      </c>
      <c r="B3" s="327" t="s">
        <v>1150</v>
      </c>
      <c r="C3" s="327" t="s">
        <v>1151</v>
      </c>
      <c r="D3" s="327" t="s">
        <v>1152</v>
      </c>
      <c r="E3" s="327" t="s">
        <v>1153</v>
      </c>
      <c r="F3" s="327" t="s">
        <v>1154</v>
      </c>
      <c r="G3" s="327" t="s">
        <v>1155</v>
      </c>
      <c r="H3" s="327" t="s">
        <v>1156</v>
      </c>
      <c r="I3" s="327" t="s">
        <v>1157</v>
      </c>
    </row>
    <row r="4" spans="1:9" s="74" customFormat="1" ht="15" customHeight="1">
      <c r="A4" s="74">
        <v>100</v>
      </c>
      <c r="B4" s="74">
        <v>1</v>
      </c>
      <c r="C4" s="74" t="s">
        <v>1188</v>
      </c>
      <c r="D4" s="334" t="s">
        <v>1189</v>
      </c>
      <c r="E4" s="74">
        <v>123</v>
      </c>
      <c r="F4" s="74">
        <v>123</v>
      </c>
      <c r="H4" s="335" t="s">
        <v>1145</v>
      </c>
      <c r="I4" s="74" t="s">
        <v>238</v>
      </c>
    </row>
    <row r="5" spans="1:9">
      <c r="A5" s="74">
        <v>100</v>
      </c>
      <c r="B5">
        <v>2</v>
      </c>
      <c r="D5" s="334" t="s">
        <v>1190</v>
      </c>
      <c r="E5">
        <v>123</v>
      </c>
      <c r="F5">
        <v>321</v>
      </c>
      <c r="H5" t="s">
        <v>1146</v>
      </c>
      <c r="I5" s="74" t="s">
        <v>238</v>
      </c>
    </row>
    <row r="6" spans="1:9">
      <c r="A6" s="74">
        <v>100</v>
      </c>
      <c r="B6">
        <v>3</v>
      </c>
      <c r="D6" s="334" t="s">
        <v>1191</v>
      </c>
      <c r="E6">
        <v>123</v>
      </c>
      <c r="F6">
        <v>434</v>
      </c>
      <c r="H6" t="s">
        <v>1147</v>
      </c>
      <c r="I6" s="74" t="s">
        <v>238</v>
      </c>
    </row>
  </sheetData>
  <hyperlinks>
    <hyperlink ref="D4" r:id="rId1"/>
    <hyperlink ref="D5" r:id="rId2"/>
    <hyperlink ref="D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5"/>
  <sheetViews>
    <sheetView workbookViewId="0">
      <selection activeCell="C15" sqref="C15"/>
    </sheetView>
  </sheetViews>
  <sheetFormatPr defaultRowHeight="15"/>
  <cols>
    <col min="2" max="2" width="11.28515625" bestFit="1" customWidth="1"/>
  </cols>
  <sheetData>
    <row r="1" spans="1:2">
      <c r="A1" s="327" t="s">
        <v>132</v>
      </c>
      <c r="B1" s="327"/>
    </row>
    <row r="2" spans="1:2">
      <c r="A2" s="40" t="s">
        <v>1143</v>
      </c>
      <c r="B2" s="40" t="s">
        <v>1144</v>
      </c>
    </row>
    <row r="3" spans="1:2">
      <c r="A3" s="332">
        <v>1</v>
      </c>
      <c r="B3" s="332" t="s">
        <v>1145</v>
      </c>
    </row>
    <row r="4" spans="1:2">
      <c r="A4" s="332">
        <v>2</v>
      </c>
      <c r="B4" s="332" t="s">
        <v>1146</v>
      </c>
    </row>
    <row r="5" spans="1:2">
      <c r="A5" s="332">
        <v>3</v>
      </c>
      <c r="B5" s="332" t="s">
        <v>1147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C5"/>
  <sheetViews>
    <sheetView workbookViewId="0">
      <selection activeCell="D10" sqref="D10"/>
    </sheetView>
  </sheetViews>
  <sheetFormatPr defaultRowHeight="15"/>
  <cols>
    <col min="1" max="1" width="11.140625" bestFit="1" customWidth="1"/>
    <col min="2" max="2" width="17" bestFit="1" customWidth="1"/>
    <col min="3" max="3" width="9.5703125" customWidth="1"/>
  </cols>
  <sheetData>
    <row r="2" spans="1:3">
      <c r="A2" s="326" t="s">
        <v>132</v>
      </c>
      <c r="B2" s="326" t="s">
        <v>132</v>
      </c>
      <c r="C2" s="326" t="s">
        <v>132</v>
      </c>
    </row>
    <row r="3" spans="1:3">
      <c r="A3" s="327" t="s">
        <v>1158</v>
      </c>
      <c r="B3" s="327" t="s">
        <v>1159</v>
      </c>
      <c r="C3" s="327" t="s">
        <v>1133</v>
      </c>
    </row>
    <row r="4" spans="1:3">
      <c r="A4" s="336">
        <v>1</v>
      </c>
      <c r="B4" s="337" t="s">
        <v>306</v>
      </c>
      <c r="C4" s="336" t="s">
        <v>302</v>
      </c>
    </row>
    <row r="5" spans="1:3">
      <c r="A5" s="336">
        <v>2</v>
      </c>
      <c r="B5" s="337" t="s">
        <v>1039</v>
      </c>
      <c r="C5" s="336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3:F9"/>
  <sheetViews>
    <sheetView tabSelected="1" workbookViewId="0">
      <selection activeCell="F21" sqref="F21"/>
    </sheetView>
  </sheetViews>
  <sheetFormatPr defaultRowHeight="15"/>
  <cols>
    <col min="2" max="2" width="9" bestFit="1" customWidth="1"/>
    <col min="6" max="6" width="16.28515625" bestFit="1" customWidth="1"/>
  </cols>
  <sheetData>
    <row r="3" spans="1:6">
      <c r="A3" s="338" t="s">
        <v>132</v>
      </c>
      <c r="B3" s="338" t="s">
        <v>132</v>
      </c>
      <c r="C3" s="338" t="s">
        <v>132</v>
      </c>
      <c r="D3" s="338" t="s">
        <v>132</v>
      </c>
      <c r="E3" s="338" t="s">
        <v>132</v>
      </c>
      <c r="F3" s="338" t="s">
        <v>132</v>
      </c>
    </row>
    <row r="4" spans="1:6">
      <c r="A4" s="339" t="s">
        <v>1133</v>
      </c>
      <c r="B4" s="339" t="s">
        <v>134</v>
      </c>
      <c r="C4" s="339" t="s">
        <v>1160</v>
      </c>
      <c r="D4" s="339" t="s">
        <v>1161</v>
      </c>
      <c r="E4" s="339" t="s">
        <v>116</v>
      </c>
      <c r="F4" s="339" t="s">
        <v>1162</v>
      </c>
    </row>
    <row r="5" spans="1:6">
      <c r="A5" s="363" t="s">
        <v>302</v>
      </c>
      <c r="B5" s="364" t="s">
        <v>1033</v>
      </c>
      <c r="C5" s="365" t="s">
        <v>296</v>
      </c>
      <c r="D5" s="366" t="s">
        <v>297</v>
      </c>
      <c r="E5" s="372">
        <v>42831</v>
      </c>
      <c r="F5" s="373">
        <v>350</v>
      </c>
    </row>
    <row r="6" spans="1:6">
      <c r="A6" s="363" t="s">
        <v>302</v>
      </c>
      <c r="B6" s="364" t="s">
        <v>1033</v>
      </c>
      <c r="C6" s="365" t="s">
        <v>296</v>
      </c>
      <c r="D6" s="366" t="s">
        <v>297</v>
      </c>
      <c r="E6" s="372">
        <v>42738</v>
      </c>
      <c r="F6" s="373">
        <v>350</v>
      </c>
    </row>
    <row r="7" spans="1:6">
      <c r="A7" s="363" t="s">
        <v>302</v>
      </c>
      <c r="B7" s="364" t="s">
        <v>1033</v>
      </c>
      <c r="C7" s="365" t="s">
        <v>296</v>
      </c>
      <c r="D7" s="366" t="s">
        <v>297</v>
      </c>
      <c r="E7" s="372">
        <v>42768</v>
      </c>
      <c r="F7" s="373">
        <v>350</v>
      </c>
    </row>
    <row r="8" spans="1:6">
      <c r="A8" s="363" t="s">
        <v>302</v>
      </c>
      <c r="B8" s="364" t="s">
        <v>1033</v>
      </c>
      <c r="C8" s="365" t="s">
        <v>296</v>
      </c>
      <c r="D8" s="366" t="s">
        <v>297</v>
      </c>
      <c r="E8" s="372">
        <v>42780</v>
      </c>
      <c r="F8" s="373">
        <v>1094.5</v>
      </c>
    </row>
    <row r="9" spans="1:6">
      <c r="A9" s="363" t="s">
        <v>302</v>
      </c>
      <c r="B9" s="364" t="s">
        <v>1033</v>
      </c>
      <c r="C9" s="365" t="s">
        <v>296</v>
      </c>
      <c r="D9" s="366" t="s">
        <v>297</v>
      </c>
      <c r="E9" s="372">
        <v>42947</v>
      </c>
      <c r="F9" s="373">
        <v>5177.67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T2"/>
  <sheetViews>
    <sheetView workbookViewId="0">
      <selection sqref="A1:T2"/>
    </sheetView>
  </sheetViews>
  <sheetFormatPr defaultRowHeight="15"/>
  <sheetData>
    <row r="1" spans="1:20">
      <c r="A1" s="338" t="s">
        <v>132</v>
      </c>
      <c r="B1" s="338" t="s">
        <v>132</v>
      </c>
      <c r="C1" s="338" t="s">
        <v>132</v>
      </c>
      <c r="D1" s="338" t="s">
        <v>132</v>
      </c>
      <c r="E1" s="338" t="s">
        <v>132</v>
      </c>
      <c r="F1" s="338" t="s">
        <v>132</v>
      </c>
      <c r="G1" s="338" t="s">
        <v>132</v>
      </c>
      <c r="H1" s="343"/>
      <c r="I1" s="338" t="s">
        <v>132</v>
      </c>
      <c r="J1" s="343"/>
      <c r="K1" s="343"/>
      <c r="L1" s="338" t="s">
        <v>132</v>
      </c>
      <c r="M1" s="343"/>
      <c r="N1" s="343"/>
      <c r="O1" s="344"/>
      <c r="P1" s="344"/>
      <c r="Q1" s="344"/>
      <c r="R1" s="344"/>
      <c r="S1" s="344"/>
      <c r="T1" s="345" t="s">
        <v>132</v>
      </c>
    </row>
    <row r="2" spans="1:20">
      <c r="A2" s="339" t="s">
        <v>1133</v>
      </c>
      <c r="B2" s="339" t="s">
        <v>134</v>
      </c>
      <c r="C2" s="339" t="s">
        <v>1160</v>
      </c>
      <c r="D2" s="339" t="s">
        <v>1161</v>
      </c>
      <c r="E2" s="346" t="s">
        <v>1163</v>
      </c>
      <c r="F2" s="347" t="s">
        <v>1171</v>
      </c>
      <c r="G2" s="347" t="s">
        <v>1172</v>
      </c>
      <c r="H2" s="347" t="s">
        <v>1173</v>
      </c>
      <c r="I2" s="348" t="s">
        <v>1166</v>
      </c>
      <c r="J2" s="347" t="s">
        <v>1174</v>
      </c>
      <c r="K2" s="348" t="s">
        <v>1175</v>
      </c>
      <c r="L2" s="347" t="s">
        <v>1176</v>
      </c>
      <c r="M2" s="347" t="s">
        <v>1177</v>
      </c>
      <c r="N2" s="347" t="s">
        <v>1178</v>
      </c>
      <c r="O2" s="347" t="s">
        <v>1179</v>
      </c>
      <c r="P2" s="347" t="s">
        <v>1180</v>
      </c>
      <c r="Q2" s="347" t="s">
        <v>1181</v>
      </c>
      <c r="R2" s="347" t="s">
        <v>1182</v>
      </c>
      <c r="S2" s="346" t="s">
        <v>1183</v>
      </c>
      <c r="T2" s="347" t="s">
        <v>1184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7"/>
  <sheetViews>
    <sheetView workbookViewId="0">
      <selection activeCell="A3" sqref="A3:XFD7"/>
    </sheetView>
  </sheetViews>
  <sheetFormatPr defaultRowHeight="15"/>
  <cols>
    <col min="13" max="13" width="12.5703125" bestFit="1" customWidth="1"/>
  </cols>
  <sheetData>
    <row r="1" spans="1:15">
      <c r="A1" s="338" t="s">
        <v>132</v>
      </c>
      <c r="B1" s="338" t="s">
        <v>132</v>
      </c>
      <c r="C1" s="338" t="s">
        <v>132</v>
      </c>
      <c r="D1" s="338" t="s">
        <v>132</v>
      </c>
      <c r="E1" s="66" t="s">
        <v>132</v>
      </c>
      <c r="F1" s="66" t="s">
        <v>132</v>
      </c>
      <c r="G1" s="66" t="s">
        <v>132</v>
      </c>
      <c r="H1" s="67"/>
      <c r="I1" s="66" t="s">
        <v>132</v>
      </c>
      <c r="J1" s="67"/>
      <c r="K1" s="70" t="s">
        <v>132</v>
      </c>
      <c r="L1" s="340" t="s">
        <v>132</v>
      </c>
      <c r="M1" s="67"/>
      <c r="N1" s="66" t="s">
        <v>132</v>
      </c>
    </row>
    <row r="2" spans="1:15">
      <c r="A2" s="339" t="s">
        <v>1133</v>
      </c>
      <c r="B2" s="339" t="s">
        <v>134</v>
      </c>
      <c r="C2" s="339" t="s">
        <v>1160</v>
      </c>
      <c r="D2" s="339" t="s">
        <v>1161</v>
      </c>
      <c r="E2" s="341" t="s">
        <v>1163</v>
      </c>
      <c r="F2" s="342" t="s">
        <v>141</v>
      </c>
      <c r="G2" s="342" t="s">
        <v>1164</v>
      </c>
      <c r="H2" s="342" t="s">
        <v>1165</v>
      </c>
      <c r="I2" s="342" t="s">
        <v>1166</v>
      </c>
      <c r="J2" s="342" t="s">
        <v>1167</v>
      </c>
      <c r="K2" s="342" t="s">
        <v>1168</v>
      </c>
      <c r="L2" s="342" t="s">
        <v>131</v>
      </c>
      <c r="M2" s="342" t="s">
        <v>1169</v>
      </c>
      <c r="N2" s="342" t="s">
        <v>1170</v>
      </c>
    </row>
    <row r="3" spans="1:15" s="375" customFormat="1" ht="12.75" customHeight="1">
      <c r="A3" s="363" t="s">
        <v>302</v>
      </c>
      <c r="B3" s="364" t="s">
        <v>1033</v>
      </c>
      <c r="C3" s="365" t="s">
        <v>296</v>
      </c>
      <c r="D3" s="366" t="s">
        <v>297</v>
      </c>
      <c r="E3" s="367">
        <v>1354</v>
      </c>
      <c r="F3" s="368" t="s">
        <v>1185</v>
      </c>
      <c r="G3" s="369" t="s">
        <v>1186</v>
      </c>
      <c r="H3" s="370"/>
      <c r="I3" s="371" t="s">
        <v>228</v>
      </c>
      <c r="J3" s="371">
        <v>1354</v>
      </c>
      <c r="K3" s="372">
        <v>42831</v>
      </c>
      <c r="L3" s="373">
        <v>350</v>
      </c>
      <c r="M3" s="371" t="s">
        <v>1187</v>
      </c>
      <c r="N3" s="374">
        <f>K3+30</f>
        <v>42861</v>
      </c>
      <c r="O3" s="371"/>
    </row>
    <row r="4" spans="1:15" s="375" customFormat="1" ht="12.75" customHeight="1">
      <c r="A4" s="363" t="s">
        <v>302</v>
      </c>
      <c r="B4" s="364" t="s">
        <v>1033</v>
      </c>
      <c r="C4" s="365" t="s">
        <v>296</v>
      </c>
      <c r="D4" s="366" t="s">
        <v>297</v>
      </c>
      <c r="E4" s="367">
        <v>1308</v>
      </c>
      <c r="F4" s="368" t="s">
        <v>1185</v>
      </c>
      <c r="G4" s="369" t="s">
        <v>1186</v>
      </c>
      <c r="H4" s="370"/>
      <c r="I4" s="371" t="s">
        <v>228</v>
      </c>
      <c r="J4" s="371">
        <v>1308</v>
      </c>
      <c r="K4" s="372">
        <v>42738</v>
      </c>
      <c r="L4" s="373">
        <v>350</v>
      </c>
      <c r="M4" s="371" t="s">
        <v>1187</v>
      </c>
      <c r="N4" s="374">
        <f t="shared" ref="N4:N7" si="0">K4+30</f>
        <v>42768</v>
      </c>
      <c r="O4" s="371"/>
    </row>
    <row r="5" spans="1:15" s="375" customFormat="1" ht="12.75" customHeight="1">
      <c r="A5" s="363" t="s">
        <v>302</v>
      </c>
      <c r="B5" s="364" t="s">
        <v>1033</v>
      </c>
      <c r="C5" s="365" t="s">
        <v>296</v>
      </c>
      <c r="D5" s="366" t="s">
        <v>297</v>
      </c>
      <c r="E5" s="367">
        <v>1351</v>
      </c>
      <c r="F5" s="368" t="s">
        <v>1185</v>
      </c>
      <c r="G5" s="369" t="s">
        <v>1186</v>
      </c>
      <c r="H5" s="370"/>
      <c r="I5" s="371" t="s">
        <v>228</v>
      </c>
      <c r="J5" s="371">
        <v>1351</v>
      </c>
      <c r="K5" s="372">
        <v>42768</v>
      </c>
      <c r="L5" s="373">
        <v>350</v>
      </c>
      <c r="M5" s="371" t="s">
        <v>1187</v>
      </c>
      <c r="N5" s="374">
        <f t="shared" si="0"/>
        <v>42798</v>
      </c>
      <c r="O5" s="371"/>
    </row>
    <row r="6" spans="1:15" s="375" customFormat="1" ht="12.75" customHeight="1">
      <c r="A6" s="363" t="s">
        <v>302</v>
      </c>
      <c r="B6" s="364" t="s">
        <v>1033</v>
      </c>
      <c r="C6" s="365" t="s">
        <v>296</v>
      </c>
      <c r="D6" s="366" t="s">
        <v>297</v>
      </c>
      <c r="E6" s="367">
        <v>1352</v>
      </c>
      <c r="F6" s="368" t="s">
        <v>1185</v>
      </c>
      <c r="G6" s="369" t="s">
        <v>1186</v>
      </c>
      <c r="H6" s="370"/>
      <c r="I6" s="371" t="s">
        <v>228</v>
      </c>
      <c r="J6" s="371">
        <v>1352</v>
      </c>
      <c r="K6" s="372">
        <v>42780</v>
      </c>
      <c r="L6" s="373">
        <v>1094.5</v>
      </c>
      <c r="M6" s="371" t="s">
        <v>1187</v>
      </c>
      <c r="N6" s="374">
        <f t="shared" si="0"/>
        <v>42810</v>
      </c>
      <c r="O6" s="371"/>
    </row>
    <row r="7" spans="1:15" s="377" customFormat="1">
      <c r="A7" s="363" t="s">
        <v>302</v>
      </c>
      <c r="B7" s="364" t="s">
        <v>1033</v>
      </c>
      <c r="C7" s="365" t="s">
        <v>296</v>
      </c>
      <c r="D7" s="366" t="s">
        <v>297</v>
      </c>
      <c r="E7" s="367">
        <v>1074</v>
      </c>
      <c r="F7" s="368" t="s">
        <v>1185</v>
      </c>
      <c r="G7" s="369" t="s">
        <v>1186</v>
      </c>
      <c r="H7" s="370"/>
      <c r="I7" s="371" t="s">
        <v>228</v>
      </c>
      <c r="J7" s="376">
        <v>1074</v>
      </c>
      <c r="K7" s="372">
        <v>42947</v>
      </c>
      <c r="L7" s="373">
        <v>5177.67</v>
      </c>
      <c r="M7" s="371" t="s">
        <v>1187</v>
      </c>
      <c r="N7" s="374">
        <f t="shared" si="0"/>
        <v>42977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AG980"/>
  <sheetViews>
    <sheetView showGridLines="0" topLeftCell="A4" zoomScale="115" zoomScaleNormal="115" workbookViewId="0">
      <pane ySplit="1" topLeftCell="A795" activePane="bottomLeft" state="frozen"/>
      <selection activeCell="A4" sqref="A4"/>
      <selection pane="bottomLeft" activeCell="F94" sqref="F94:F816"/>
    </sheetView>
  </sheetViews>
  <sheetFormatPr defaultColWidth="15.140625" defaultRowHeight="15" customHeight="1" outlineLevelRow="1"/>
  <cols>
    <col min="1" max="1" width="7.85546875" style="162" customWidth="1"/>
    <col min="2" max="2" width="15.140625" style="162" bestFit="1" customWidth="1"/>
    <col min="3" max="3" width="10.7109375" style="162" customWidth="1"/>
    <col min="4" max="4" width="7.140625" style="162" customWidth="1"/>
    <col min="5" max="5" width="80.5703125" style="162" bestFit="1" customWidth="1"/>
    <col min="6" max="6" width="7" style="224" customWidth="1"/>
    <col min="7" max="7" width="6.28515625" style="162" customWidth="1"/>
    <col min="8" max="8" width="12.7109375" style="224" customWidth="1"/>
    <col min="9" max="9" width="8.42578125" style="162" customWidth="1"/>
    <col min="10" max="10" width="6.140625" style="162" customWidth="1"/>
    <col min="11" max="11" width="18.7109375" style="162" customWidth="1"/>
    <col min="12" max="12" width="6.5703125" style="224" customWidth="1"/>
    <col min="13" max="13" width="8.140625" style="162" customWidth="1"/>
    <col min="14" max="14" width="11.28515625" style="162" customWidth="1"/>
    <col min="15" max="15" width="14.140625" style="162" customWidth="1"/>
    <col min="16" max="16" width="12.28515625" style="183" customWidth="1"/>
    <col min="17" max="17" width="7" style="183" customWidth="1"/>
    <col min="18" max="18" width="10" style="183" customWidth="1"/>
    <col min="19" max="19" width="12.28515625" style="183" customWidth="1"/>
    <col min="20" max="20" width="9" style="183" customWidth="1"/>
    <col min="21" max="21" width="11.85546875" style="183" bestFit="1" customWidth="1"/>
    <col min="22" max="22" width="5.42578125" style="183" customWidth="1"/>
    <col min="23" max="23" width="5.7109375" style="183" customWidth="1"/>
    <col min="24" max="24" width="11.85546875" style="183" bestFit="1" customWidth="1"/>
    <col min="25" max="25" width="11.140625" style="183" bestFit="1" customWidth="1"/>
    <col min="26" max="26" width="7.5703125" style="183" customWidth="1"/>
    <col min="27" max="28" width="7" style="162" customWidth="1"/>
    <col min="29" max="29" width="12" style="162" customWidth="1"/>
    <col min="30" max="30" width="11.42578125" style="162" customWidth="1"/>
    <col min="31" max="31" width="8.7109375" style="162" customWidth="1"/>
    <col min="32" max="16384" width="15.140625" style="162"/>
  </cols>
  <sheetData>
    <row r="2" spans="1:33" ht="20.25" customHeight="1" thickBot="1">
      <c r="A2" s="204" t="s">
        <v>1015</v>
      </c>
      <c r="B2" s="204"/>
      <c r="C2" s="204"/>
      <c r="D2" s="204"/>
      <c r="E2" s="204"/>
      <c r="F2" s="227"/>
      <c r="G2" s="225"/>
      <c r="H2" s="223"/>
      <c r="I2" s="157"/>
      <c r="J2" s="157"/>
      <c r="K2" s="157"/>
      <c r="L2" s="223"/>
      <c r="M2" s="157"/>
      <c r="N2" s="157"/>
      <c r="O2" s="157"/>
      <c r="P2" s="159"/>
      <c r="Q2" s="160"/>
      <c r="R2" s="160"/>
      <c r="S2" s="159"/>
      <c r="T2" s="160"/>
      <c r="U2" s="160"/>
      <c r="V2" s="160"/>
      <c r="W2" s="160"/>
      <c r="X2" s="160"/>
      <c r="Y2" s="160"/>
      <c r="Z2" s="161"/>
      <c r="AA2" s="160"/>
      <c r="AB2" s="157"/>
      <c r="AC2" s="157"/>
    </row>
    <row r="3" spans="1:33" ht="12.75" customHeight="1" thickTop="1">
      <c r="A3" s="157"/>
      <c r="B3" s="157"/>
      <c r="C3" s="157"/>
      <c r="D3" s="157"/>
      <c r="E3" s="157"/>
      <c r="F3" s="223"/>
      <c r="G3" s="157"/>
      <c r="H3" s="223"/>
      <c r="I3" s="157"/>
      <c r="J3" s="157"/>
      <c r="K3" s="157"/>
      <c r="L3" s="223"/>
      <c r="M3" s="157"/>
      <c r="N3" s="157"/>
      <c r="O3" s="157"/>
      <c r="P3" s="159"/>
      <c r="Q3" s="160"/>
      <c r="R3" s="160"/>
      <c r="S3" s="159"/>
      <c r="T3" s="160"/>
      <c r="U3" s="160"/>
      <c r="V3" s="160"/>
      <c r="W3" s="160"/>
      <c r="X3" s="160"/>
      <c r="Y3" s="160"/>
      <c r="Z3" s="161"/>
      <c r="AA3" s="160"/>
      <c r="AB3" s="157"/>
      <c r="AC3" s="157"/>
    </row>
    <row r="4" spans="1:33" ht="12" customHeight="1" thickBot="1">
      <c r="A4" s="163" t="s">
        <v>135</v>
      </c>
      <c r="B4" s="163" t="s">
        <v>136</v>
      </c>
      <c r="C4" s="164" t="s">
        <v>137</v>
      </c>
      <c r="D4" s="164" t="s">
        <v>138</v>
      </c>
      <c r="E4" s="164" t="s">
        <v>139</v>
      </c>
      <c r="F4" s="226" t="s">
        <v>134</v>
      </c>
      <c r="G4" s="226" t="s">
        <v>300</v>
      </c>
      <c r="H4" s="165" t="s">
        <v>140</v>
      </c>
      <c r="I4" s="165" t="s">
        <v>141</v>
      </c>
      <c r="J4" s="164" t="s">
        <v>142</v>
      </c>
      <c r="K4" s="164" t="s">
        <v>143</v>
      </c>
      <c r="L4" s="226" t="s">
        <v>301</v>
      </c>
      <c r="M4" s="164" t="s">
        <v>144</v>
      </c>
      <c r="N4" s="164" t="s">
        <v>145</v>
      </c>
      <c r="O4" s="164" t="s">
        <v>146</v>
      </c>
      <c r="P4" s="166" t="s">
        <v>147</v>
      </c>
      <c r="Q4" s="167" t="s">
        <v>148</v>
      </c>
      <c r="R4" s="167" t="s">
        <v>149</v>
      </c>
      <c r="S4" s="166" t="s">
        <v>150</v>
      </c>
      <c r="T4" s="167" t="s">
        <v>151</v>
      </c>
      <c r="U4" s="167" t="s">
        <v>152</v>
      </c>
      <c r="V4" s="167" t="s">
        <v>153</v>
      </c>
      <c r="W4" s="167" t="s">
        <v>154</v>
      </c>
      <c r="X4" s="168" t="s">
        <v>155</v>
      </c>
      <c r="Y4" s="168" t="s">
        <v>156</v>
      </c>
      <c r="Z4" s="169" t="s">
        <v>157</v>
      </c>
      <c r="AA4" s="160"/>
      <c r="AB4" s="253" t="s">
        <v>1000</v>
      </c>
      <c r="AC4" s="253" t="s">
        <v>997</v>
      </c>
      <c r="AD4" s="253" t="s">
        <v>998</v>
      </c>
      <c r="AE4" s="253" t="s">
        <v>1008</v>
      </c>
      <c r="AF4" s="253" t="s">
        <v>999</v>
      </c>
    </row>
    <row r="5" spans="1:33" ht="12" customHeight="1" outlineLevel="1">
      <c r="A5" s="170" t="s">
        <v>302</v>
      </c>
      <c r="B5" s="157" t="s">
        <v>303</v>
      </c>
      <c r="C5" s="171">
        <v>42738</v>
      </c>
      <c r="D5" s="178"/>
      <c r="E5" s="157" t="s">
        <v>304</v>
      </c>
      <c r="F5" s="223" t="s">
        <v>1033</v>
      </c>
      <c r="G5" s="223"/>
      <c r="H5" s="224" t="s">
        <v>1039</v>
      </c>
      <c r="I5" s="157"/>
      <c r="J5" s="172"/>
      <c r="K5" s="157"/>
      <c r="L5" s="223" t="s">
        <v>296</v>
      </c>
      <c r="M5" s="173"/>
      <c r="N5" s="173"/>
      <c r="O5" s="157" t="s">
        <v>307</v>
      </c>
      <c r="P5" s="158"/>
      <c r="Q5" s="185"/>
      <c r="R5" s="175"/>
      <c r="S5" s="174">
        <f>P5</f>
        <v>0</v>
      </c>
      <c r="T5" s="157"/>
      <c r="U5" s="177">
        <v>-793.7</v>
      </c>
      <c r="V5" s="157"/>
      <c r="W5" s="157"/>
      <c r="X5" s="176">
        <f>U5</f>
        <v>-793.7</v>
      </c>
      <c r="Y5" s="184"/>
      <c r="Z5" s="179"/>
      <c r="AA5" s="157"/>
      <c r="AB5" s="246" t="s">
        <v>1001</v>
      </c>
      <c r="AC5" s="248">
        <v>44607.200000000004</v>
      </c>
      <c r="AD5" s="249">
        <v>-19235.739999999998</v>
      </c>
      <c r="AE5" s="249">
        <v>25371.460000000006</v>
      </c>
      <c r="AF5" s="247">
        <v>0.5687749959647771</v>
      </c>
    </row>
    <row r="6" spans="1:33" ht="12" customHeight="1" outlineLevel="1">
      <c r="A6" s="170" t="s">
        <v>302</v>
      </c>
      <c r="B6" s="157" t="s">
        <v>303</v>
      </c>
      <c r="C6" s="171">
        <v>42738</v>
      </c>
      <c r="D6" s="178"/>
      <c r="E6" s="157" t="s">
        <v>304</v>
      </c>
      <c r="F6" s="223" t="s">
        <v>1033</v>
      </c>
      <c r="G6" s="223"/>
      <c r="H6" s="224" t="s">
        <v>1039</v>
      </c>
      <c r="I6" s="157"/>
      <c r="J6" s="172"/>
      <c r="K6" s="157"/>
      <c r="L6" s="223" t="s">
        <v>296</v>
      </c>
      <c r="M6" s="173"/>
      <c r="N6" s="173"/>
      <c r="O6" s="157" t="s">
        <v>308</v>
      </c>
      <c r="P6" s="158"/>
      <c r="Q6" s="185"/>
      <c r="R6" s="175"/>
      <c r="S6" s="174">
        <f t="shared" ref="S6:S69" si="0">P6</f>
        <v>0</v>
      </c>
      <c r="T6" s="157"/>
      <c r="U6" s="177">
        <v>-669.5</v>
      </c>
      <c r="V6" s="157"/>
      <c r="W6" s="157"/>
      <c r="X6" s="176">
        <f t="shared" ref="X6:X69" si="1">U6</f>
        <v>-669.5</v>
      </c>
      <c r="Y6" s="184"/>
      <c r="Z6" s="179"/>
      <c r="AA6" s="157"/>
      <c r="AB6" s="246" t="s">
        <v>1002</v>
      </c>
      <c r="AC6" s="248">
        <v>40372.010000000009</v>
      </c>
      <c r="AD6" s="249">
        <v>-22400.59</v>
      </c>
      <c r="AE6" s="249">
        <v>17971.420000000009</v>
      </c>
      <c r="AF6" s="247">
        <v>0.44514553523592226</v>
      </c>
    </row>
    <row r="7" spans="1:33" ht="12" customHeight="1" outlineLevel="1">
      <c r="A7" s="170" t="s">
        <v>302</v>
      </c>
      <c r="B7" s="157" t="s">
        <v>303</v>
      </c>
      <c r="C7" s="171">
        <v>42738</v>
      </c>
      <c r="D7" s="178"/>
      <c r="E7" s="157" t="s">
        <v>304</v>
      </c>
      <c r="F7" s="223" t="s">
        <v>1033</v>
      </c>
      <c r="G7" s="223"/>
      <c r="H7" s="224" t="s">
        <v>1039</v>
      </c>
      <c r="I7" s="157"/>
      <c r="J7" s="172"/>
      <c r="K7" s="157"/>
      <c r="L7" s="223" t="s">
        <v>296</v>
      </c>
      <c r="M7" s="173"/>
      <c r="N7" s="173"/>
      <c r="O7" s="157" t="s">
        <v>308</v>
      </c>
      <c r="P7" s="158"/>
      <c r="Q7" s="185"/>
      <c r="R7" s="175"/>
      <c r="S7" s="174">
        <f t="shared" si="0"/>
        <v>0</v>
      </c>
      <c r="T7" s="157"/>
      <c r="U7" s="177">
        <v>-700</v>
      </c>
      <c r="V7" s="157"/>
      <c r="W7" s="157"/>
      <c r="X7" s="176">
        <f t="shared" si="1"/>
        <v>-700</v>
      </c>
      <c r="Y7" s="184"/>
      <c r="Z7" s="179"/>
      <c r="AA7" s="157"/>
      <c r="AB7" s="246" t="s">
        <v>1003</v>
      </c>
      <c r="AC7" s="248">
        <v>42309.850000000006</v>
      </c>
      <c r="AD7" s="249">
        <v>-13394.66</v>
      </c>
      <c r="AE7" s="249">
        <v>28915.190000000006</v>
      </c>
      <c r="AF7" s="247">
        <v>0.68341509128488998</v>
      </c>
    </row>
    <row r="8" spans="1:33" ht="12" customHeight="1" outlineLevel="1">
      <c r="A8" s="170" t="s">
        <v>302</v>
      </c>
      <c r="B8" s="157" t="s">
        <v>303</v>
      </c>
      <c r="C8" s="171">
        <v>42738</v>
      </c>
      <c r="D8" s="178"/>
      <c r="E8" s="157" t="s">
        <v>309</v>
      </c>
      <c r="F8" s="223" t="s">
        <v>1033</v>
      </c>
      <c r="G8" s="223"/>
      <c r="H8" s="224" t="s">
        <v>1039</v>
      </c>
      <c r="I8" s="157"/>
      <c r="J8" s="172"/>
      <c r="K8" s="157"/>
      <c r="L8" s="223" t="s">
        <v>296</v>
      </c>
      <c r="M8" s="173"/>
      <c r="N8" s="173"/>
      <c r="O8" s="157" t="s">
        <v>307</v>
      </c>
      <c r="P8" s="158"/>
      <c r="Q8" s="185"/>
      <c r="R8" s="175"/>
      <c r="S8" s="174">
        <f t="shared" si="0"/>
        <v>0</v>
      </c>
      <c r="T8" s="157"/>
      <c r="U8" s="177">
        <v>-83.91</v>
      </c>
      <c r="V8" s="157"/>
      <c r="W8" s="157"/>
      <c r="X8" s="176">
        <f t="shared" si="1"/>
        <v>-83.91</v>
      </c>
      <c r="Y8" s="184"/>
      <c r="Z8" s="179"/>
      <c r="AA8" s="157"/>
      <c r="AB8" s="246" t="s">
        <v>1004</v>
      </c>
      <c r="AC8" s="248">
        <f>S474</f>
        <v>41877.929999999993</v>
      </c>
      <c r="AD8" s="249">
        <f>X474</f>
        <v>-24256.709999999995</v>
      </c>
      <c r="AE8" s="249">
        <f>AD8+AC8</f>
        <v>17621.219999999998</v>
      </c>
      <c r="AF8" s="247">
        <f>AE8/AC8</f>
        <v>0.42077581198497632</v>
      </c>
    </row>
    <row r="9" spans="1:33" ht="12" customHeight="1" outlineLevel="1">
      <c r="A9" s="170" t="s">
        <v>302</v>
      </c>
      <c r="B9" s="157" t="s">
        <v>303</v>
      </c>
      <c r="C9" s="171">
        <v>42738</v>
      </c>
      <c r="D9" s="178"/>
      <c r="E9" s="157" t="s">
        <v>310</v>
      </c>
      <c r="F9" s="223" t="s">
        <v>1033</v>
      </c>
      <c r="G9" s="223"/>
      <c r="H9" s="224" t="s">
        <v>1039</v>
      </c>
      <c r="I9" s="157"/>
      <c r="J9" s="172"/>
      <c r="K9" s="157"/>
      <c r="L9" s="223" t="s">
        <v>296</v>
      </c>
      <c r="M9" s="173"/>
      <c r="N9" s="173"/>
      <c r="O9" s="157" t="s">
        <v>307</v>
      </c>
      <c r="P9" s="158"/>
      <c r="Q9" s="185"/>
      <c r="R9" s="175"/>
      <c r="S9" s="174">
        <f t="shared" si="0"/>
        <v>0</v>
      </c>
      <c r="T9" s="157"/>
      <c r="U9" s="177">
        <v>-34.96</v>
      </c>
      <c r="V9" s="157"/>
      <c r="W9" s="157"/>
      <c r="X9" s="176">
        <f t="shared" si="1"/>
        <v>-34.96</v>
      </c>
      <c r="Y9" s="184"/>
      <c r="Z9" s="179"/>
      <c r="AA9" s="157"/>
      <c r="AB9" s="246" t="s">
        <v>1005</v>
      </c>
      <c r="AC9" s="248">
        <v>47228.87</v>
      </c>
      <c r="AD9" s="249">
        <v>-16749.419999999995</v>
      </c>
      <c r="AE9" s="249">
        <v>30479.450000000008</v>
      </c>
      <c r="AF9" s="247">
        <v>0.64535632548481481</v>
      </c>
    </row>
    <row r="10" spans="1:33" ht="12" customHeight="1" outlineLevel="1">
      <c r="A10" s="170" t="s">
        <v>302</v>
      </c>
      <c r="B10" s="157" t="s">
        <v>303</v>
      </c>
      <c r="C10" s="171">
        <v>42738</v>
      </c>
      <c r="D10" s="178"/>
      <c r="E10" s="157" t="s">
        <v>311</v>
      </c>
      <c r="F10" s="223" t="s">
        <v>1033</v>
      </c>
      <c r="G10" s="223"/>
      <c r="H10" s="224" t="s">
        <v>1039</v>
      </c>
      <c r="I10" s="157"/>
      <c r="J10" s="172"/>
      <c r="K10" s="157"/>
      <c r="L10" s="223" t="s">
        <v>296</v>
      </c>
      <c r="M10" s="173"/>
      <c r="N10" s="173"/>
      <c r="O10" s="157" t="s">
        <v>307</v>
      </c>
      <c r="P10" s="158"/>
      <c r="Q10" s="185"/>
      <c r="R10" s="175"/>
      <c r="S10" s="174">
        <f t="shared" si="0"/>
        <v>0</v>
      </c>
      <c r="T10" s="157"/>
      <c r="U10" s="177">
        <v>-58.94</v>
      </c>
      <c r="V10" s="157"/>
      <c r="W10" s="157"/>
      <c r="X10" s="176">
        <f t="shared" si="1"/>
        <v>-58.94</v>
      </c>
      <c r="Y10" s="184"/>
      <c r="Z10" s="179"/>
      <c r="AA10" s="157"/>
      <c r="AB10" s="246" t="s">
        <v>1006</v>
      </c>
      <c r="AC10" s="248">
        <v>24908.639999999999</v>
      </c>
      <c r="AD10" s="249">
        <v>-19626.91</v>
      </c>
      <c r="AE10" s="249">
        <v>5281.73</v>
      </c>
      <c r="AF10" s="247">
        <v>0.21204409393688292</v>
      </c>
    </row>
    <row r="11" spans="1:33" ht="12" customHeight="1" outlineLevel="1">
      <c r="A11" s="170" t="s">
        <v>302</v>
      </c>
      <c r="B11" s="157" t="s">
        <v>303</v>
      </c>
      <c r="C11" s="171">
        <v>42738</v>
      </c>
      <c r="D11" s="178"/>
      <c r="E11" s="157" t="s">
        <v>312</v>
      </c>
      <c r="F11" s="223" t="s">
        <v>1033</v>
      </c>
      <c r="G11" s="223"/>
      <c r="H11" s="224" t="s">
        <v>1039</v>
      </c>
      <c r="I11" s="157"/>
      <c r="J11" s="172"/>
      <c r="K11" s="157"/>
      <c r="L11" s="223" t="s">
        <v>296</v>
      </c>
      <c r="M11" s="173"/>
      <c r="N11" s="173"/>
      <c r="O11" s="157" t="s">
        <v>307</v>
      </c>
      <c r="P11" s="158"/>
      <c r="Q11" s="185"/>
      <c r="R11" s="175"/>
      <c r="S11" s="174">
        <f t="shared" si="0"/>
        <v>0</v>
      </c>
      <c r="T11" s="157"/>
      <c r="U11" s="177">
        <v>-104.21</v>
      </c>
      <c r="V11" s="157"/>
      <c r="W11" s="157"/>
      <c r="X11" s="176">
        <f t="shared" si="1"/>
        <v>-104.21</v>
      </c>
      <c r="Y11" s="184"/>
      <c r="Z11" s="179"/>
      <c r="AA11" s="157"/>
      <c r="AB11" s="246" t="s">
        <v>1007</v>
      </c>
      <c r="AC11" s="248">
        <v>34075.49</v>
      </c>
      <c r="AD11" s="249">
        <v>-18740.89</v>
      </c>
      <c r="AE11" s="249">
        <v>15334.599999999999</v>
      </c>
      <c r="AF11" s="247">
        <v>0.45001847368885961</v>
      </c>
      <c r="AG11" s="254"/>
    </row>
    <row r="12" spans="1:33" ht="12" customHeight="1" outlineLevel="1">
      <c r="A12" s="170" t="s">
        <v>302</v>
      </c>
      <c r="B12" s="157" t="s">
        <v>303</v>
      </c>
      <c r="C12" s="171">
        <v>42738</v>
      </c>
      <c r="D12" s="178"/>
      <c r="E12" s="157" t="s">
        <v>313</v>
      </c>
      <c r="F12" s="223" t="s">
        <v>1033</v>
      </c>
      <c r="G12" s="223"/>
      <c r="H12" s="224" t="s">
        <v>1039</v>
      </c>
      <c r="I12" s="157" t="s">
        <v>1009</v>
      </c>
      <c r="J12" s="157" t="s">
        <v>1009</v>
      </c>
      <c r="K12" s="157" t="s">
        <v>1009</v>
      </c>
      <c r="L12" s="223" t="s">
        <v>296</v>
      </c>
      <c r="M12" s="173"/>
      <c r="N12" s="173"/>
      <c r="O12" s="157" t="s">
        <v>271</v>
      </c>
      <c r="P12" s="158">
        <v>1903.46</v>
      </c>
      <c r="Q12" s="185"/>
      <c r="R12" s="175"/>
      <c r="S12" s="174">
        <f t="shared" si="0"/>
        <v>1903.46</v>
      </c>
      <c r="T12" s="157"/>
      <c r="U12" s="177"/>
      <c r="V12" s="157"/>
      <c r="W12" s="157"/>
      <c r="X12" s="176">
        <f t="shared" si="1"/>
        <v>0</v>
      </c>
      <c r="Y12" s="184"/>
      <c r="Z12" s="179"/>
      <c r="AA12" s="157"/>
      <c r="AB12" s="250" t="s">
        <v>131</v>
      </c>
      <c r="AC12" s="251">
        <v>264219.93</v>
      </c>
      <c r="AD12" s="251">
        <v>-129381.87</v>
      </c>
      <c r="AE12" s="251">
        <v>134838.06000000003</v>
      </c>
      <c r="AF12" s="252">
        <v>0.51032509167646822</v>
      </c>
    </row>
    <row r="13" spans="1:33" ht="12" customHeight="1" outlineLevel="1">
      <c r="A13" s="170" t="s">
        <v>302</v>
      </c>
      <c r="B13" s="157" t="s">
        <v>303</v>
      </c>
      <c r="C13" s="171">
        <v>42738</v>
      </c>
      <c r="D13" s="178"/>
      <c r="E13" s="157" t="s">
        <v>314</v>
      </c>
      <c r="F13" s="223" t="s">
        <v>1033</v>
      </c>
      <c r="G13" s="223"/>
      <c r="H13" s="224" t="s">
        <v>1039</v>
      </c>
      <c r="I13" s="157" t="s">
        <v>1009</v>
      </c>
      <c r="J13" s="157" t="s">
        <v>1009</v>
      </c>
      <c r="K13" s="157" t="s">
        <v>1009</v>
      </c>
      <c r="L13" s="223" t="s">
        <v>296</v>
      </c>
      <c r="M13" s="173"/>
      <c r="N13" s="173"/>
      <c r="O13" s="157" t="s">
        <v>271</v>
      </c>
      <c r="P13" s="158">
        <v>1592.96</v>
      </c>
      <c r="Q13" s="185"/>
      <c r="R13" s="175"/>
      <c r="S13" s="174">
        <f t="shared" si="0"/>
        <v>1592.96</v>
      </c>
      <c r="T13" s="157"/>
      <c r="U13" s="177"/>
      <c r="V13" s="157"/>
      <c r="W13" s="157"/>
      <c r="X13" s="176">
        <f t="shared" si="1"/>
        <v>0</v>
      </c>
      <c r="Y13" s="184"/>
      <c r="Z13" s="179"/>
      <c r="AA13" s="157"/>
      <c r="AB13" s="157"/>
      <c r="AC13" s="157"/>
    </row>
    <row r="14" spans="1:33" ht="12" customHeight="1" outlineLevel="1">
      <c r="A14" s="170" t="s">
        <v>302</v>
      </c>
      <c r="B14" s="157" t="s">
        <v>303</v>
      </c>
      <c r="C14" s="171">
        <v>42738</v>
      </c>
      <c r="D14" s="178"/>
      <c r="E14" s="157" t="s">
        <v>315</v>
      </c>
      <c r="F14" s="223" t="s">
        <v>1033</v>
      </c>
      <c r="G14" s="223"/>
      <c r="H14" s="224" t="s">
        <v>1039</v>
      </c>
      <c r="I14" s="157" t="s">
        <v>1009</v>
      </c>
      <c r="J14" s="157" t="s">
        <v>1009</v>
      </c>
      <c r="K14" s="157" t="s">
        <v>1009</v>
      </c>
      <c r="L14" s="223" t="s">
        <v>296</v>
      </c>
      <c r="M14" s="173"/>
      <c r="N14" s="173"/>
      <c r="O14" s="157" t="s">
        <v>271</v>
      </c>
      <c r="P14" s="158">
        <v>1519.05</v>
      </c>
      <c r="Q14" s="185"/>
      <c r="R14" s="175"/>
      <c r="S14" s="174">
        <f t="shared" si="0"/>
        <v>1519.05</v>
      </c>
      <c r="T14" s="157"/>
      <c r="U14" s="177"/>
      <c r="V14" s="157"/>
      <c r="W14" s="157"/>
      <c r="X14" s="176">
        <f t="shared" si="1"/>
        <v>0</v>
      </c>
      <c r="Y14" s="184"/>
      <c r="Z14" s="179"/>
      <c r="AA14" s="157"/>
      <c r="AB14" s="157"/>
      <c r="AC14" s="175"/>
    </row>
    <row r="15" spans="1:33" ht="12" customHeight="1" outlineLevel="1">
      <c r="A15" s="170" t="s">
        <v>302</v>
      </c>
      <c r="B15" s="157" t="s">
        <v>303</v>
      </c>
      <c r="C15" s="171">
        <v>42738</v>
      </c>
      <c r="D15" s="178"/>
      <c r="E15" s="157" t="s">
        <v>316</v>
      </c>
      <c r="F15" s="223" t="s">
        <v>1033</v>
      </c>
      <c r="G15" s="223"/>
      <c r="H15" s="224" t="s">
        <v>1039</v>
      </c>
      <c r="I15" s="157" t="s">
        <v>1009</v>
      </c>
      <c r="J15" s="157" t="s">
        <v>1009</v>
      </c>
      <c r="K15" s="157" t="s">
        <v>1009</v>
      </c>
      <c r="L15" s="223" t="s">
        <v>296</v>
      </c>
      <c r="M15" s="173"/>
      <c r="N15" s="173"/>
      <c r="O15" s="157" t="s">
        <v>271</v>
      </c>
      <c r="P15" s="158">
        <v>322.87</v>
      </c>
      <c r="Q15" s="185"/>
      <c r="R15" s="175"/>
      <c r="S15" s="174">
        <f t="shared" si="0"/>
        <v>322.87</v>
      </c>
      <c r="T15" s="157"/>
      <c r="U15" s="177"/>
      <c r="V15" s="157"/>
      <c r="W15" s="157"/>
      <c r="X15" s="176">
        <f t="shared" si="1"/>
        <v>0</v>
      </c>
      <c r="Y15" s="184"/>
      <c r="Z15" s="179"/>
      <c r="AA15" s="157"/>
      <c r="AB15" s="157"/>
      <c r="AC15" s="157"/>
    </row>
    <row r="16" spans="1:33" ht="12" customHeight="1" outlineLevel="1">
      <c r="A16" s="170" t="s">
        <v>302</v>
      </c>
      <c r="B16" s="157" t="s">
        <v>303</v>
      </c>
      <c r="C16" s="171">
        <v>42738</v>
      </c>
      <c r="D16" s="178"/>
      <c r="E16" s="157" t="s">
        <v>317</v>
      </c>
      <c r="F16" s="223" t="s">
        <v>1033</v>
      </c>
      <c r="G16" s="223"/>
      <c r="H16" s="224" t="s">
        <v>1039</v>
      </c>
      <c r="I16" s="157" t="s">
        <v>1009</v>
      </c>
      <c r="J16" s="157" t="s">
        <v>1009</v>
      </c>
      <c r="K16" s="157" t="s">
        <v>1009</v>
      </c>
      <c r="L16" s="223" t="s">
        <v>296</v>
      </c>
      <c r="M16" s="173"/>
      <c r="N16" s="173"/>
      <c r="O16" s="157" t="s">
        <v>271</v>
      </c>
      <c r="P16" s="158">
        <v>20</v>
      </c>
      <c r="Q16" s="185"/>
      <c r="R16" s="175"/>
      <c r="S16" s="174">
        <f t="shared" si="0"/>
        <v>20</v>
      </c>
      <c r="T16" s="157"/>
      <c r="U16" s="177"/>
      <c r="V16" s="157"/>
      <c r="W16" s="157"/>
      <c r="X16" s="176">
        <f t="shared" si="1"/>
        <v>0</v>
      </c>
      <c r="Y16" s="184"/>
      <c r="Z16" s="179"/>
      <c r="AA16" s="157"/>
      <c r="AB16" s="157"/>
      <c r="AC16" s="177"/>
    </row>
    <row r="17" spans="1:29" ht="12" customHeight="1" outlineLevel="1">
      <c r="A17" s="170" t="s">
        <v>302</v>
      </c>
      <c r="B17" s="157" t="s">
        <v>303</v>
      </c>
      <c r="C17" s="171">
        <v>42739</v>
      </c>
      <c r="D17" s="178"/>
      <c r="E17" s="157" t="s">
        <v>304</v>
      </c>
      <c r="F17" s="223" t="s">
        <v>1033</v>
      </c>
      <c r="G17" s="223"/>
      <c r="H17" s="224" t="s">
        <v>1039</v>
      </c>
      <c r="I17" s="157"/>
      <c r="J17" s="172"/>
      <c r="K17" s="157"/>
      <c r="L17" s="223" t="s">
        <v>296</v>
      </c>
      <c r="M17" s="173"/>
      <c r="N17" s="173"/>
      <c r="O17" s="157" t="s">
        <v>308</v>
      </c>
      <c r="P17" s="158"/>
      <c r="Q17" s="185"/>
      <c r="R17" s="175"/>
      <c r="S17" s="174">
        <f t="shared" si="0"/>
        <v>0</v>
      </c>
      <c r="T17" s="157"/>
      <c r="U17" s="177">
        <v>-343.75</v>
      </c>
      <c r="V17" s="157"/>
      <c r="W17" s="157"/>
      <c r="X17" s="176">
        <f t="shared" si="1"/>
        <v>-343.75</v>
      </c>
      <c r="Y17" s="184"/>
      <c r="Z17" s="179"/>
      <c r="AA17" s="157"/>
      <c r="AB17" s="157"/>
      <c r="AC17" s="157"/>
    </row>
    <row r="18" spans="1:29" ht="12" customHeight="1" outlineLevel="1">
      <c r="A18" s="170" t="s">
        <v>302</v>
      </c>
      <c r="B18" s="157" t="s">
        <v>303</v>
      </c>
      <c r="C18" s="171">
        <v>42739</v>
      </c>
      <c r="D18" s="178"/>
      <c r="E18" s="157" t="s">
        <v>304</v>
      </c>
      <c r="F18" s="223" t="s">
        <v>1033</v>
      </c>
      <c r="G18" s="223"/>
      <c r="H18" s="224" t="s">
        <v>1039</v>
      </c>
      <c r="I18" s="157"/>
      <c r="J18" s="172"/>
      <c r="K18" s="157"/>
      <c r="L18" s="223" t="s">
        <v>296</v>
      </c>
      <c r="M18" s="173"/>
      <c r="N18" s="173"/>
      <c r="O18" s="157" t="s">
        <v>308</v>
      </c>
      <c r="P18" s="158"/>
      <c r="Q18" s="185"/>
      <c r="R18" s="175"/>
      <c r="S18" s="174">
        <f t="shared" si="0"/>
        <v>0</v>
      </c>
      <c r="T18" s="157"/>
      <c r="U18" s="177">
        <v>-365</v>
      </c>
      <c r="V18" s="157"/>
      <c r="W18" s="157"/>
      <c r="X18" s="176">
        <f t="shared" si="1"/>
        <v>-365</v>
      </c>
      <c r="Y18" s="184"/>
      <c r="Z18" s="179"/>
      <c r="AA18" s="157"/>
      <c r="AB18" s="157"/>
      <c r="AC18" s="157"/>
    </row>
    <row r="19" spans="1:29" ht="12" customHeight="1" outlineLevel="1">
      <c r="A19" s="170" t="s">
        <v>302</v>
      </c>
      <c r="B19" s="157" t="s">
        <v>303</v>
      </c>
      <c r="C19" s="171">
        <v>42739</v>
      </c>
      <c r="D19" s="178"/>
      <c r="E19" s="157" t="s">
        <v>318</v>
      </c>
      <c r="F19" s="223" t="s">
        <v>1033</v>
      </c>
      <c r="G19" s="223"/>
      <c r="H19" s="224" t="s">
        <v>1039</v>
      </c>
      <c r="I19" s="157"/>
      <c r="J19" s="172"/>
      <c r="K19" s="157"/>
      <c r="L19" s="223" t="s">
        <v>296</v>
      </c>
      <c r="M19" s="173"/>
      <c r="N19" s="173"/>
      <c r="O19" s="157" t="s">
        <v>307</v>
      </c>
      <c r="P19" s="158"/>
      <c r="Q19" s="185"/>
      <c r="R19" s="175"/>
      <c r="S19" s="174">
        <f t="shared" si="0"/>
        <v>0</v>
      </c>
      <c r="T19" s="157"/>
      <c r="U19" s="177">
        <v>-9.7799999999999994</v>
      </c>
      <c r="V19" s="157"/>
      <c r="W19" s="157"/>
      <c r="X19" s="176">
        <f t="shared" si="1"/>
        <v>-9.7799999999999994</v>
      </c>
      <c r="Y19" s="184"/>
      <c r="Z19" s="179"/>
      <c r="AA19" s="157"/>
      <c r="AB19" s="157"/>
      <c r="AC19" s="157"/>
    </row>
    <row r="20" spans="1:29" ht="12" customHeight="1" outlineLevel="1">
      <c r="A20" s="170" t="s">
        <v>302</v>
      </c>
      <c r="B20" s="157" t="s">
        <v>303</v>
      </c>
      <c r="C20" s="171">
        <v>42739</v>
      </c>
      <c r="D20" s="178"/>
      <c r="E20" s="157" t="s">
        <v>319</v>
      </c>
      <c r="F20" s="223" t="s">
        <v>1033</v>
      </c>
      <c r="G20" s="223"/>
      <c r="H20" s="224" t="s">
        <v>1039</v>
      </c>
      <c r="I20" s="157"/>
      <c r="J20" s="172"/>
      <c r="K20" s="157"/>
      <c r="L20" s="223" t="s">
        <v>296</v>
      </c>
      <c r="M20" s="173"/>
      <c r="N20" s="173"/>
      <c r="O20" s="157" t="s">
        <v>307</v>
      </c>
      <c r="P20" s="158"/>
      <c r="Q20" s="185"/>
      <c r="R20" s="175"/>
      <c r="S20" s="174">
        <f t="shared" si="0"/>
        <v>0</v>
      </c>
      <c r="T20" s="157"/>
      <c r="U20" s="177">
        <v>-18.98</v>
      </c>
      <c r="V20" s="157"/>
      <c r="W20" s="157"/>
      <c r="X20" s="176">
        <f t="shared" si="1"/>
        <v>-18.98</v>
      </c>
      <c r="Y20" s="184"/>
      <c r="Z20" s="179"/>
      <c r="AA20" s="157"/>
      <c r="AB20" s="157"/>
      <c r="AC20" s="157"/>
    </row>
    <row r="21" spans="1:29" ht="12" customHeight="1" outlineLevel="1">
      <c r="A21" s="170" t="s">
        <v>302</v>
      </c>
      <c r="B21" s="157" t="s">
        <v>303</v>
      </c>
      <c r="C21" s="171">
        <v>42739</v>
      </c>
      <c r="D21" s="178"/>
      <c r="E21" s="157" t="s">
        <v>320</v>
      </c>
      <c r="F21" s="223" t="s">
        <v>1033</v>
      </c>
      <c r="G21" s="223"/>
      <c r="H21" s="224" t="s">
        <v>1039</v>
      </c>
      <c r="I21" s="157" t="s">
        <v>1009</v>
      </c>
      <c r="J21" s="157" t="s">
        <v>1009</v>
      </c>
      <c r="K21" s="157" t="s">
        <v>1009</v>
      </c>
      <c r="L21" s="223" t="s">
        <v>296</v>
      </c>
      <c r="M21" s="173"/>
      <c r="N21" s="173"/>
      <c r="O21" s="157" t="s">
        <v>271</v>
      </c>
      <c r="P21" s="158">
        <v>1880.76</v>
      </c>
      <c r="Q21" s="185"/>
      <c r="R21" s="175"/>
      <c r="S21" s="174">
        <f t="shared" si="0"/>
        <v>1880.76</v>
      </c>
      <c r="T21" s="157"/>
      <c r="U21" s="177"/>
      <c r="V21" s="157"/>
      <c r="W21" s="157"/>
      <c r="X21" s="176">
        <f t="shared" si="1"/>
        <v>0</v>
      </c>
      <c r="Y21" s="184"/>
      <c r="Z21" s="179"/>
      <c r="AA21" s="157"/>
      <c r="AB21" s="157"/>
      <c r="AC21" s="157"/>
    </row>
    <row r="22" spans="1:29" ht="12" customHeight="1" outlineLevel="1">
      <c r="A22" s="170" t="s">
        <v>302</v>
      </c>
      <c r="B22" s="157" t="s">
        <v>303</v>
      </c>
      <c r="C22" s="171">
        <v>42739</v>
      </c>
      <c r="D22" s="178"/>
      <c r="E22" s="157" t="s">
        <v>321</v>
      </c>
      <c r="F22" s="223" t="s">
        <v>1033</v>
      </c>
      <c r="G22" s="223"/>
      <c r="H22" s="224" t="s">
        <v>1039</v>
      </c>
      <c r="I22" s="157" t="s">
        <v>1009</v>
      </c>
      <c r="J22" s="157" t="s">
        <v>1009</v>
      </c>
      <c r="K22" s="157" t="s">
        <v>1009</v>
      </c>
      <c r="L22" s="223" t="s">
        <v>296</v>
      </c>
      <c r="M22" s="173"/>
      <c r="N22" s="173"/>
      <c r="O22" s="157" t="s">
        <v>271</v>
      </c>
      <c r="P22" s="158">
        <v>797.65</v>
      </c>
      <c r="Q22" s="185"/>
      <c r="R22" s="175"/>
      <c r="S22" s="174">
        <f t="shared" si="0"/>
        <v>797.65</v>
      </c>
      <c r="T22" s="157"/>
      <c r="U22" s="177"/>
      <c r="V22" s="157"/>
      <c r="W22" s="157"/>
      <c r="X22" s="176">
        <f t="shared" si="1"/>
        <v>0</v>
      </c>
      <c r="Y22" s="184"/>
      <c r="Z22" s="179"/>
      <c r="AA22" s="157"/>
      <c r="AB22" s="157"/>
      <c r="AC22" s="157"/>
    </row>
    <row r="23" spans="1:29" ht="12" customHeight="1" outlineLevel="1">
      <c r="A23" s="170" t="s">
        <v>302</v>
      </c>
      <c r="B23" s="157" t="s">
        <v>303</v>
      </c>
      <c r="C23" s="171">
        <v>42740</v>
      </c>
      <c r="D23" s="178"/>
      <c r="E23" s="157" t="s">
        <v>322</v>
      </c>
      <c r="F23" s="223" t="s">
        <v>1033</v>
      </c>
      <c r="G23" s="223"/>
      <c r="H23" s="224" t="s">
        <v>1039</v>
      </c>
      <c r="I23" s="157"/>
      <c r="J23" s="172"/>
      <c r="K23" s="157"/>
      <c r="L23" s="223" t="s">
        <v>296</v>
      </c>
      <c r="M23" s="173"/>
      <c r="N23" s="173"/>
      <c r="O23" s="157" t="s">
        <v>307</v>
      </c>
      <c r="P23" s="158"/>
      <c r="Q23" s="185"/>
      <c r="R23" s="175"/>
      <c r="S23" s="174">
        <f t="shared" si="0"/>
        <v>0</v>
      </c>
      <c r="T23" s="157"/>
      <c r="U23" s="177">
        <v>-70.23</v>
      </c>
      <c r="V23" s="157"/>
      <c r="W23" s="157"/>
      <c r="X23" s="176">
        <f t="shared" si="1"/>
        <v>-70.23</v>
      </c>
      <c r="Y23" s="184"/>
      <c r="Z23" s="179"/>
      <c r="AA23" s="157"/>
      <c r="AB23" s="157"/>
      <c r="AC23" s="157"/>
    </row>
    <row r="24" spans="1:29" ht="12" customHeight="1" outlineLevel="1">
      <c r="A24" s="170" t="s">
        <v>302</v>
      </c>
      <c r="B24" s="157" t="s">
        <v>303</v>
      </c>
      <c r="C24" s="171">
        <v>42740</v>
      </c>
      <c r="D24" s="178"/>
      <c r="E24" s="157" t="s">
        <v>323</v>
      </c>
      <c r="F24" s="223" t="s">
        <v>1033</v>
      </c>
      <c r="G24" s="223"/>
      <c r="H24" s="224" t="s">
        <v>1039</v>
      </c>
      <c r="I24" s="157"/>
      <c r="J24" s="172"/>
      <c r="K24" s="157"/>
      <c r="L24" s="223" t="s">
        <v>296</v>
      </c>
      <c r="M24" s="173"/>
      <c r="N24" s="173"/>
      <c r="O24" s="157" t="s">
        <v>307</v>
      </c>
      <c r="P24" s="158"/>
      <c r="Q24" s="185"/>
      <c r="R24" s="175"/>
      <c r="S24" s="174">
        <f t="shared" si="0"/>
        <v>0</v>
      </c>
      <c r="T24" s="157"/>
      <c r="U24" s="177">
        <v>-334.81</v>
      </c>
      <c r="V24" s="157"/>
      <c r="W24" s="157"/>
      <c r="X24" s="176">
        <f t="shared" si="1"/>
        <v>-334.81</v>
      </c>
      <c r="Y24" s="184"/>
      <c r="Z24" s="179"/>
      <c r="AA24" s="157"/>
      <c r="AB24" s="157"/>
      <c r="AC24" s="157"/>
    </row>
    <row r="25" spans="1:29" ht="12" customHeight="1" outlineLevel="1">
      <c r="A25" s="170" t="s">
        <v>302</v>
      </c>
      <c r="B25" s="157" t="s">
        <v>303</v>
      </c>
      <c r="C25" s="171">
        <v>42740</v>
      </c>
      <c r="D25" s="178"/>
      <c r="E25" s="157" t="s">
        <v>324</v>
      </c>
      <c r="F25" s="223" t="s">
        <v>1033</v>
      </c>
      <c r="G25" s="223"/>
      <c r="H25" s="224" t="s">
        <v>1039</v>
      </c>
      <c r="I25" s="157"/>
      <c r="J25" s="172"/>
      <c r="K25" s="157"/>
      <c r="L25" s="223" t="s">
        <v>296</v>
      </c>
      <c r="M25" s="173"/>
      <c r="N25" s="173"/>
      <c r="O25" s="157" t="s">
        <v>307</v>
      </c>
      <c r="P25" s="158"/>
      <c r="Q25" s="185"/>
      <c r="R25" s="175"/>
      <c r="S25" s="174">
        <f t="shared" si="0"/>
        <v>0</v>
      </c>
      <c r="T25" s="157"/>
      <c r="U25" s="177">
        <v>-49.75</v>
      </c>
      <c r="V25" s="157"/>
      <c r="W25" s="157"/>
      <c r="X25" s="176">
        <f t="shared" si="1"/>
        <v>-49.75</v>
      </c>
      <c r="Y25" s="184"/>
      <c r="Z25" s="179"/>
      <c r="AA25" s="157"/>
      <c r="AB25" s="157"/>
      <c r="AC25" s="157"/>
    </row>
    <row r="26" spans="1:29" ht="12" customHeight="1" outlineLevel="1">
      <c r="A26" s="170" t="s">
        <v>302</v>
      </c>
      <c r="B26" s="157" t="s">
        <v>303</v>
      </c>
      <c r="C26" s="171">
        <v>42740</v>
      </c>
      <c r="D26" s="178"/>
      <c r="E26" s="157" t="s">
        <v>325</v>
      </c>
      <c r="F26" s="223" t="s">
        <v>1033</v>
      </c>
      <c r="G26" s="223"/>
      <c r="H26" s="224" t="s">
        <v>1039</v>
      </c>
      <c r="I26" s="157"/>
      <c r="J26" s="172"/>
      <c r="K26" s="157"/>
      <c r="L26" s="223" t="s">
        <v>296</v>
      </c>
      <c r="M26" s="173"/>
      <c r="N26" s="173"/>
      <c r="O26" s="157" t="s">
        <v>307</v>
      </c>
      <c r="P26" s="158"/>
      <c r="Q26" s="185"/>
      <c r="R26" s="175"/>
      <c r="S26" s="174">
        <f t="shared" si="0"/>
        <v>0</v>
      </c>
      <c r="T26" s="157"/>
      <c r="U26" s="177">
        <v>-123.48</v>
      </c>
      <c r="V26" s="157"/>
      <c r="W26" s="157"/>
      <c r="X26" s="176">
        <f t="shared" si="1"/>
        <v>-123.48</v>
      </c>
      <c r="Y26" s="184"/>
      <c r="Z26" s="179"/>
      <c r="AA26" s="157"/>
      <c r="AB26" s="157"/>
      <c r="AC26" s="157"/>
    </row>
    <row r="27" spans="1:29" ht="12" customHeight="1" outlineLevel="1">
      <c r="A27" s="170" t="s">
        <v>302</v>
      </c>
      <c r="B27" s="157" t="s">
        <v>303</v>
      </c>
      <c r="C27" s="171">
        <v>42740</v>
      </c>
      <c r="D27" s="178"/>
      <c r="E27" s="157" t="s">
        <v>326</v>
      </c>
      <c r="F27" s="223" t="s">
        <v>1033</v>
      </c>
      <c r="G27" s="223"/>
      <c r="H27" s="224" t="s">
        <v>1039</v>
      </c>
      <c r="I27" s="157"/>
      <c r="J27" s="172"/>
      <c r="K27" s="157"/>
      <c r="L27" s="223" t="s">
        <v>296</v>
      </c>
      <c r="M27" s="173"/>
      <c r="N27" s="173"/>
      <c r="O27" s="157" t="s">
        <v>307</v>
      </c>
      <c r="P27" s="158"/>
      <c r="Q27" s="185"/>
      <c r="R27" s="175"/>
      <c r="S27" s="174">
        <f t="shared" si="0"/>
        <v>0</v>
      </c>
      <c r="T27" s="157"/>
      <c r="U27" s="177">
        <v>-147.33000000000001</v>
      </c>
      <c r="V27" s="157"/>
      <c r="W27" s="157"/>
      <c r="X27" s="176">
        <f t="shared" si="1"/>
        <v>-147.33000000000001</v>
      </c>
      <c r="Y27" s="184"/>
      <c r="Z27" s="179"/>
      <c r="AA27" s="157"/>
      <c r="AB27" s="157"/>
      <c r="AC27" s="157"/>
    </row>
    <row r="28" spans="1:29" ht="12" customHeight="1" outlineLevel="1">
      <c r="A28" s="170" t="s">
        <v>302</v>
      </c>
      <c r="B28" s="157" t="s">
        <v>303</v>
      </c>
      <c r="C28" s="171">
        <v>42740</v>
      </c>
      <c r="D28" s="178"/>
      <c r="E28" s="157" t="s">
        <v>327</v>
      </c>
      <c r="F28" s="223" t="s">
        <v>1033</v>
      </c>
      <c r="G28" s="223"/>
      <c r="H28" s="224" t="s">
        <v>1039</v>
      </c>
      <c r="I28" s="157" t="s">
        <v>1009</v>
      </c>
      <c r="J28" s="157" t="s">
        <v>1009</v>
      </c>
      <c r="K28" s="157" t="s">
        <v>1009</v>
      </c>
      <c r="L28" s="223" t="s">
        <v>296</v>
      </c>
      <c r="M28" s="173"/>
      <c r="N28" s="173"/>
      <c r="O28" s="157" t="s">
        <v>271</v>
      </c>
      <c r="P28" s="158">
        <v>1249.71</v>
      </c>
      <c r="Q28" s="185"/>
      <c r="R28" s="175"/>
      <c r="S28" s="174">
        <f t="shared" si="0"/>
        <v>1249.71</v>
      </c>
      <c r="T28" s="157"/>
      <c r="U28" s="177"/>
      <c r="V28" s="157"/>
      <c r="W28" s="157"/>
      <c r="X28" s="176">
        <f t="shared" si="1"/>
        <v>0</v>
      </c>
      <c r="Y28" s="184"/>
      <c r="Z28" s="179"/>
      <c r="AA28" s="157"/>
      <c r="AB28" s="157"/>
      <c r="AC28" s="157"/>
    </row>
    <row r="29" spans="1:29" ht="12" customHeight="1" outlineLevel="1">
      <c r="A29" s="170" t="s">
        <v>302</v>
      </c>
      <c r="B29" s="157" t="s">
        <v>303</v>
      </c>
      <c r="C29" s="171">
        <v>42740</v>
      </c>
      <c r="D29" s="178"/>
      <c r="E29" s="157" t="s">
        <v>328</v>
      </c>
      <c r="F29" s="223" t="s">
        <v>1033</v>
      </c>
      <c r="G29" s="223"/>
      <c r="H29" s="224" t="s">
        <v>1039</v>
      </c>
      <c r="I29" s="157" t="s">
        <v>1009</v>
      </c>
      <c r="J29" s="157" t="s">
        <v>1009</v>
      </c>
      <c r="K29" s="157" t="s">
        <v>1009</v>
      </c>
      <c r="L29" s="223" t="s">
        <v>296</v>
      </c>
      <c r="M29" s="173"/>
      <c r="N29" s="173"/>
      <c r="O29" s="157" t="s">
        <v>271</v>
      </c>
      <c r="P29" s="158">
        <v>67.400000000000006</v>
      </c>
      <c r="Q29" s="185"/>
      <c r="R29" s="175"/>
      <c r="S29" s="174">
        <f t="shared" si="0"/>
        <v>67.400000000000006</v>
      </c>
      <c r="T29" s="157"/>
      <c r="U29" s="177"/>
      <c r="V29" s="157"/>
      <c r="W29" s="157"/>
      <c r="X29" s="176">
        <f t="shared" si="1"/>
        <v>0</v>
      </c>
      <c r="Y29" s="184"/>
      <c r="Z29" s="179"/>
      <c r="AA29" s="157"/>
      <c r="AB29" s="157"/>
      <c r="AC29" s="157"/>
    </row>
    <row r="30" spans="1:29" ht="12" customHeight="1" outlineLevel="1">
      <c r="A30" s="170" t="s">
        <v>302</v>
      </c>
      <c r="B30" s="157" t="s">
        <v>303</v>
      </c>
      <c r="C30" s="171">
        <v>42741</v>
      </c>
      <c r="D30" s="178"/>
      <c r="E30" s="157" t="s">
        <v>329</v>
      </c>
      <c r="F30" s="223" t="s">
        <v>1033</v>
      </c>
      <c r="G30" s="223"/>
      <c r="H30" s="224" t="s">
        <v>1039</v>
      </c>
      <c r="I30" s="157"/>
      <c r="J30" s="172"/>
      <c r="K30" s="157"/>
      <c r="L30" s="223" t="s">
        <v>296</v>
      </c>
      <c r="M30" s="173"/>
      <c r="N30" s="173"/>
      <c r="O30" s="157" t="s">
        <v>307</v>
      </c>
      <c r="P30" s="158"/>
      <c r="Q30" s="185"/>
      <c r="R30" s="175"/>
      <c r="S30" s="174">
        <f t="shared" si="0"/>
        <v>0</v>
      </c>
      <c r="T30" s="157"/>
      <c r="U30" s="177">
        <v>-17.170000000000002</v>
      </c>
      <c r="V30" s="157"/>
      <c r="W30" s="157"/>
      <c r="X30" s="176">
        <f t="shared" si="1"/>
        <v>-17.170000000000002</v>
      </c>
      <c r="Y30" s="184"/>
      <c r="Z30" s="179"/>
      <c r="AA30" s="157"/>
      <c r="AB30" s="157"/>
      <c r="AC30" s="157"/>
    </row>
    <row r="31" spans="1:29" ht="12" customHeight="1" outlineLevel="1">
      <c r="A31" s="170" t="s">
        <v>302</v>
      </c>
      <c r="B31" s="157" t="s">
        <v>303</v>
      </c>
      <c r="C31" s="171">
        <v>42741</v>
      </c>
      <c r="D31" s="178"/>
      <c r="E31" s="157" t="s">
        <v>330</v>
      </c>
      <c r="F31" s="223" t="s">
        <v>1033</v>
      </c>
      <c r="G31" s="223"/>
      <c r="H31" s="224" t="s">
        <v>1039</v>
      </c>
      <c r="I31" s="157"/>
      <c r="J31" s="172"/>
      <c r="K31" s="157"/>
      <c r="L31" s="223" t="s">
        <v>296</v>
      </c>
      <c r="M31" s="173"/>
      <c r="N31" s="173"/>
      <c r="O31" s="157" t="s">
        <v>307</v>
      </c>
      <c r="P31" s="158"/>
      <c r="Q31" s="185"/>
      <c r="R31" s="175"/>
      <c r="S31" s="174">
        <f t="shared" si="0"/>
        <v>0</v>
      </c>
      <c r="T31" s="157"/>
      <c r="U31" s="177">
        <v>-60.83</v>
      </c>
      <c r="V31" s="157"/>
      <c r="W31" s="157"/>
      <c r="X31" s="176">
        <f t="shared" si="1"/>
        <v>-60.83</v>
      </c>
      <c r="Y31" s="184"/>
      <c r="Z31" s="179"/>
      <c r="AA31" s="157"/>
      <c r="AB31" s="157"/>
      <c r="AC31" s="157"/>
    </row>
    <row r="32" spans="1:29" ht="12" customHeight="1" outlineLevel="1">
      <c r="A32" s="170" t="s">
        <v>302</v>
      </c>
      <c r="B32" s="157" t="s">
        <v>303</v>
      </c>
      <c r="C32" s="171">
        <v>42741</v>
      </c>
      <c r="D32" s="178"/>
      <c r="E32" s="157" t="s">
        <v>331</v>
      </c>
      <c r="F32" s="223" t="s">
        <v>1033</v>
      </c>
      <c r="G32" s="223"/>
      <c r="H32" s="224" t="s">
        <v>1039</v>
      </c>
      <c r="I32" s="157"/>
      <c r="J32" s="172"/>
      <c r="K32" s="157"/>
      <c r="L32" s="223" t="s">
        <v>296</v>
      </c>
      <c r="M32" s="173"/>
      <c r="N32" s="173"/>
      <c r="O32" s="157" t="s">
        <v>307</v>
      </c>
      <c r="P32" s="158"/>
      <c r="Q32" s="185"/>
      <c r="R32" s="175"/>
      <c r="S32" s="174">
        <f t="shared" si="0"/>
        <v>0</v>
      </c>
      <c r="T32" s="157"/>
      <c r="U32" s="177">
        <v>-179</v>
      </c>
      <c r="V32" s="157"/>
      <c r="W32" s="157"/>
      <c r="X32" s="176">
        <f t="shared" si="1"/>
        <v>-179</v>
      </c>
      <c r="Y32" s="184"/>
      <c r="Z32" s="179"/>
      <c r="AA32" s="157"/>
      <c r="AB32" s="157"/>
      <c r="AC32" s="157"/>
    </row>
    <row r="33" spans="1:29" ht="12" customHeight="1" outlineLevel="1">
      <c r="A33" s="170" t="s">
        <v>302</v>
      </c>
      <c r="B33" s="157" t="s">
        <v>303</v>
      </c>
      <c r="C33" s="171">
        <v>42741</v>
      </c>
      <c r="D33" s="178"/>
      <c r="E33" s="157" t="s">
        <v>332</v>
      </c>
      <c r="F33" s="223" t="s">
        <v>1033</v>
      </c>
      <c r="G33" s="223"/>
      <c r="H33" s="224" t="s">
        <v>1039</v>
      </c>
      <c r="I33" s="157" t="s">
        <v>1009</v>
      </c>
      <c r="J33" s="157" t="s">
        <v>1009</v>
      </c>
      <c r="K33" s="157" t="s">
        <v>1009</v>
      </c>
      <c r="L33" s="223" t="s">
        <v>296</v>
      </c>
      <c r="M33" s="173"/>
      <c r="N33" s="173"/>
      <c r="O33" s="157" t="s">
        <v>271</v>
      </c>
      <c r="P33" s="158">
        <v>758.13</v>
      </c>
      <c r="Q33" s="185"/>
      <c r="R33" s="175"/>
      <c r="S33" s="174">
        <f t="shared" si="0"/>
        <v>758.13</v>
      </c>
      <c r="T33" s="157"/>
      <c r="U33" s="177"/>
      <c r="V33" s="157"/>
      <c r="W33" s="157"/>
      <c r="X33" s="176">
        <f t="shared" si="1"/>
        <v>0</v>
      </c>
      <c r="Y33" s="184"/>
      <c r="Z33" s="179"/>
      <c r="AA33" s="157"/>
      <c r="AB33" s="157"/>
      <c r="AC33" s="157"/>
    </row>
    <row r="34" spans="1:29" ht="12" customHeight="1" outlineLevel="1">
      <c r="A34" s="170" t="s">
        <v>302</v>
      </c>
      <c r="B34" s="157" t="s">
        <v>303</v>
      </c>
      <c r="C34" s="171">
        <v>42744</v>
      </c>
      <c r="D34" s="178"/>
      <c r="E34" s="157" t="s">
        <v>304</v>
      </c>
      <c r="F34" s="223" t="s">
        <v>1033</v>
      </c>
      <c r="G34" s="223"/>
      <c r="H34" s="224" t="s">
        <v>1039</v>
      </c>
      <c r="I34" s="157"/>
      <c r="J34" s="172"/>
      <c r="K34" s="157"/>
      <c r="L34" s="223" t="s">
        <v>296</v>
      </c>
      <c r="M34" s="173"/>
      <c r="N34" s="173"/>
      <c r="O34" s="157" t="s">
        <v>308</v>
      </c>
      <c r="P34" s="158"/>
      <c r="Q34" s="185"/>
      <c r="R34" s="175"/>
      <c r="S34" s="174">
        <f t="shared" si="0"/>
        <v>0</v>
      </c>
      <c r="T34" s="157"/>
      <c r="U34" s="177">
        <v>-411.66</v>
      </c>
      <c r="V34" s="157"/>
      <c r="W34" s="157"/>
      <c r="X34" s="176">
        <f t="shared" si="1"/>
        <v>-411.66</v>
      </c>
      <c r="Y34" s="184"/>
      <c r="Z34" s="179"/>
      <c r="AA34" s="157"/>
      <c r="AB34" s="157"/>
      <c r="AC34" s="157"/>
    </row>
    <row r="35" spans="1:29" ht="12" customHeight="1" outlineLevel="1">
      <c r="A35" s="170" t="s">
        <v>302</v>
      </c>
      <c r="B35" s="157" t="s">
        <v>303</v>
      </c>
      <c r="C35" s="171">
        <v>42744</v>
      </c>
      <c r="D35" s="178"/>
      <c r="E35" s="157" t="s">
        <v>304</v>
      </c>
      <c r="F35" s="223" t="s">
        <v>1033</v>
      </c>
      <c r="G35" s="223"/>
      <c r="H35" s="224" t="s">
        <v>1039</v>
      </c>
      <c r="I35" s="157"/>
      <c r="J35" s="172"/>
      <c r="K35" s="157"/>
      <c r="L35" s="223" t="s">
        <v>296</v>
      </c>
      <c r="M35" s="173"/>
      <c r="N35" s="173"/>
      <c r="O35" s="157" t="s">
        <v>308</v>
      </c>
      <c r="P35" s="158"/>
      <c r="Q35" s="185"/>
      <c r="R35" s="175"/>
      <c r="S35" s="174">
        <f t="shared" si="0"/>
        <v>0</v>
      </c>
      <c r="T35" s="157"/>
      <c r="U35" s="177">
        <v>-611.5</v>
      </c>
      <c r="V35" s="157"/>
      <c r="W35" s="157"/>
      <c r="X35" s="176">
        <f t="shared" si="1"/>
        <v>-611.5</v>
      </c>
      <c r="Y35" s="184"/>
      <c r="Z35" s="179"/>
      <c r="AA35" s="157"/>
      <c r="AB35" s="157"/>
      <c r="AC35" s="157"/>
    </row>
    <row r="36" spans="1:29" ht="12" customHeight="1" outlineLevel="1">
      <c r="A36" s="170" t="s">
        <v>302</v>
      </c>
      <c r="B36" s="157" t="s">
        <v>303</v>
      </c>
      <c r="C36" s="171">
        <v>42744</v>
      </c>
      <c r="D36" s="178"/>
      <c r="E36" s="157" t="s">
        <v>304</v>
      </c>
      <c r="F36" s="223" t="s">
        <v>1033</v>
      </c>
      <c r="G36" s="223"/>
      <c r="H36" s="224" t="s">
        <v>1039</v>
      </c>
      <c r="I36" s="157"/>
      <c r="J36" s="172"/>
      <c r="K36" s="157"/>
      <c r="L36" s="223" t="s">
        <v>296</v>
      </c>
      <c r="M36" s="173"/>
      <c r="N36" s="173"/>
      <c r="O36" s="157" t="s">
        <v>307</v>
      </c>
      <c r="P36" s="158"/>
      <c r="Q36" s="185"/>
      <c r="R36" s="175"/>
      <c r="S36" s="174">
        <f t="shared" si="0"/>
        <v>0</v>
      </c>
      <c r="T36" s="157"/>
      <c r="U36" s="177">
        <v>-1388.72</v>
      </c>
      <c r="V36" s="157"/>
      <c r="W36" s="157"/>
      <c r="X36" s="176">
        <f t="shared" si="1"/>
        <v>-1388.72</v>
      </c>
      <c r="Y36" s="184"/>
      <c r="Z36" s="179"/>
      <c r="AA36" s="157"/>
      <c r="AB36" s="157"/>
      <c r="AC36" s="157"/>
    </row>
    <row r="37" spans="1:29" ht="12" customHeight="1" outlineLevel="1">
      <c r="A37" s="170" t="s">
        <v>302</v>
      </c>
      <c r="B37" s="157" t="s">
        <v>303</v>
      </c>
      <c r="C37" s="171">
        <v>42744</v>
      </c>
      <c r="D37" s="178"/>
      <c r="E37" s="157" t="s">
        <v>333</v>
      </c>
      <c r="F37" s="223" t="s">
        <v>1033</v>
      </c>
      <c r="G37" s="223"/>
      <c r="H37" s="224" t="s">
        <v>1039</v>
      </c>
      <c r="I37" s="157"/>
      <c r="J37" s="172"/>
      <c r="K37" s="157"/>
      <c r="L37" s="223" t="s">
        <v>296</v>
      </c>
      <c r="M37" s="173"/>
      <c r="N37" s="173"/>
      <c r="O37" s="157" t="s">
        <v>307</v>
      </c>
      <c r="P37" s="158"/>
      <c r="Q37" s="185"/>
      <c r="R37" s="175"/>
      <c r="S37" s="174">
        <f t="shared" si="0"/>
        <v>0</v>
      </c>
      <c r="T37" s="157"/>
      <c r="U37" s="177">
        <v>-5.44</v>
      </c>
      <c r="V37" s="157"/>
      <c r="W37" s="157"/>
      <c r="X37" s="176">
        <f t="shared" si="1"/>
        <v>-5.44</v>
      </c>
      <c r="Y37" s="184"/>
      <c r="Z37" s="179"/>
      <c r="AA37" s="157"/>
      <c r="AB37" s="157"/>
      <c r="AC37" s="157"/>
    </row>
    <row r="38" spans="1:29" ht="12" customHeight="1" outlineLevel="1">
      <c r="A38" s="170" t="s">
        <v>302</v>
      </c>
      <c r="B38" s="157" t="s">
        <v>303</v>
      </c>
      <c r="C38" s="171">
        <v>42744</v>
      </c>
      <c r="D38" s="178"/>
      <c r="E38" s="157" t="s">
        <v>333</v>
      </c>
      <c r="F38" s="223" t="s">
        <v>1033</v>
      </c>
      <c r="G38" s="223"/>
      <c r="H38" s="224" t="s">
        <v>1039</v>
      </c>
      <c r="I38" s="157"/>
      <c r="J38" s="172"/>
      <c r="K38" s="157"/>
      <c r="L38" s="223" t="s">
        <v>296</v>
      </c>
      <c r="M38" s="173"/>
      <c r="N38" s="173"/>
      <c r="O38" s="157" t="s">
        <v>307</v>
      </c>
      <c r="P38" s="158"/>
      <c r="Q38" s="185"/>
      <c r="R38" s="175"/>
      <c r="S38" s="174">
        <f t="shared" si="0"/>
        <v>0</v>
      </c>
      <c r="T38" s="157"/>
      <c r="U38" s="177">
        <v>-34.729999999999997</v>
      </c>
      <c r="V38" s="157"/>
      <c r="W38" s="157"/>
      <c r="X38" s="176">
        <f t="shared" si="1"/>
        <v>-34.729999999999997</v>
      </c>
      <c r="Y38" s="184"/>
      <c r="Z38" s="179"/>
      <c r="AA38" s="157"/>
      <c r="AB38" s="157"/>
      <c r="AC38" s="157"/>
    </row>
    <row r="39" spans="1:29" ht="12" customHeight="1" outlineLevel="1">
      <c r="A39" s="170" t="s">
        <v>302</v>
      </c>
      <c r="B39" s="157" t="s">
        <v>303</v>
      </c>
      <c r="C39" s="171">
        <v>42744</v>
      </c>
      <c r="D39" s="178"/>
      <c r="E39" s="157" t="s">
        <v>334</v>
      </c>
      <c r="F39" s="223" t="s">
        <v>1033</v>
      </c>
      <c r="G39" s="223"/>
      <c r="H39" s="224" t="s">
        <v>1039</v>
      </c>
      <c r="I39" s="157"/>
      <c r="J39" s="172"/>
      <c r="K39" s="157"/>
      <c r="L39" s="223" t="s">
        <v>296</v>
      </c>
      <c r="M39" s="173"/>
      <c r="N39" s="173"/>
      <c r="O39" s="157" t="s">
        <v>307</v>
      </c>
      <c r="P39" s="158"/>
      <c r="Q39" s="185"/>
      <c r="R39" s="175"/>
      <c r="S39" s="174">
        <f t="shared" si="0"/>
        <v>0</v>
      </c>
      <c r="T39" s="157"/>
      <c r="U39" s="177">
        <v>-3.89</v>
      </c>
      <c r="V39" s="157"/>
      <c r="W39" s="157"/>
      <c r="X39" s="176">
        <f t="shared" si="1"/>
        <v>-3.89</v>
      </c>
      <c r="Y39" s="184"/>
      <c r="Z39" s="179"/>
      <c r="AA39" s="157"/>
      <c r="AB39" s="157"/>
      <c r="AC39" s="157"/>
    </row>
    <row r="40" spans="1:29" ht="12" customHeight="1" outlineLevel="1">
      <c r="A40" s="170" t="s">
        <v>302</v>
      </c>
      <c r="B40" s="157" t="s">
        <v>303</v>
      </c>
      <c r="C40" s="171">
        <v>42744</v>
      </c>
      <c r="D40" s="178"/>
      <c r="E40" s="157" t="s">
        <v>335</v>
      </c>
      <c r="F40" s="223" t="s">
        <v>1033</v>
      </c>
      <c r="G40" s="223"/>
      <c r="H40" s="224" t="s">
        <v>1039</v>
      </c>
      <c r="I40" s="157"/>
      <c r="J40" s="172"/>
      <c r="K40" s="157"/>
      <c r="L40" s="223" t="s">
        <v>296</v>
      </c>
      <c r="M40" s="173"/>
      <c r="N40" s="173"/>
      <c r="O40" s="157" t="s">
        <v>307</v>
      </c>
      <c r="P40" s="158"/>
      <c r="Q40" s="185"/>
      <c r="R40" s="175"/>
      <c r="S40" s="174">
        <f t="shared" si="0"/>
        <v>0</v>
      </c>
      <c r="T40" s="157"/>
      <c r="U40" s="177">
        <v>-81.040000000000006</v>
      </c>
      <c r="V40" s="157"/>
      <c r="W40" s="157"/>
      <c r="X40" s="176">
        <f t="shared" si="1"/>
        <v>-81.040000000000006</v>
      </c>
      <c r="Y40" s="184"/>
      <c r="Z40" s="179"/>
      <c r="AA40" s="157"/>
      <c r="AB40" s="157"/>
      <c r="AC40" s="157"/>
    </row>
    <row r="41" spans="1:29" ht="12" customHeight="1" outlineLevel="1">
      <c r="A41" s="170" t="s">
        <v>302</v>
      </c>
      <c r="B41" s="157" t="s">
        <v>303</v>
      </c>
      <c r="C41" s="171">
        <v>42744</v>
      </c>
      <c r="D41" s="178"/>
      <c r="E41" s="157" t="s">
        <v>336</v>
      </c>
      <c r="F41" s="223" t="s">
        <v>1033</v>
      </c>
      <c r="G41" s="223"/>
      <c r="H41" s="224" t="s">
        <v>1039</v>
      </c>
      <c r="I41" s="157"/>
      <c r="J41" s="172"/>
      <c r="K41" s="157"/>
      <c r="L41" s="223" t="s">
        <v>296</v>
      </c>
      <c r="M41" s="173"/>
      <c r="N41" s="173"/>
      <c r="O41" s="157" t="s">
        <v>307</v>
      </c>
      <c r="P41" s="158"/>
      <c r="Q41" s="185"/>
      <c r="R41" s="175"/>
      <c r="S41" s="174">
        <f t="shared" si="0"/>
        <v>0</v>
      </c>
      <c r="T41" s="157"/>
      <c r="U41" s="177">
        <v>-38.76</v>
      </c>
      <c r="V41" s="157"/>
      <c r="W41" s="157"/>
      <c r="X41" s="176">
        <f t="shared" si="1"/>
        <v>-38.76</v>
      </c>
      <c r="Y41" s="184"/>
      <c r="Z41" s="179"/>
      <c r="AA41" s="157"/>
      <c r="AB41" s="157"/>
      <c r="AC41" s="157"/>
    </row>
    <row r="42" spans="1:29" ht="12" customHeight="1" outlineLevel="1">
      <c r="A42" s="170" t="s">
        <v>302</v>
      </c>
      <c r="B42" s="157" t="s">
        <v>303</v>
      </c>
      <c r="C42" s="171">
        <v>42744</v>
      </c>
      <c r="D42" s="178"/>
      <c r="E42" s="157" t="s">
        <v>337</v>
      </c>
      <c r="F42" s="223" t="s">
        <v>1033</v>
      </c>
      <c r="G42" s="223"/>
      <c r="H42" s="224" t="s">
        <v>1039</v>
      </c>
      <c r="I42" s="157"/>
      <c r="J42" s="172"/>
      <c r="K42" s="157"/>
      <c r="L42" s="223" t="s">
        <v>296</v>
      </c>
      <c r="M42" s="173"/>
      <c r="N42" s="173"/>
      <c r="O42" s="157" t="s">
        <v>307</v>
      </c>
      <c r="P42" s="158"/>
      <c r="Q42" s="185"/>
      <c r="R42" s="175"/>
      <c r="S42" s="174">
        <f t="shared" si="0"/>
        <v>0</v>
      </c>
      <c r="T42" s="157"/>
      <c r="U42" s="177">
        <v>-26.1</v>
      </c>
      <c r="V42" s="157"/>
      <c r="W42" s="157"/>
      <c r="X42" s="176">
        <f t="shared" si="1"/>
        <v>-26.1</v>
      </c>
      <c r="Y42" s="184"/>
      <c r="Z42" s="179"/>
      <c r="AA42" s="157"/>
      <c r="AB42" s="157"/>
      <c r="AC42" s="157"/>
    </row>
    <row r="43" spans="1:29" ht="12" customHeight="1" outlineLevel="1">
      <c r="A43" s="170" t="s">
        <v>302</v>
      </c>
      <c r="B43" s="157" t="s">
        <v>303</v>
      </c>
      <c r="C43" s="171">
        <v>42744</v>
      </c>
      <c r="D43" s="178"/>
      <c r="E43" s="157" t="s">
        <v>338</v>
      </c>
      <c r="F43" s="223" t="s">
        <v>1033</v>
      </c>
      <c r="G43" s="223"/>
      <c r="H43" s="224" t="s">
        <v>1039</v>
      </c>
      <c r="I43" s="157"/>
      <c r="J43" s="172"/>
      <c r="K43" s="157"/>
      <c r="L43" s="223" t="s">
        <v>296</v>
      </c>
      <c r="M43" s="173"/>
      <c r="N43" s="173"/>
      <c r="O43" s="157" t="s">
        <v>307</v>
      </c>
      <c r="P43" s="158"/>
      <c r="Q43" s="185"/>
      <c r="R43" s="175"/>
      <c r="S43" s="174">
        <f t="shared" si="0"/>
        <v>0</v>
      </c>
      <c r="T43" s="157"/>
      <c r="U43" s="177">
        <v>-687.9</v>
      </c>
      <c r="V43" s="157"/>
      <c r="W43" s="157"/>
      <c r="X43" s="176">
        <f t="shared" si="1"/>
        <v>-687.9</v>
      </c>
      <c r="Y43" s="184"/>
      <c r="Z43" s="179"/>
      <c r="AA43" s="157"/>
      <c r="AB43" s="157"/>
      <c r="AC43" s="157"/>
    </row>
    <row r="44" spans="1:29" ht="12" customHeight="1" outlineLevel="1">
      <c r="A44" s="170" t="s">
        <v>302</v>
      </c>
      <c r="B44" s="157" t="s">
        <v>303</v>
      </c>
      <c r="C44" s="171">
        <v>42744</v>
      </c>
      <c r="D44" s="178"/>
      <c r="E44" s="157" t="s">
        <v>339</v>
      </c>
      <c r="F44" s="223" t="s">
        <v>1033</v>
      </c>
      <c r="G44" s="223"/>
      <c r="H44" s="224" t="s">
        <v>1039</v>
      </c>
      <c r="I44" s="157"/>
      <c r="J44" s="172"/>
      <c r="K44" s="157"/>
      <c r="L44" s="223" t="s">
        <v>296</v>
      </c>
      <c r="M44" s="173"/>
      <c r="N44" s="173"/>
      <c r="O44" s="157" t="s">
        <v>307</v>
      </c>
      <c r="P44" s="158"/>
      <c r="Q44" s="185"/>
      <c r="R44" s="175"/>
      <c r="S44" s="174">
        <f t="shared" si="0"/>
        <v>0</v>
      </c>
      <c r="T44" s="157"/>
      <c r="U44" s="177">
        <v>-8.52</v>
      </c>
      <c r="V44" s="157"/>
      <c r="W44" s="157"/>
      <c r="X44" s="176">
        <f t="shared" si="1"/>
        <v>-8.52</v>
      </c>
      <c r="Y44" s="184"/>
      <c r="Z44" s="179"/>
      <c r="AA44" s="157"/>
      <c r="AB44" s="157"/>
      <c r="AC44" s="157"/>
    </row>
    <row r="45" spans="1:29" ht="12" customHeight="1" outlineLevel="1">
      <c r="A45" s="170" t="s">
        <v>302</v>
      </c>
      <c r="B45" s="157" t="s">
        <v>303</v>
      </c>
      <c r="C45" s="171">
        <v>42744</v>
      </c>
      <c r="D45" s="178"/>
      <c r="E45" s="157" t="s">
        <v>340</v>
      </c>
      <c r="F45" s="223" t="s">
        <v>1033</v>
      </c>
      <c r="G45" s="223"/>
      <c r="H45" s="224" t="s">
        <v>1039</v>
      </c>
      <c r="I45" s="157"/>
      <c r="J45" s="172"/>
      <c r="K45" s="157"/>
      <c r="L45" s="223" t="s">
        <v>296</v>
      </c>
      <c r="M45" s="173"/>
      <c r="N45" s="173"/>
      <c r="O45" s="157" t="s">
        <v>307</v>
      </c>
      <c r="P45" s="158"/>
      <c r="Q45" s="185"/>
      <c r="R45" s="175"/>
      <c r="S45" s="174">
        <f t="shared" si="0"/>
        <v>0</v>
      </c>
      <c r="T45" s="157"/>
      <c r="U45" s="177">
        <v>-216.57</v>
      </c>
      <c r="V45" s="157"/>
      <c r="W45" s="157"/>
      <c r="X45" s="176">
        <f t="shared" si="1"/>
        <v>-216.57</v>
      </c>
      <c r="Y45" s="184"/>
      <c r="Z45" s="179"/>
      <c r="AA45" s="157"/>
      <c r="AB45" s="157"/>
      <c r="AC45" s="157"/>
    </row>
    <row r="46" spans="1:29" ht="12" customHeight="1" outlineLevel="1">
      <c r="A46" s="170" t="s">
        <v>302</v>
      </c>
      <c r="B46" s="157" t="s">
        <v>303</v>
      </c>
      <c r="C46" s="171">
        <v>42744</v>
      </c>
      <c r="D46" s="178"/>
      <c r="E46" s="157" t="s">
        <v>341</v>
      </c>
      <c r="F46" s="223" t="s">
        <v>1033</v>
      </c>
      <c r="G46" s="223"/>
      <c r="H46" s="224" t="s">
        <v>1039</v>
      </c>
      <c r="I46" s="157" t="s">
        <v>1009</v>
      </c>
      <c r="J46" s="157" t="s">
        <v>1009</v>
      </c>
      <c r="K46" s="157" t="s">
        <v>1009</v>
      </c>
      <c r="L46" s="223" t="s">
        <v>296</v>
      </c>
      <c r="M46" s="173"/>
      <c r="N46" s="173"/>
      <c r="O46" s="157" t="s">
        <v>271</v>
      </c>
      <c r="P46" s="158">
        <v>2133.7600000000002</v>
      </c>
      <c r="Q46" s="185"/>
      <c r="R46" s="175"/>
      <c r="S46" s="174">
        <f t="shared" si="0"/>
        <v>2133.7600000000002</v>
      </c>
      <c r="T46" s="157"/>
      <c r="U46" s="177"/>
      <c r="V46" s="157"/>
      <c r="W46" s="157"/>
      <c r="X46" s="176">
        <f t="shared" si="1"/>
        <v>0</v>
      </c>
      <c r="Y46" s="184"/>
      <c r="Z46" s="179"/>
      <c r="AA46" s="157"/>
      <c r="AB46" s="157"/>
      <c r="AC46" s="157"/>
    </row>
    <row r="47" spans="1:29" ht="12" customHeight="1" outlineLevel="1">
      <c r="A47" s="170" t="s">
        <v>302</v>
      </c>
      <c r="B47" s="157" t="s">
        <v>303</v>
      </c>
      <c r="C47" s="171">
        <v>42744</v>
      </c>
      <c r="D47" s="178"/>
      <c r="E47" s="157" t="s">
        <v>342</v>
      </c>
      <c r="F47" s="223" t="s">
        <v>1033</v>
      </c>
      <c r="G47" s="223"/>
      <c r="H47" s="224" t="s">
        <v>1039</v>
      </c>
      <c r="I47" s="157" t="s">
        <v>1009</v>
      </c>
      <c r="J47" s="157" t="s">
        <v>1009</v>
      </c>
      <c r="K47" s="157" t="s">
        <v>1009</v>
      </c>
      <c r="L47" s="223" t="s">
        <v>296</v>
      </c>
      <c r="M47" s="173"/>
      <c r="N47" s="173"/>
      <c r="O47" s="157" t="s">
        <v>271</v>
      </c>
      <c r="P47" s="158">
        <v>1396.57</v>
      </c>
      <c r="Q47" s="185"/>
      <c r="R47" s="175"/>
      <c r="S47" s="174">
        <f t="shared" si="0"/>
        <v>1396.57</v>
      </c>
      <c r="T47" s="157"/>
      <c r="U47" s="177"/>
      <c r="V47" s="157"/>
      <c r="W47" s="157"/>
      <c r="X47" s="176">
        <f t="shared" si="1"/>
        <v>0</v>
      </c>
      <c r="Y47" s="184"/>
      <c r="Z47" s="179"/>
      <c r="AA47" s="157"/>
      <c r="AB47" s="157"/>
      <c r="AC47" s="157"/>
    </row>
    <row r="48" spans="1:29" ht="12" customHeight="1" outlineLevel="1">
      <c r="A48" s="170" t="s">
        <v>302</v>
      </c>
      <c r="B48" s="157" t="s">
        <v>303</v>
      </c>
      <c r="C48" s="171">
        <v>42744</v>
      </c>
      <c r="D48" s="178"/>
      <c r="E48" s="157" t="s">
        <v>343</v>
      </c>
      <c r="F48" s="223" t="s">
        <v>1033</v>
      </c>
      <c r="G48" s="223"/>
      <c r="H48" s="224" t="s">
        <v>1039</v>
      </c>
      <c r="I48" s="157" t="s">
        <v>1009</v>
      </c>
      <c r="J48" s="157" t="s">
        <v>1009</v>
      </c>
      <c r="K48" s="157" t="s">
        <v>1009</v>
      </c>
      <c r="L48" s="223" t="s">
        <v>296</v>
      </c>
      <c r="M48" s="173"/>
      <c r="N48" s="173"/>
      <c r="O48" s="157" t="s">
        <v>271</v>
      </c>
      <c r="P48" s="158">
        <v>1344.97</v>
      </c>
      <c r="Q48" s="185"/>
      <c r="R48" s="175"/>
      <c r="S48" s="174">
        <f t="shared" si="0"/>
        <v>1344.97</v>
      </c>
      <c r="T48" s="157"/>
      <c r="U48" s="177"/>
      <c r="V48" s="157"/>
      <c r="W48" s="157"/>
      <c r="X48" s="176">
        <f t="shared" si="1"/>
        <v>0</v>
      </c>
      <c r="Y48" s="184"/>
      <c r="Z48" s="179"/>
      <c r="AA48" s="157"/>
      <c r="AB48" s="157"/>
      <c r="AC48" s="157"/>
    </row>
    <row r="49" spans="1:29" ht="12" customHeight="1" outlineLevel="1">
      <c r="A49" s="170" t="s">
        <v>302</v>
      </c>
      <c r="B49" s="157" t="s">
        <v>303</v>
      </c>
      <c r="C49" s="171">
        <v>42745</v>
      </c>
      <c r="D49" s="178"/>
      <c r="E49" s="157" t="s">
        <v>304</v>
      </c>
      <c r="F49" s="223" t="s">
        <v>1033</v>
      </c>
      <c r="G49" s="223"/>
      <c r="H49" s="224" t="s">
        <v>1039</v>
      </c>
      <c r="I49" s="157"/>
      <c r="J49" s="172"/>
      <c r="K49" s="157"/>
      <c r="L49" s="223" t="s">
        <v>296</v>
      </c>
      <c r="M49" s="173"/>
      <c r="N49" s="173"/>
      <c r="O49" s="157" t="s">
        <v>308</v>
      </c>
      <c r="P49" s="158"/>
      <c r="Q49" s="185"/>
      <c r="R49" s="175"/>
      <c r="S49" s="174">
        <f t="shared" si="0"/>
        <v>0</v>
      </c>
      <c r="T49" s="157"/>
      <c r="U49" s="177">
        <v>-340</v>
      </c>
      <c r="V49" s="157"/>
      <c r="W49" s="157"/>
      <c r="X49" s="176">
        <f t="shared" si="1"/>
        <v>-340</v>
      </c>
      <c r="Y49" s="184"/>
      <c r="Z49" s="179"/>
      <c r="AA49" s="157"/>
      <c r="AB49" s="157"/>
      <c r="AC49" s="157"/>
    </row>
    <row r="50" spans="1:29" ht="12" customHeight="1" outlineLevel="1">
      <c r="A50" s="170" t="s">
        <v>302</v>
      </c>
      <c r="B50" s="157" t="s">
        <v>303</v>
      </c>
      <c r="C50" s="171">
        <v>42745</v>
      </c>
      <c r="D50" s="178"/>
      <c r="E50" s="157" t="s">
        <v>304</v>
      </c>
      <c r="F50" s="223" t="s">
        <v>1033</v>
      </c>
      <c r="G50" s="223"/>
      <c r="H50" s="224" t="s">
        <v>1039</v>
      </c>
      <c r="I50" s="157"/>
      <c r="J50" s="172"/>
      <c r="K50" s="157"/>
      <c r="L50" s="223" t="s">
        <v>296</v>
      </c>
      <c r="M50" s="173"/>
      <c r="N50" s="173"/>
      <c r="O50" s="157" t="s">
        <v>308</v>
      </c>
      <c r="P50" s="158"/>
      <c r="Q50" s="185"/>
      <c r="R50" s="175"/>
      <c r="S50" s="174">
        <f t="shared" si="0"/>
        <v>0</v>
      </c>
      <c r="T50" s="157"/>
      <c r="U50" s="177">
        <v>-340</v>
      </c>
      <c r="V50" s="157"/>
      <c r="W50" s="157"/>
      <c r="X50" s="176">
        <f t="shared" si="1"/>
        <v>-340</v>
      </c>
      <c r="Y50" s="184"/>
      <c r="Z50" s="179"/>
      <c r="AA50" s="157"/>
      <c r="AB50" s="157"/>
      <c r="AC50" s="157"/>
    </row>
    <row r="51" spans="1:29" ht="12" customHeight="1" outlineLevel="1">
      <c r="A51" s="170" t="s">
        <v>302</v>
      </c>
      <c r="B51" s="157" t="s">
        <v>303</v>
      </c>
      <c r="C51" s="171">
        <v>42745</v>
      </c>
      <c r="D51" s="178"/>
      <c r="E51" s="157" t="s">
        <v>304</v>
      </c>
      <c r="F51" s="223" t="s">
        <v>1033</v>
      </c>
      <c r="G51" s="223"/>
      <c r="H51" s="224" t="s">
        <v>1039</v>
      </c>
      <c r="I51" s="157"/>
      <c r="J51" s="172"/>
      <c r="K51" s="157"/>
      <c r="L51" s="223" t="s">
        <v>296</v>
      </c>
      <c r="M51" s="173"/>
      <c r="N51" s="173"/>
      <c r="O51" s="157" t="s">
        <v>308</v>
      </c>
      <c r="P51" s="158"/>
      <c r="Q51" s="185"/>
      <c r="R51" s="175"/>
      <c r="S51" s="174">
        <f t="shared" si="0"/>
        <v>0</v>
      </c>
      <c r="T51" s="157"/>
      <c r="U51" s="177">
        <v>-340</v>
      </c>
      <c r="V51" s="157"/>
      <c r="W51" s="157"/>
      <c r="X51" s="176">
        <f t="shared" si="1"/>
        <v>-340</v>
      </c>
      <c r="Y51" s="184"/>
      <c r="Z51" s="179"/>
      <c r="AA51" s="157"/>
      <c r="AB51" s="157"/>
      <c r="AC51" s="157"/>
    </row>
    <row r="52" spans="1:29" ht="12" customHeight="1" outlineLevel="1">
      <c r="A52" s="170" t="s">
        <v>302</v>
      </c>
      <c r="B52" s="157" t="s">
        <v>303</v>
      </c>
      <c r="C52" s="171">
        <v>42745</v>
      </c>
      <c r="D52" s="178"/>
      <c r="E52" s="157" t="s">
        <v>304</v>
      </c>
      <c r="F52" s="223" t="s">
        <v>1033</v>
      </c>
      <c r="G52" s="223"/>
      <c r="H52" s="224" t="s">
        <v>1039</v>
      </c>
      <c r="I52" s="157"/>
      <c r="J52" s="172"/>
      <c r="K52" s="157"/>
      <c r="L52" s="223" t="s">
        <v>296</v>
      </c>
      <c r="M52" s="173"/>
      <c r="N52" s="173"/>
      <c r="O52" s="157" t="s">
        <v>308</v>
      </c>
      <c r="P52" s="158"/>
      <c r="Q52" s="185"/>
      <c r="R52" s="175"/>
      <c r="S52" s="174">
        <f t="shared" si="0"/>
        <v>0</v>
      </c>
      <c r="T52" s="157"/>
      <c r="U52" s="177">
        <v>-340</v>
      </c>
      <c r="V52" s="157"/>
      <c r="W52" s="157"/>
      <c r="X52" s="176">
        <f t="shared" si="1"/>
        <v>-340</v>
      </c>
      <c r="Y52" s="184"/>
      <c r="Z52" s="179"/>
      <c r="AA52" s="157"/>
      <c r="AB52" s="157"/>
      <c r="AC52" s="157"/>
    </row>
    <row r="53" spans="1:29" ht="12" customHeight="1" outlineLevel="1">
      <c r="A53" s="170" t="s">
        <v>302</v>
      </c>
      <c r="B53" s="157" t="s">
        <v>303</v>
      </c>
      <c r="C53" s="171">
        <v>42745</v>
      </c>
      <c r="D53" s="178"/>
      <c r="E53" s="157" t="s">
        <v>344</v>
      </c>
      <c r="F53" s="223" t="s">
        <v>1033</v>
      </c>
      <c r="G53" s="223"/>
      <c r="H53" s="224" t="s">
        <v>1039</v>
      </c>
      <c r="I53" s="157"/>
      <c r="J53" s="172"/>
      <c r="K53" s="157"/>
      <c r="L53" s="223" t="s">
        <v>296</v>
      </c>
      <c r="M53" s="173"/>
      <c r="N53" s="173"/>
      <c r="O53" s="157" t="s">
        <v>307</v>
      </c>
      <c r="P53" s="158"/>
      <c r="Q53" s="185"/>
      <c r="R53" s="175"/>
      <c r="S53" s="174">
        <f t="shared" si="0"/>
        <v>0</v>
      </c>
      <c r="T53" s="157"/>
      <c r="U53" s="177">
        <v>-7.95</v>
      </c>
      <c r="V53" s="157"/>
      <c r="W53" s="157"/>
      <c r="X53" s="176">
        <f t="shared" si="1"/>
        <v>-7.95</v>
      </c>
      <c r="Y53" s="184"/>
      <c r="Z53" s="179"/>
      <c r="AA53" s="157"/>
      <c r="AB53" s="157"/>
      <c r="AC53" s="157"/>
    </row>
    <row r="54" spans="1:29" ht="12" customHeight="1" outlineLevel="1">
      <c r="A54" s="170" t="s">
        <v>302</v>
      </c>
      <c r="B54" s="157" t="s">
        <v>303</v>
      </c>
      <c r="C54" s="171">
        <v>42745</v>
      </c>
      <c r="D54" s="178"/>
      <c r="E54" s="157" t="s">
        <v>345</v>
      </c>
      <c r="F54" s="223" t="s">
        <v>1033</v>
      </c>
      <c r="G54" s="223"/>
      <c r="H54" s="224" t="s">
        <v>1039</v>
      </c>
      <c r="I54" s="157"/>
      <c r="J54" s="172"/>
      <c r="K54" s="157"/>
      <c r="L54" s="223" t="s">
        <v>296</v>
      </c>
      <c r="M54" s="173"/>
      <c r="N54" s="173"/>
      <c r="O54" s="157" t="s">
        <v>307</v>
      </c>
      <c r="P54" s="158"/>
      <c r="Q54" s="185"/>
      <c r="R54" s="175"/>
      <c r="S54" s="174">
        <f t="shared" si="0"/>
        <v>0</v>
      </c>
      <c r="T54" s="157"/>
      <c r="U54" s="177">
        <v>-94.55</v>
      </c>
      <c r="V54" s="157"/>
      <c r="W54" s="157"/>
      <c r="X54" s="176">
        <f t="shared" si="1"/>
        <v>-94.55</v>
      </c>
      <c r="Y54" s="184"/>
      <c r="Z54" s="179"/>
      <c r="AA54" s="157"/>
      <c r="AB54" s="157"/>
      <c r="AC54" s="157"/>
    </row>
    <row r="55" spans="1:29" ht="12" customHeight="1" outlineLevel="1">
      <c r="A55" s="170" t="s">
        <v>302</v>
      </c>
      <c r="B55" s="157" t="s">
        <v>303</v>
      </c>
      <c r="C55" s="171">
        <v>42745</v>
      </c>
      <c r="D55" s="178"/>
      <c r="E55" s="157" t="s">
        <v>346</v>
      </c>
      <c r="F55" s="223" t="s">
        <v>1033</v>
      </c>
      <c r="G55" s="223"/>
      <c r="H55" s="224" t="s">
        <v>1039</v>
      </c>
      <c r="I55" s="157"/>
      <c r="J55" s="172"/>
      <c r="K55" s="157"/>
      <c r="L55" s="223" t="s">
        <v>296</v>
      </c>
      <c r="M55" s="173"/>
      <c r="N55" s="173"/>
      <c r="O55" s="157" t="s">
        <v>307</v>
      </c>
      <c r="P55" s="158"/>
      <c r="Q55" s="185"/>
      <c r="R55" s="175"/>
      <c r="S55" s="174">
        <f t="shared" si="0"/>
        <v>0</v>
      </c>
      <c r="T55" s="157"/>
      <c r="U55" s="177">
        <v>-30.78</v>
      </c>
      <c r="V55" s="157"/>
      <c r="W55" s="157"/>
      <c r="X55" s="176">
        <f t="shared" si="1"/>
        <v>-30.78</v>
      </c>
      <c r="Y55" s="184"/>
      <c r="Z55" s="179"/>
      <c r="AA55" s="157"/>
      <c r="AB55" s="157"/>
      <c r="AC55" s="157"/>
    </row>
    <row r="56" spans="1:29" ht="12" customHeight="1" outlineLevel="1">
      <c r="A56" s="170" t="s">
        <v>302</v>
      </c>
      <c r="B56" s="157" t="s">
        <v>303</v>
      </c>
      <c r="C56" s="171">
        <v>42745</v>
      </c>
      <c r="D56" s="178"/>
      <c r="E56" s="157" t="s">
        <v>347</v>
      </c>
      <c r="F56" s="223" t="s">
        <v>1033</v>
      </c>
      <c r="G56" s="223"/>
      <c r="H56" s="224" t="s">
        <v>1039</v>
      </c>
      <c r="I56" s="157"/>
      <c r="J56" s="172"/>
      <c r="K56" s="157"/>
      <c r="L56" s="223" t="s">
        <v>296</v>
      </c>
      <c r="M56" s="173"/>
      <c r="N56" s="173"/>
      <c r="O56" s="157" t="s">
        <v>307</v>
      </c>
      <c r="P56" s="158"/>
      <c r="Q56" s="185"/>
      <c r="R56" s="175"/>
      <c r="S56" s="174">
        <f t="shared" si="0"/>
        <v>0</v>
      </c>
      <c r="T56" s="157"/>
      <c r="U56" s="177">
        <v>-96.33</v>
      </c>
      <c r="V56" s="157"/>
      <c r="W56" s="157"/>
      <c r="X56" s="176">
        <f t="shared" si="1"/>
        <v>-96.33</v>
      </c>
      <c r="Y56" s="184"/>
      <c r="Z56" s="179"/>
      <c r="AA56" s="157"/>
      <c r="AB56" s="157"/>
      <c r="AC56" s="157"/>
    </row>
    <row r="57" spans="1:29" ht="12" customHeight="1" outlineLevel="1">
      <c r="A57" s="170" t="s">
        <v>302</v>
      </c>
      <c r="B57" s="157" t="s">
        <v>303</v>
      </c>
      <c r="C57" s="171">
        <v>42745</v>
      </c>
      <c r="D57" s="178"/>
      <c r="E57" s="157" t="s">
        <v>348</v>
      </c>
      <c r="F57" s="223" t="s">
        <v>1033</v>
      </c>
      <c r="G57" s="223"/>
      <c r="H57" s="224" t="s">
        <v>1039</v>
      </c>
      <c r="I57" s="157" t="s">
        <v>1009</v>
      </c>
      <c r="J57" s="157" t="s">
        <v>1009</v>
      </c>
      <c r="K57" s="157" t="s">
        <v>1009</v>
      </c>
      <c r="L57" s="223" t="s">
        <v>296</v>
      </c>
      <c r="M57" s="173"/>
      <c r="N57" s="173"/>
      <c r="O57" s="157" t="s">
        <v>271</v>
      </c>
      <c r="P57" s="158">
        <v>397.37</v>
      </c>
      <c r="Q57" s="185"/>
      <c r="R57" s="175"/>
      <c r="S57" s="174">
        <f t="shared" si="0"/>
        <v>397.37</v>
      </c>
      <c r="T57" s="157"/>
      <c r="U57" s="177"/>
      <c r="V57" s="157"/>
      <c r="W57" s="157"/>
      <c r="X57" s="176">
        <f t="shared" si="1"/>
        <v>0</v>
      </c>
      <c r="Y57" s="184"/>
      <c r="Z57" s="179"/>
      <c r="AA57" s="157"/>
      <c r="AB57" s="157"/>
      <c r="AC57" s="157"/>
    </row>
    <row r="58" spans="1:29" ht="12" customHeight="1" outlineLevel="1">
      <c r="A58" s="170" t="s">
        <v>302</v>
      </c>
      <c r="B58" s="157" t="s">
        <v>303</v>
      </c>
      <c r="C58" s="171">
        <v>42746</v>
      </c>
      <c r="D58" s="178"/>
      <c r="E58" s="157" t="s">
        <v>304</v>
      </c>
      <c r="F58" s="223" t="s">
        <v>1033</v>
      </c>
      <c r="G58" s="223"/>
      <c r="H58" s="224" t="s">
        <v>1039</v>
      </c>
      <c r="I58" s="157"/>
      <c r="J58" s="172"/>
      <c r="K58" s="157"/>
      <c r="L58" s="223" t="s">
        <v>296</v>
      </c>
      <c r="M58" s="173"/>
      <c r="N58" s="173"/>
      <c r="O58" s="157" t="s">
        <v>307</v>
      </c>
      <c r="P58" s="158"/>
      <c r="Q58" s="185"/>
      <c r="R58" s="175"/>
      <c r="S58" s="174">
        <f t="shared" si="0"/>
        <v>0</v>
      </c>
      <c r="T58" s="157"/>
      <c r="U58" s="177">
        <v>-68.040000000000006</v>
      </c>
      <c r="V58" s="157"/>
      <c r="W58" s="157"/>
      <c r="X58" s="176">
        <f t="shared" si="1"/>
        <v>-68.040000000000006</v>
      </c>
      <c r="Y58" s="184"/>
      <c r="Z58" s="179"/>
      <c r="AA58" s="157"/>
      <c r="AB58" s="157"/>
      <c r="AC58" s="157"/>
    </row>
    <row r="59" spans="1:29" ht="12" customHeight="1" outlineLevel="1">
      <c r="A59" s="170" t="s">
        <v>302</v>
      </c>
      <c r="B59" s="157" t="s">
        <v>303</v>
      </c>
      <c r="C59" s="171">
        <v>42746</v>
      </c>
      <c r="D59" s="178"/>
      <c r="E59" s="157" t="s">
        <v>304</v>
      </c>
      <c r="F59" s="223" t="s">
        <v>1033</v>
      </c>
      <c r="G59" s="223"/>
      <c r="H59" s="224" t="s">
        <v>1039</v>
      </c>
      <c r="I59" s="157"/>
      <c r="J59" s="172"/>
      <c r="K59" s="157"/>
      <c r="L59" s="223" t="s">
        <v>296</v>
      </c>
      <c r="M59" s="173"/>
      <c r="N59" s="173"/>
      <c r="O59" s="157" t="s">
        <v>307</v>
      </c>
      <c r="P59" s="158"/>
      <c r="Q59" s="185"/>
      <c r="R59" s="175"/>
      <c r="S59" s="174">
        <f t="shared" si="0"/>
        <v>0</v>
      </c>
      <c r="T59" s="157"/>
      <c r="U59" s="177">
        <v>-1022.65</v>
      </c>
      <c r="V59" s="157"/>
      <c r="W59" s="157"/>
      <c r="X59" s="176">
        <f t="shared" si="1"/>
        <v>-1022.65</v>
      </c>
      <c r="Y59" s="184"/>
      <c r="Z59" s="179"/>
      <c r="AA59" s="157"/>
      <c r="AB59" s="157"/>
      <c r="AC59" s="157"/>
    </row>
    <row r="60" spans="1:29" ht="12" customHeight="1" outlineLevel="1">
      <c r="A60" s="170" t="s">
        <v>302</v>
      </c>
      <c r="B60" s="157" t="s">
        <v>303</v>
      </c>
      <c r="C60" s="171">
        <v>42746</v>
      </c>
      <c r="D60" s="178"/>
      <c r="E60" s="157" t="s">
        <v>349</v>
      </c>
      <c r="F60" s="223" t="s">
        <v>1033</v>
      </c>
      <c r="G60" s="223"/>
      <c r="H60" s="224" t="s">
        <v>1039</v>
      </c>
      <c r="I60" s="157"/>
      <c r="J60" s="172"/>
      <c r="K60" s="157"/>
      <c r="L60" s="223" t="s">
        <v>296</v>
      </c>
      <c r="M60" s="173"/>
      <c r="N60" s="173"/>
      <c r="O60" s="157" t="s">
        <v>307</v>
      </c>
      <c r="P60" s="158"/>
      <c r="Q60" s="185"/>
      <c r="R60" s="175"/>
      <c r="S60" s="174">
        <f t="shared" si="0"/>
        <v>0</v>
      </c>
      <c r="T60" s="157"/>
      <c r="U60" s="177">
        <v>-12</v>
      </c>
      <c r="V60" s="157"/>
      <c r="W60" s="157"/>
      <c r="X60" s="176">
        <f t="shared" si="1"/>
        <v>-12</v>
      </c>
      <c r="Y60" s="184"/>
      <c r="Z60" s="179"/>
      <c r="AA60" s="157"/>
      <c r="AB60" s="157"/>
      <c r="AC60" s="157"/>
    </row>
    <row r="61" spans="1:29" ht="12" customHeight="1" outlineLevel="1">
      <c r="A61" s="170" t="s">
        <v>302</v>
      </c>
      <c r="B61" s="157" t="s">
        <v>303</v>
      </c>
      <c r="C61" s="171">
        <v>42746</v>
      </c>
      <c r="D61" s="178"/>
      <c r="E61" s="157" t="s">
        <v>350</v>
      </c>
      <c r="F61" s="223" t="s">
        <v>1033</v>
      </c>
      <c r="G61" s="223"/>
      <c r="H61" s="224" t="s">
        <v>1039</v>
      </c>
      <c r="I61" s="157" t="s">
        <v>1009</v>
      </c>
      <c r="J61" s="157" t="s">
        <v>1009</v>
      </c>
      <c r="K61" s="157" t="s">
        <v>1009</v>
      </c>
      <c r="L61" s="223" t="s">
        <v>296</v>
      </c>
      <c r="M61" s="173"/>
      <c r="N61" s="173"/>
      <c r="O61" s="157" t="s">
        <v>271</v>
      </c>
      <c r="P61" s="158">
        <v>1044.8800000000001</v>
      </c>
      <c r="Q61" s="185"/>
      <c r="R61" s="175"/>
      <c r="S61" s="174">
        <f t="shared" si="0"/>
        <v>1044.8800000000001</v>
      </c>
      <c r="T61" s="157"/>
      <c r="U61" s="177"/>
      <c r="V61" s="157"/>
      <c r="W61" s="157"/>
      <c r="X61" s="176">
        <f t="shared" si="1"/>
        <v>0</v>
      </c>
      <c r="Y61" s="184"/>
      <c r="Z61" s="179"/>
      <c r="AA61" s="157"/>
      <c r="AB61" s="157"/>
      <c r="AC61" s="157"/>
    </row>
    <row r="62" spans="1:29" ht="12" customHeight="1" outlineLevel="1">
      <c r="A62" s="170" t="s">
        <v>302</v>
      </c>
      <c r="B62" s="157" t="s">
        <v>303</v>
      </c>
      <c r="C62" s="171">
        <v>42746</v>
      </c>
      <c r="D62" s="178"/>
      <c r="E62" s="157" t="s">
        <v>351</v>
      </c>
      <c r="F62" s="223" t="s">
        <v>1033</v>
      </c>
      <c r="G62" s="223"/>
      <c r="H62" s="224" t="s">
        <v>1039</v>
      </c>
      <c r="I62" s="157" t="s">
        <v>1009</v>
      </c>
      <c r="J62" s="157" t="s">
        <v>1009</v>
      </c>
      <c r="K62" s="157" t="s">
        <v>1009</v>
      </c>
      <c r="L62" s="223" t="s">
        <v>296</v>
      </c>
      <c r="M62" s="173"/>
      <c r="N62" s="173"/>
      <c r="O62" s="157" t="s">
        <v>271</v>
      </c>
      <c r="P62" s="158">
        <v>980.74</v>
      </c>
      <c r="Q62" s="185"/>
      <c r="R62" s="175"/>
      <c r="S62" s="174">
        <f t="shared" si="0"/>
        <v>980.74</v>
      </c>
      <c r="T62" s="157"/>
      <c r="U62" s="177"/>
      <c r="V62" s="157"/>
      <c r="W62" s="157"/>
      <c r="X62" s="176">
        <f t="shared" si="1"/>
        <v>0</v>
      </c>
      <c r="Y62" s="184"/>
      <c r="Z62" s="179"/>
      <c r="AA62" s="157"/>
      <c r="AB62" s="157"/>
      <c r="AC62" s="157"/>
    </row>
    <row r="63" spans="1:29" ht="12" customHeight="1" outlineLevel="1">
      <c r="A63" s="170" t="s">
        <v>302</v>
      </c>
      <c r="B63" s="157" t="s">
        <v>303</v>
      </c>
      <c r="C63" s="171">
        <v>42747</v>
      </c>
      <c r="D63" s="178"/>
      <c r="E63" s="157" t="s">
        <v>304</v>
      </c>
      <c r="F63" s="223" t="s">
        <v>1033</v>
      </c>
      <c r="G63" s="223"/>
      <c r="H63" s="224" t="s">
        <v>1039</v>
      </c>
      <c r="I63" s="157"/>
      <c r="J63" s="172"/>
      <c r="K63" s="157"/>
      <c r="L63" s="223" t="s">
        <v>296</v>
      </c>
      <c r="M63" s="173"/>
      <c r="N63" s="173"/>
      <c r="O63" s="157" t="s">
        <v>307</v>
      </c>
      <c r="P63" s="158"/>
      <c r="Q63" s="185"/>
      <c r="R63" s="175"/>
      <c r="S63" s="174">
        <f t="shared" si="0"/>
        <v>0</v>
      </c>
      <c r="T63" s="157"/>
      <c r="U63" s="177">
        <v>-614</v>
      </c>
      <c r="V63" s="157"/>
      <c r="W63" s="157"/>
      <c r="X63" s="176">
        <f t="shared" si="1"/>
        <v>-614</v>
      </c>
      <c r="Y63" s="184"/>
      <c r="Z63" s="179"/>
      <c r="AA63" s="157"/>
      <c r="AB63" s="157"/>
      <c r="AC63" s="157"/>
    </row>
    <row r="64" spans="1:29" ht="12" customHeight="1" outlineLevel="1">
      <c r="A64" s="170" t="s">
        <v>302</v>
      </c>
      <c r="B64" s="157" t="s">
        <v>303</v>
      </c>
      <c r="C64" s="171">
        <v>42747</v>
      </c>
      <c r="D64" s="178"/>
      <c r="E64" s="157" t="s">
        <v>304</v>
      </c>
      <c r="F64" s="223" t="s">
        <v>1033</v>
      </c>
      <c r="G64" s="223"/>
      <c r="H64" s="224" t="s">
        <v>1039</v>
      </c>
      <c r="I64" s="157"/>
      <c r="J64" s="172"/>
      <c r="K64" s="157"/>
      <c r="L64" s="223" t="s">
        <v>296</v>
      </c>
      <c r="M64" s="173"/>
      <c r="N64" s="173"/>
      <c r="O64" s="157" t="s">
        <v>308</v>
      </c>
      <c r="P64" s="158"/>
      <c r="Q64" s="185"/>
      <c r="R64" s="175"/>
      <c r="S64" s="174">
        <f t="shared" si="0"/>
        <v>0</v>
      </c>
      <c r="T64" s="157"/>
      <c r="U64" s="177">
        <v>-350</v>
      </c>
      <c r="V64" s="157"/>
      <c r="W64" s="157"/>
      <c r="X64" s="176">
        <f t="shared" si="1"/>
        <v>-350</v>
      </c>
      <c r="Y64" s="184"/>
      <c r="Z64" s="179"/>
      <c r="AA64" s="157"/>
      <c r="AB64" s="157"/>
      <c r="AC64" s="157"/>
    </row>
    <row r="65" spans="1:29" ht="12" customHeight="1" outlineLevel="1">
      <c r="A65" s="170" t="s">
        <v>302</v>
      </c>
      <c r="B65" s="157" t="s">
        <v>303</v>
      </c>
      <c r="C65" s="171">
        <v>42747</v>
      </c>
      <c r="D65" s="178"/>
      <c r="E65" s="157" t="s">
        <v>352</v>
      </c>
      <c r="F65" s="223" t="s">
        <v>1033</v>
      </c>
      <c r="G65" s="223"/>
      <c r="H65" s="224" t="s">
        <v>1039</v>
      </c>
      <c r="I65" s="157"/>
      <c r="J65" s="172"/>
      <c r="K65" s="157"/>
      <c r="L65" s="223" t="s">
        <v>296</v>
      </c>
      <c r="M65" s="173"/>
      <c r="N65" s="173"/>
      <c r="O65" s="157" t="s">
        <v>307</v>
      </c>
      <c r="P65" s="158"/>
      <c r="Q65" s="185"/>
      <c r="R65" s="175"/>
      <c r="S65" s="174">
        <f t="shared" si="0"/>
        <v>0</v>
      </c>
      <c r="T65" s="157"/>
      <c r="U65" s="177">
        <v>-90.14</v>
      </c>
      <c r="V65" s="157"/>
      <c r="W65" s="157"/>
      <c r="X65" s="176">
        <f t="shared" si="1"/>
        <v>-90.14</v>
      </c>
      <c r="Y65" s="184"/>
      <c r="Z65" s="179"/>
      <c r="AA65" s="157"/>
      <c r="AB65" s="157"/>
      <c r="AC65" s="157"/>
    </row>
    <row r="66" spans="1:29" ht="12" customHeight="1" outlineLevel="1">
      <c r="A66" s="170" t="s">
        <v>302</v>
      </c>
      <c r="B66" s="157" t="s">
        <v>303</v>
      </c>
      <c r="C66" s="171">
        <v>42747</v>
      </c>
      <c r="D66" s="178"/>
      <c r="E66" s="157" t="s">
        <v>353</v>
      </c>
      <c r="F66" s="223" t="s">
        <v>1033</v>
      </c>
      <c r="G66" s="223"/>
      <c r="H66" s="224" t="s">
        <v>1039</v>
      </c>
      <c r="I66" s="157" t="s">
        <v>1009</v>
      </c>
      <c r="J66" s="157" t="s">
        <v>1009</v>
      </c>
      <c r="K66" s="157" t="s">
        <v>1009</v>
      </c>
      <c r="L66" s="223" t="s">
        <v>296</v>
      </c>
      <c r="M66" s="173"/>
      <c r="N66" s="173"/>
      <c r="O66" s="157" t="s">
        <v>271</v>
      </c>
      <c r="P66" s="158">
        <v>887.55</v>
      </c>
      <c r="Q66" s="185"/>
      <c r="R66" s="175"/>
      <c r="S66" s="174">
        <f t="shared" si="0"/>
        <v>887.55</v>
      </c>
      <c r="T66" s="157"/>
      <c r="U66" s="177"/>
      <c r="V66" s="157"/>
      <c r="W66" s="157"/>
      <c r="X66" s="176">
        <f t="shared" si="1"/>
        <v>0</v>
      </c>
      <c r="Y66" s="184"/>
      <c r="Z66" s="179"/>
      <c r="AA66" s="157"/>
      <c r="AB66" s="157"/>
      <c r="AC66" s="157"/>
    </row>
    <row r="67" spans="1:29" ht="12" customHeight="1" outlineLevel="1">
      <c r="A67" s="170" t="s">
        <v>302</v>
      </c>
      <c r="B67" s="157" t="s">
        <v>303</v>
      </c>
      <c r="C67" s="171">
        <v>42748</v>
      </c>
      <c r="D67" s="178"/>
      <c r="E67" s="157" t="s">
        <v>304</v>
      </c>
      <c r="F67" s="223" t="s">
        <v>1033</v>
      </c>
      <c r="G67" s="223"/>
      <c r="H67" s="224" t="s">
        <v>1039</v>
      </c>
      <c r="I67" s="157"/>
      <c r="J67" s="172"/>
      <c r="K67" s="157"/>
      <c r="L67" s="223" t="s">
        <v>296</v>
      </c>
      <c r="M67" s="173"/>
      <c r="N67" s="173"/>
      <c r="O67" s="157" t="s">
        <v>308</v>
      </c>
      <c r="P67" s="158"/>
      <c r="Q67" s="185"/>
      <c r="R67" s="175"/>
      <c r="S67" s="174">
        <f t="shared" si="0"/>
        <v>0</v>
      </c>
      <c r="T67" s="157"/>
      <c r="U67" s="177">
        <v>-361</v>
      </c>
      <c r="V67" s="157"/>
      <c r="W67" s="157"/>
      <c r="X67" s="176">
        <f t="shared" si="1"/>
        <v>-361</v>
      </c>
      <c r="Y67" s="184"/>
      <c r="Z67" s="179"/>
      <c r="AA67" s="157"/>
      <c r="AB67" s="157"/>
      <c r="AC67" s="157"/>
    </row>
    <row r="68" spans="1:29" ht="12" customHeight="1" outlineLevel="1">
      <c r="A68" s="170" t="s">
        <v>302</v>
      </c>
      <c r="B68" s="157" t="s">
        <v>303</v>
      </c>
      <c r="C68" s="171">
        <v>42748</v>
      </c>
      <c r="D68" s="178"/>
      <c r="E68" s="157" t="s">
        <v>354</v>
      </c>
      <c r="F68" s="223" t="s">
        <v>1033</v>
      </c>
      <c r="G68" s="223"/>
      <c r="H68" s="224" t="s">
        <v>1039</v>
      </c>
      <c r="I68" s="157"/>
      <c r="J68" s="172"/>
      <c r="K68" s="157"/>
      <c r="L68" s="223" t="s">
        <v>296</v>
      </c>
      <c r="M68" s="173"/>
      <c r="N68" s="173"/>
      <c r="O68" s="157" t="s">
        <v>307</v>
      </c>
      <c r="P68" s="158"/>
      <c r="Q68" s="185"/>
      <c r="R68" s="175"/>
      <c r="S68" s="174">
        <f t="shared" si="0"/>
        <v>0</v>
      </c>
      <c r="T68" s="157"/>
      <c r="U68" s="177">
        <v>-71.12</v>
      </c>
      <c r="V68" s="157"/>
      <c r="W68" s="157"/>
      <c r="X68" s="176">
        <f t="shared" si="1"/>
        <v>-71.12</v>
      </c>
      <c r="Y68" s="184"/>
      <c r="Z68" s="179"/>
      <c r="AA68" s="157"/>
      <c r="AB68" s="157"/>
      <c r="AC68" s="157"/>
    </row>
    <row r="69" spans="1:29" ht="12" customHeight="1" outlineLevel="1">
      <c r="A69" s="170" t="s">
        <v>302</v>
      </c>
      <c r="B69" s="157" t="s">
        <v>303</v>
      </c>
      <c r="C69" s="171">
        <v>42748</v>
      </c>
      <c r="D69" s="178"/>
      <c r="E69" s="157" t="s">
        <v>355</v>
      </c>
      <c r="F69" s="223" t="s">
        <v>1033</v>
      </c>
      <c r="G69" s="223"/>
      <c r="H69" s="224" t="s">
        <v>1039</v>
      </c>
      <c r="I69" s="157"/>
      <c r="J69" s="172"/>
      <c r="K69" s="157"/>
      <c r="L69" s="223" t="s">
        <v>296</v>
      </c>
      <c r="M69" s="173"/>
      <c r="N69" s="173"/>
      <c r="O69" s="157" t="s">
        <v>307</v>
      </c>
      <c r="P69" s="158"/>
      <c r="Q69" s="185"/>
      <c r="R69" s="175"/>
      <c r="S69" s="174">
        <f t="shared" si="0"/>
        <v>0</v>
      </c>
      <c r="T69" s="157"/>
      <c r="U69" s="177">
        <v>-146</v>
      </c>
      <c r="V69" s="157"/>
      <c r="W69" s="157"/>
      <c r="X69" s="176">
        <f t="shared" si="1"/>
        <v>-146</v>
      </c>
      <c r="Y69" s="184"/>
      <c r="Z69" s="179"/>
      <c r="AA69" s="157"/>
      <c r="AB69" s="157"/>
      <c r="AC69" s="157"/>
    </row>
    <row r="70" spans="1:29" ht="12" customHeight="1" outlineLevel="1">
      <c r="A70" s="170" t="s">
        <v>302</v>
      </c>
      <c r="B70" s="157" t="s">
        <v>303</v>
      </c>
      <c r="C70" s="171">
        <v>42748</v>
      </c>
      <c r="D70" s="178"/>
      <c r="E70" s="157" t="s">
        <v>356</v>
      </c>
      <c r="F70" s="223" t="s">
        <v>1033</v>
      </c>
      <c r="G70" s="223"/>
      <c r="H70" s="224" t="s">
        <v>1039</v>
      </c>
      <c r="I70" s="157" t="s">
        <v>1009</v>
      </c>
      <c r="J70" s="157" t="s">
        <v>1009</v>
      </c>
      <c r="K70" s="157" t="s">
        <v>1009</v>
      </c>
      <c r="L70" s="223" t="s">
        <v>296</v>
      </c>
      <c r="M70" s="173"/>
      <c r="N70" s="173"/>
      <c r="O70" s="157" t="s">
        <v>271</v>
      </c>
      <c r="P70" s="158">
        <v>1410.99</v>
      </c>
      <c r="Q70" s="185"/>
      <c r="R70" s="175"/>
      <c r="S70" s="174">
        <f t="shared" ref="S70:S133" si="2">P70</f>
        <v>1410.99</v>
      </c>
      <c r="T70" s="157"/>
      <c r="U70" s="177"/>
      <c r="V70" s="157"/>
      <c r="W70" s="157"/>
      <c r="X70" s="176">
        <f t="shared" ref="X70:X133" si="3">U70</f>
        <v>0</v>
      </c>
      <c r="Y70" s="184"/>
      <c r="Z70" s="179"/>
      <c r="AA70" s="157"/>
      <c r="AB70" s="157"/>
      <c r="AC70" s="157"/>
    </row>
    <row r="71" spans="1:29" ht="12" customHeight="1" outlineLevel="1">
      <c r="A71" s="170" t="s">
        <v>302</v>
      </c>
      <c r="B71" s="157" t="s">
        <v>303</v>
      </c>
      <c r="C71" s="171">
        <v>42752</v>
      </c>
      <c r="D71" s="178"/>
      <c r="E71" s="157" t="s">
        <v>304</v>
      </c>
      <c r="F71" s="223" t="s">
        <v>1033</v>
      </c>
      <c r="G71" s="223"/>
      <c r="H71" s="224" t="s">
        <v>1039</v>
      </c>
      <c r="I71" s="157"/>
      <c r="J71" s="172"/>
      <c r="K71" s="157"/>
      <c r="L71" s="223" t="s">
        <v>296</v>
      </c>
      <c r="M71" s="173"/>
      <c r="N71" s="173"/>
      <c r="O71" s="157" t="s">
        <v>308</v>
      </c>
      <c r="P71" s="158"/>
      <c r="Q71" s="185"/>
      <c r="R71" s="175"/>
      <c r="S71" s="174">
        <f t="shared" si="2"/>
        <v>0</v>
      </c>
      <c r="T71" s="157"/>
      <c r="U71" s="177">
        <v>-487</v>
      </c>
      <c r="V71" s="157"/>
      <c r="W71" s="157"/>
      <c r="X71" s="176">
        <f t="shared" si="3"/>
        <v>-487</v>
      </c>
      <c r="Y71" s="184"/>
      <c r="Z71" s="179"/>
      <c r="AA71" s="157"/>
      <c r="AB71" s="157"/>
      <c r="AC71" s="157"/>
    </row>
    <row r="72" spans="1:29" ht="12" customHeight="1" outlineLevel="1">
      <c r="A72" s="170" t="s">
        <v>302</v>
      </c>
      <c r="B72" s="157" t="s">
        <v>303</v>
      </c>
      <c r="C72" s="171">
        <v>42752</v>
      </c>
      <c r="D72" s="178"/>
      <c r="E72" s="157" t="s">
        <v>304</v>
      </c>
      <c r="F72" s="223" t="s">
        <v>1033</v>
      </c>
      <c r="G72" s="223"/>
      <c r="H72" s="224" t="s">
        <v>1039</v>
      </c>
      <c r="I72" s="157"/>
      <c r="J72" s="172"/>
      <c r="K72" s="157"/>
      <c r="L72" s="223" t="s">
        <v>296</v>
      </c>
      <c r="M72" s="173"/>
      <c r="N72" s="173"/>
      <c r="O72" s="157" t="s">
        <v>308</v>
      </c>
      <c r="P72" s="158"/>
      <c r="Q72" s="185"/>
      <c r="R72" s="175"/>
      <c r="S72" s="174">
        <f t="shared" si="2"/>
        <v>0</v>
      </c>
      <c r="T72" s="157"/>
      <c r="U72" s="177">
        <v>-552</v>
      </c>
      <c r="V72" s="157"/>
      <c r="W72" s="157"/>
      <c r="X72" s="176">
        <f t="shared" si="3"/>
        <v>-552</v>
      </c>
      <c r="Y72" s="184"/>
      <c r="Z72" s="179"/>
      <c r="AA72" s="157"/>
      <c r="AB72" s="157"/>
      <c r="AC72" s="157"/>
    </row>
    <row r="73" spans="1:29" ht="12" customHeight="1" outlineLevel="1">
      <c r="A73" s="170" t="s">
        <v>302</v>
      </c>
      <c r="B73" s="157" t="s">
        <v>303</v>
      </c>
      <c r="C73" s="171">
        <v>42752</v>
      </c>
      <c r="D73" s="178"/>
      <c r="E73" s="157" t="s">
        <v>357</v>
      </c>
      <c r="F73" s="223" t="s">
        <v>1033</v>
      </c>
      <c r="G73" s="223"/>
      <c r="H73" s="224" t="s">
        <v>1039</v>
      </c>
      <c r="I73" s="157"/>
      <c r="J73" s="172"/>
      <c r="K73" s="157"/>
      <c r="L73" s="223" t="s">
        <v>296</v>
      </c>
      <c r="M73" s="173"/>
      <c r="N73" s="173"/>
      <c r="O73" s="157" t="s">
        <v>307</v>
      </c>
      <c r="P73" s="158"/>
      <c r="Q73" s="185"/>
      <c r="R73" s="175"/>
      <c r="S73" s="174">
        <f t="shared" si="2"/>
        <v>0</v>
      </c>
      <c r="T73" s="157"/>
      <c r="U73" s="177">
        <v>-423.6</v>
      </c>
      <c r="V73" s="157"/>
      <c r="W73" s="157"/>
      <c r="X73" s="176">
        <f t="shared" si="3"/>
        <v>-423.6</v>
      </c>
      <c r="Y73" s="184"/>
      <c r="Z73" s="179"/>
      <c r="AA73" s="157"/>
      <c r="AB73" s="157"/>
      <c r="AC73" s="157"/>
    </row>
    <row r="74" spans="1:29" ht="12" customHeight="1" outlineLevel="1">
      <c r="A74" s="170" t="s">
        <v>302</v>
      </c>
      <c r="B74" s="157" t="s">
        <v>303</v>
      </c>
      <c r="C74" s="171">
        <v>42752</v>
      </c>
      <c r="D74" s="178"/>
      <c r="E74" s="157" t="s">
        <v>358</v>
      </c>
      <c r="F74" s="223" t="s">
        <v>1033</v>
      </c>
      <c r="G74" s="223"/>
      <c r="H74" s="224" t="s">
        <v>1039</v>
      </c>
      <c r="I74" s="157"/>
      <c r="J74" s="172"/>
      <c r="K74" s="157"/>
      <c r="L74" s="223" t="s">
        <v>296</v>
      </c>
      <c r="M74" s="173"/>
      <c r="N74" s="173"/>
      <c r="O74" s="157" t="s">
        <v>307</v>
      </c>
      <c r="P74" s="158"/>
      <c r="Q74" s="185"/>
      <c r="R74" s="175"/>
      <c r="S74" s="174">
        <f t="shared" si="2"/>
        <v>0</v>
      </c>
      <c r="T74" s="157"/>
      <c r="U74" s="177">
        <v>-72.239999999999995</v>
      </c>
      <c r="V74" s="157"/>
      <c r="W74" s="157"/>
      <c r="X74" s="176">
        <f t="shared" si="3"/>
        <v>-72.239999999999995</v>
      </c>
      <c r="Y74" s="184"/>
      <c r="Z74" s="179"/>
      <c r="AA74" s="157"/>
      <c r="AB74" s="157"/>
      <c r="AC74" s="157"/>
    </row>
    <row r="75" spans="1:29" ht="12" customHeight="1" outlineLevel="1">
      <c r="A75" s="170" t="s">
        <v>302</v>
      </c>
      <c r="B75" s="157" t="s">
        <v>303</v>
      </c>
      <c r="C75" s="171">
        <v>42752</v>
      </c>
      <c r="D75" s="178"/>
      <c r="E75" s="157" t="s">
        <v>359</v>
      </c>
      <c r="F75" s="223" t="s">
        <v>1033</v>
      </c>
      <c r="G75" s="223"/>
      <c r="H75" s="224" t="s">
        <v>1039</v>
      </c>
      <c r="I75" s="157"/>
      <c r="J75" s="172"/>
      <c r="K75" s="157"/>
      <c r="L75" s="223" t="s">
        <v>296</v>
      </c>
      <c r="M75" s="173"/>
      <c r="N75" s="173"/>
      <c r="O75" s="157" t="s">
        <v>307</v>
      </c>
      <c r="P75" s="158"/>
      <c r="Q75" s="185"/>
      <c r="R75" s="175"/>
      <c r="S75" s="174">
        <f t="shared" si="2"/>
        <v>0</v>
      </c>
      <c r="T75" s="157"/>
      <c r="U75" s="177">
        <v>-9.67</v>
      </c>
      <c r="V75" s="157"/>
      <c r="W75" s="157"/>
      <c r="X75" s="176">
        <f t="shared" si="3"/>
        <v>-9.67</v>
      </c>
      <c r="Y75" s="184"/>
      <c r="Z75" s="179"/>
      <c r="AA75" s="157"/>
      <c r="AB75" s="157"/>
      <c r="AC75" s="157"/>
    </row>
    <row r="76" spans="1:29" ht="12" customHeight="1" outlineLevel="1">
      <c r="A76" s="170" t="s">
        <v>302</v>
      </c>
      <c r="B76" s="157" t="s">
        <v>303</v>
      </c>
      <c r="C76" s="171">
        <v>42752</v>
      </c>
      <c r="D76" s="178"/>
      <c r="E76" s="157" t="s">
        <v>360</v>
      </c>
      <c r="F76" s="223" t="s">
        <v>1033</v>
      </c>
      <c r="G76" s="223"/>
      <c r="H76" s="224" t="s">
        <v>1039</v>
      </c>
      <c r="I76" s="157"/>
      <c r="J76" s="172"/>
      <c r="K76" s="157"/>
      <c r="L76" s="223" t="s">
        <v>296</v>
      </c>
      <c r="M76" s="173"/>
      <c r="N76" s="173"/>
      <c r="O76" s="157" t="s">
        <v>307</v>
      </c>
      <c r="P76" s="158"/>
      <c r="Q76" s="185"/>
      <c r="R76" s="175"/>
      <c r="S76" s="174">
        <f t="shared" si="2"/>
        <v>0</v>
      </c>
      <c r="T76" s="157"/>
      <c r="U76" s="177">
        <v>-6.95</v>
      </c>
      <c r="V76" s="157"/>
      <c r="W76" s="157"/>
      <c r="X76" s="176">
        <f t="shared" si="3"/>
        <v>-6.95</v>
      </c>
      <c r="Y76" s="184"/>
      <c r="Z76" s="179"/>
      <c r="AA76" s="157"/>
      <c r="AB76" s="157"/>
      <c r="AC76" s="157"/>
    </row>
    <row r="77" spans="1:29" ht="12" customHeight="1" outlineLevel="1">
      <c r="A77" s="170" t="s">
        <v>302</v>
      </c>
      <c r="B77" s="157" t="s">
        <v>303</v>
      </c>
      <c r="C77" s="171">
        <v>42752</v>
      </c>
      <c r="D77" s="178"/>
      <c r="E77" s="157" t="s">
        <v>361</v>
      </c>
      <c r="F77" s="223" t="s">
        <v>1033</v>
      </c>
      <c r="G77" s="223"/>
      <c r="H77" s="224" t="s">
        <v>1039</v>
      </c>
      <c r="I77" s="157"/>
      <c r="J77" s="172"/>
      <c r="K77" s="157"/>
      <c r="L77" s="223" t="s">
        <v>296</v>
      </c>
      <c r="M77" s="173"/>
      <c r="N77" s="173"/>
      <c r="O77" s="157" t="s">
        <v>307</v>
      </c>
      <c r="P77" s="158"/>
      <c r="Q77" s="185"/>
      <c r="R77" s="175"/>
      <c r="S77" s="174">
        <f t="shared" si="2"/>
        <v>0</v>
      </c>
      <c r="T77" s="157"/>
      <c r="U77" s="177">
        <v>-62.21</v>
      </c>
      <c r="V77" s="157"/>
      <c r="W77" s="157"/>
      <c r="X77" s="176">
        <f t="shared" si="3"/>
        <v>-62.21</v>
      </c>
      <c r="Y77" s="184"/>
      <c r="Z77" s="179"/>
      <c r="AA77" s="157"/>
      <c r="AB77" s="157"/>
      <c r="AC77" s="157"/>
    </row>
    <row r="78" spans="1:29" ht="12" customHeight="1" outlineLevel="1">
      <c r="A78" s="170" t="s">
        <v>302</v>
      </c>
      <c r="B78" s="157" t="s">
        <v>303</v>
      </c>
      <c r="C78" s="171">
        <v>42752</v>
      </c>
      <c r="D78" s="178"/>
      <c r="E78" s="157" t="s">
        <v>362</v>
      </c>
      <c r="F78" s="223" t="s">
        <v>1033</v>
      </c>
      <c r="G78" s="223"/>
      <c r="H78" s="224" t="s">
        <v>1039</v>
      </c>
      <c r="I78" s="157"/>
      <c r="J78" s="172"/>
      <c r="K78" s="157"/>
      <c r="L78" s="223" t="s">
        <v>296</v>
      </c>
      <c r="M78" s="173"/>
      <c r="N78" s="173"/>
      <c r="O78" s="157" t="s">
        <v>307</v>
      </c>
      <c r="P78" s="158"/>
      <c r="Q78" s="185"/>
      <c r="R78" s="175"/>
      <c r="S78" s="174">
        <f t="shared" si="2"/>
        <v>0</v>
      </c>
      <c r="T78" s="157"/>
      <c r="U78" s="177">
        <v>-21.59</v>
      </c>
      <c r="V78" s="157"/>
      <c r="W78" s="157"/>
      <c r="X78" s="176">
        <f t="shared" si="3"/>
        <v>-21.59</v>
      </c>
      <c r="Y78" s="184"/>
      <c r="Z78" s="179"/>
      <c r="AA78" s="157"/>
      <c r="AB78" s="157"/>
      <c r="AC78" s="157"/>
    </row>
    <row r="79" spans="1:29" ht="12" customHeight="1" outlineLevel="1">
      <c r="A79" s="170" t="s">
        <v>302</v>
      </c>
      <c r="B79" s="157" t="s">
        <v>303</v>
      </c>
      <c r="C79" s="171">
        <v>42752</v>
      </c>
      <c r="D79" s="178"/>
      <c r="E79" s="157" t="s">
        <v>363</v>
      </c>
      <c r="F79" s="223" t="s">
        <v>1033</v>
      </c>
      <c r="G79" s="223"/>
      <c r="H79" s="224" t="s">
        <v>1039</v>
      </c>
      <c r="I79" s="157"/>
      <c r="J79" s="172"/>
      <c r="K79" s="157"/>
      <c r="L79" s="223" t="s">
        <v>296</v>
      </c>
      <c r="M79" s="173"/>
      <c r="N79" s="173"/>
      <c r="O79" s="157" t="s">
        <v>307</v>
      </c>
      <c r="P79" s="158"/>
      <c r="Q79" s="185"/>
      <c r="R79" s="175"/>
      <c r="S79" s="174">
        <f t="shared" si="2"/>
        <v>0</v>
      </c>
      <c r="T79" s="157"/>
      <c r="U79" s="177">
        <v>-24.99</v>
      </c>
      <c r="V79" s="157"/>
      <c r="W79" s="157"/>
      <c r="X79" s="176">
        <f t="shared" si="3"/>
        <v>-24.99</v>
      </c>
      <c r="Y79" s="184"/>
      <c r="Z79" s="179"/>
      <c r="AA79" s="157"/>
      <c r="AB79" s="157"/>
      <c r="AC79" s="157"/>
    </row>
    <row r="80" spans="1:29" ht="12" customHeight="1" outlineLevel="1">
      <c r="A80" s="170" t="s">
        <v>302</v>
      </c>
      <c r="B80" s="157" t="s">
        <v>303</v>
      </c>
      <c r="C80" s="171">
        <v>42752</v>
      </c>
      <c r="D80" s="178"/>
      <c r="E80" s="157" t="s">
        <v>364</v>
      </c>
      <c r="F80" s="223" t="s">
        <v>1033</v>
      </c>
      <c r="G80" s="223"/>
      <c r="H80" s="224" t="s">
        <v>1039</v>
      </c>
      <c r="I80" s="157"/>
      <c r="J80" s="172"/>
      <c r="K80" s="157"/>
      <c r="L80" s="223" t="s">
        <v>296</v>
      </c>
      <c r="M80" s="173"/>
      <c r="N80" s="173"/>
      <c r="O80" s="157" t="s">
        <v>307</v>
      </c>
      <c r="P80" s="158"/>
      <c r="Q80" s="185"/>
      <c r="R80" s="175"/>
      <c r="S80" s="174">
        <f t="shared" si="2"/>
        <v>0</v>
      </c>
      <c r="T80" s="157"/>
      <c r="U80" s="177">
        <v>-65.72</v>
      </c>
      <c r="V80" s="157"/>
      <c r="W80" s="157"/>
      <c r="X80" s="176">
        <f t="shared" si="3"/>
        <v>-65.72</v>
      </c>
      <c r="Y80" s="184"/>
      <c r="Z80" s="179"/>
      <c r="AA80" s="157"/>
      <c r="AB80" s="157"/>
      <c r="AC80" s="157"/>
    </row>
    <row r="81" spans="1:29" ht="12" customHeight="1" outlineLevel="1">
      <c r="A81" s="170" t="s">
        <v>302</v>
      </c>
      <c r="B81" s="157" t="s">
        <v>303</v>
      </c>
      <c r="C81" s="171">
        <v>42752</v>
      </c>
      <c r="D81" s="178"/>
      <c r="E81" s="157" t="s">
        <v>365</v>
      </c>
      <c r="F81" s="223" t="s">
        <v>1033</v>
      </c>
      <c r="G81" s="223"/>
      <c r="H81" s="224" t="s">
        <v>1039</v>
      </c>
      <c r="I81" s="157"/>
      <c r="J81" s="172"/>
      <c r="K81" s="157"/>
      <c r="L81" s="223" t="s">
        <v>296</v>
      </c>
      <c r="M81" s="173"/>
      <c r="N81" s="173"/>
      <c r="O81" s="157" t="s">
        <v>307</v>
      </c>
      <c r="P81" s="158"/>
      <c r="Q81" s="185"/>
      <c r="R81" s="175"/>
      <c r="S81" s="174">
        <f t="shared" si="2"/>
        <v>0</v>
      </c>
      <c r="T81" s="157"/>
      <c r="U81" s="177">
        <v>-43.38</v>
      </c>
      <c r="V81" s="157"/>
      <c r="W81" s="157"/>
      <c r="X81" s="176">
        <f t="shared" si="3"/>
        <v>-43.38</v>
      </c>
      <c r="Y81" s="184"/>
      <c r="Z81" s="179"/>
      <c r="AA81" s="157"/>
      <c r="AB81" s="157"/>
      <c r="AC81" s="157"/>
    </row>
    <row r="82" spans="1:29" ht="12" customHeight="1" outlineLevel="1">
      <c r="A82" s="170" t="s">
        <v>302</v>
      </c>
      <c r="B82" s="157" t="s">
        <v>303</v>
      </c>
      <c r="C82" s="171">
        <v>42752</v>
      </c>
      <c r="D82" s="178"/>
      <c r="E82" s="157" t="s">
        <v>366</v>
      </c>
      <c r="F82" s="223" t="s">
        <v>1033</v>
      </c>
      <c r="G82" s="223"/>
      <c r="H82" s="224" t="s">
        <v>1039</v>
      </c>
      <c r="I82" s="157" t="s">
        <v>1009</v>
      </c>
      <c r="J82" s="157" t="s">
        <v>1009</v>
      </c>
      <c r="K82" s="157" t="s">
        <v>1009</v>
      </c>
      <c r="L82" s="223" t="s">
        <v>296</v>
      </c>
      <c r="M82" s="173"/>
      <c r="N82" s="173"/>
      <c r="O82" s="157" t="s">
        <v>271</v>
      </c>
      <c r="P82" s="158">
        <v>2006.03</v>
      </c>
      <c r="Q82" s="185"/>
      <c r="R82" s="175"/>
      <c r="S82" s="174">
        <f t="shared" si="2"/>
        <v>2006.03</v>
      </c>
      <c r="T82" s="157"/>
      <c r="U82" s="177"/>
      <c r="V82" s="157"/>
      <c r="W82" s="157"/>
      <c r="X82" s="176">
        <f t="shared" si="3"/>
        <v>0</v>
      </c>
      <c r="Y82" s="184"/>
      <c r="Z82" s="179"/>
      <c r="AA82" s="157"/>
      <c r="AB82" s="157"/>
      <c r="AC82" s="157"/>
    </row>
    <row r="83" spans="1:29" ht="12" customHeight="1" outlineLevel="1">
      <c r="A83" s="170" t="s">
        <v>302</v>
      </c>
      <c r="B83" s="157" t="s">
        <v>303</v>
      </c>
      <c r="C83" s="171">
        <v>42752</v>
      </c>
      <c r="D83" s="178"/>
      <c r="E83" s="157" t="s">
        <v>367</v>
      </c>
      <c r="F83" s="223" t="s">
        <v>1033</v>
      </c>
      <c r="G83" s="223"/>
      <c r="H83" s="224" t="s">
        <v>1039</v>
      </c>
      <c r="I83" s="157" t="s">
        <v>1009</v>
      </c>
      <c r="J83" s="157" t="s">
        <v>1009</v>
      </c>
      <c r="K83" s="157" t="s">
        <v>1009</v>
      </c>
      <c r="L83" s="223" t="s">
        <v>296</v>
      </c>
      <c r="M83" s="173"/>
      <c r="N83" s="173"/>
      <c r="O83" s="157" t="s">
        <v>271</v>
      </c>
      <c r="P83" s="158">
        <v>1955.09</v>
      </c>
      <c r="Q83" s="185"/>
      <c r="R83" s="175"/>
      <c r="S83" s="174">
        <f t="shared" si="2"/>
        <v>1955.09</v>
      </c>
      <c r="T83" s="157"/>
      <c r="U83" s="177"/>
      <c r="V83" s="157"/>
      <c r="W83" s="157"/>
      <c r="X83" s="176">
        <f t="shared" si="3"/>
        <v>0</v>
      </c>
      <c r="Y83" s="184"/>
      <c r="Z83" s="179"/>
      <c r="AA83" s="157"/>
      <c r="AB83" s="157"/>
      <c r="AC83" s="157"/>
    </row>
    <row r="84" spans="1:29" ht="12" customHeight="1" outlineLevel="1">
      <c r="A84" s="170" t="s">
        <v>302</v>
      </c>
      <c r="B84" s="157" t="s">
        <v>303</v>
      </c>
      <c r="C84" s="171">
        <v>42752</v>
      </c>
      <c r="D84" s="178"/>
      <c r="E84" s="157" t="s">
        <v>368</v>
      </c>
      <c r="F84" s="223" t="s">
        <v>1033</v>
      </c>
      <c r="G84" s="223"/>
      <c r="H84" s="224" t="s">
        <v>1039</v>
      </c>
      <c r="I84" s="157" t="s">
        <v>1009</v>
      </c>
      <c r="J84" s="157" t="s">
        <v>1009</v>
      </c>
      <c r="K84" s="157" t="s">
        <v>1009</v>
      </c>
      <c r="L84" s="223" t="s">
        <v>296</v>
      </c>
      <c r="M84" s="173"/>
      <c r="N84" s="173"/>
      <c r="O84" s="157" t="s">
        <v>271</v>
      </c>
      <c r="P84" s="158">
        <v>967.86</v>
      </c>
      <c r="Q84" s="185"/>
      <c r="R84" s="175"/>
      <c r="S84" s="174">
        <f t="shared" si="2"/>
        <v>967.86</v>
      </c>
      <c r="T84" s="157"/>
      <c r="U84" s="177"/>
      <c r="V84" s="157"/>
      <c r="W84" s="157"/>
      <c r="X84" s="176">
        <f t="shared" si="3"/>
        <v>0</v>
      </c>
      <c r="Y84" s="184"/>
      <c r="Z84" s="179"/>
      <c r="AA84" s="157"/>
      <c r="AB84" s="157"/>
      <c r="AC84" s="157"/>
    </row>
    <row r="85" spans="1:29" ht="12" customHeight="1" outlineLevel="1">
      <c r="A85" s="170" t="s">
        <v>302</v>
      </c>
      <c r="B85" s="157" t="s">
        <v>303</v>
      </c>
      <c r="C85" s="171">
        <v>42752</v>
      </c>
      <c r="D85" s="178"/>
      <c r="E85" s="157" t="s">
        <v>369</v>
      </c>
      <c r="F85" s="223" t="s">
        <v>1033</v>
      </c>
      <c r="G85" s="223"/>
      <c r="H85" s="224" t="s">
        <v>1039</v>
      </c>
      <c r="I85" s="157" t="s">
        <v>1009</v>
      </c>
      <c r="J85" s="157" t="s">
        <v>1009</v>
      </c>
      <c r="K85" s="157" t="s">
        <v>1009</v>
      </c>
      <c r="L85" s="223" t="s">
        <v>296</v>
      </c>
      <c r="M85" s="173"/>
      <c r="N85" s="173"/>
      <c r="O85" s="157" t="s">
        <v>271</v>
      </c>
      <c r="P85" s="158">
        <v>511.69</v>
      </c>
      <c r="Q85" s="185"/>
      <c r="R85" s="175"/>
      <c r="S85" s="174">
        <f t="shared" si="2"/>
        <v>511.69</v>
      </c>
      <c r="T85" s="157"/>
      <c r="U85" s="177"/>
      <c r="V85" s="157"/>
      <c r="W85" s="157"/>
      <c r="X85" s="176">
        <f t="shared" si="3"/>
        <v>0</v>
      </c>
      <c r="Y85" s="184"/>
      <c r="Z85" s="179"/>
      <c r="AA85" s="157"/>
      <c r="AB85" s="157"/>
      <c r="AC85" s="157"/>
    </row>
    <row r="86" spans="1:29" ht="12" customHeight="1" outlineLevel="1">
      <c r="A86" s="170" t="s">
        <v>302</v>
      </c>
      <c r="B86" s="157" t="s">
        <v>303</v>
      </c>
      <c r="C86" s="171">
        <v>42753</v>
      </c>
      <c r="D86" s="178"/>
      <c r="E86" s="157" t="s">
        <v>370</v>
      </c>
      <c r="F86" s="223" t="s">
        <v>1033</v>
      </c>
      <c r="G86" s="223"/>
      <c r="H86" s="224" t="s">
        <v>1039</v>
      </c>
      <c r="I86" s="157"/>
      <c r="J86" s="172"/>
      <c r="K86" s="157"/>
      <c r="L86" s="223" t="s">
        <v>296</v>
      </c>
      <c r="M86" s="173"/>
      <c r="N86" s="173"/>
      <c r="O86" s="157" t="s">
        <v>307</v>
      </c>
      <c r="P86" s="158"/>
      <c r="Q86" s="185"/>
      <c r="R86" s="175"/>
      <c r="S86" s="174">
        <f t="shared" si="2"/>
        <v>0</v>
      </c>
      <c r="T86" s="157"/>
      <c r="U86" s="177">
        <v>-66.33</v>
      </c>
      <c r="V86" s="157"/>
      <c r="W86" s="157"/>
      <c r="X86" s="176">
        <f t="shared" si="3"/>
        <v>-66.33</v>
      </c>
      <c r="Y86" s="184"/>
      <c r="Z86" s="179"/>
      <c r="AA86" s="157"/>
      <c r="AB86" s="157"/>
      <c r="AC86" s="157"/>
    </row>
    <row r="87" spans="1:29" ht="12" customHeight="1" outlineLevel="1">
      <c r="A87" s="170" t="s">
        <v>302</v>
      </c>
      <c r="B87" s="157" t="s">
        <v>303</v>
      </c>
      <c r="C87" s="171">
        <v>42753</v>
      </c>
      <c r="D87" s="178"/>
      <c r="E87" s="157" t="s">
        <v>371</v>
      </c>
      <c r="F87" s="223" t="s">
        <v>1033</v>
      </c>
      <c r="G87" s="223"/>
      <c r="H87" s="224" t="s">
        <v>1039</v>
      </c>
      <c r="I87" s="157"/>
      <c r="J87" s="172"/>
      <c r="K87" s="157"/>
      <c r="L87" s="223" t="s">
        <v>296</v>
      </c>
      <c r="M87" s="173"/>
      <c r="N87" s="173"/>
      <c r="O87" s="157" t="s">
        <v>307</v>
      </c>
      <c r="P87" s="158"/>
      <c r="Q87" s="185"/>
      <c r="R87" s="175"/>
      <c r="S87" s="174">
        <f t="shared" si="2"/>
        <v>0</v>
      </c>
      <c r="T87" s="157"/>
      <c r="U87" s="177">
        <v>-102.44</v>
      </c>
      <c r="V87" s="157"/>
      <c r="W87" s="157"/>
      <c r="X87" s="176">
        <f t="shared" si="3"/>
        <v>-102.44</v>
      </c>
      <c r="Y87" s="184"/>
      <c r="Z87" s="179"/>
      <c r="AA87" s="157"/>
      <c r="AB87" s="157"/>
      <c r="AC87" s="157"/>
    </row>
    <row r="88" spans="1:29" ht="12" customHeight="1" outlineLevel="1">
      <c r="A88" s="170" t="s">
        <v>302</v>
      </c>
      <c r="B88" s="157" t="s">
        <v>303</v>
      </c>
      <c r="C88" s="171">
        <v>42753</v>
      </c>
      <c r="D88" s="178"/>
      <c r="E88" s="157" t="s">
        <v>372</v>
      </c>
      <c r="F88" s="223" t="s">
        <v>1033</v>
      </c>
      <c r="G88" s="223"/>
      <c r="H88" s="224" t="s">
        <v>1039</v>
      </c>
      <c r="I88" s="157"/>
      <c r="J88" s="172"/>
      <c r="K88" s="157"/>
      <c r="L88" s="223" t="s">
        <v>296</v>
      </c>
      <c r="M88" s="173"/>
      <c r="N88" s="173"/>
      <c r="O88" s="157" t="s">
        <v>307</v>
      </c>
      <c r="P88" s="158"/>
      <c r="Q88" s="185"/>
      <c r="R88" s="175"/>
      <c r="S88" s="174">
        <f t="shared" si="2"/>
        <v>0</v>
      </c>
      <c r="T88" s="157"/>
      <c r="U88" s="177">
        <v>-6.96</v>
      </c>
      <c r="V88" s="157"/>
      <c r="W88" s="157"/>
      <c r="X88" s="176">
        <f t="shared" si="3"/>
        <v>-6.96</v>
      </c>
      <c r="Y88" s="184"/>
      <c r="Z88" s="179"/>
      <c r="AA88" s="157"/>
      <c r="AB88" s="157"/>
      <c r="AC88" s="157"/>
    </row>
    <row r="89" spans="1:29" ht="12" customHeight="1" outlineLevel="1">
      <c r="A89" s="170" t="s">
        <v>302</v>
      </c>
      <c r="B89" s="157" t="s">
        <v>303</v>
      </c>
      <c r="C89" s="171">
        <v>42753</v>
      </c>
      <c r="D89" s="178"/>
      <c r="E89" s="157" t="s">
        <v>373</v>
      </c>
      <c r="F89" s="223" t="s">
        <v>1033</v>
      </c>
      <c r="G89" s="223"/>
      <c r="H89" s="224" t="s">
        <v>1039</v>
      </c>
      <c r="I89" s="157" t="s">
        <v>1009</v>
      </c>
      <c r="J89" s="157" t="s">
        <v>1009</v>
      </c>
      <c r="K89" s="157" t="s">
        <v>1009</v>
      </c>
      <c r="L89" s="223" t="s">
        <v>296</v>
      </c>
      <c r="M89" s="173"/>
      <c r="N89" s="173"/>
      <c r="O89" s="157" t="s">
        <v>271</v>
      </c>
      <c r="P89" s="158">
        <v>1230.21</v>
      </c>
      <c r="Q89" s="185"/>
      <c r="R89" s="175"/>
      <c r="S89" s="174">
        <f t="shared" si="2"/>
        <v>1230.21</v>
      </c>
      <c r="T89" s="157"/>
      <c r="U89" s="177"/>
      <c r="V89" s="157"/>
      <c r="W89" s="157"/>
      <c r="X89" s="176">
        <f t="shared" si="3"/>
        <v>0</v>
      </c>
      <c r="Y89" s="184"/>
      <c r="Z89" s="179"/>
      <c r="AA89" s="157"/>
      <c r="AB89" s="157"/>
      <c r="AC89" s="157"/>
    </row>
    <row r="90" spans="1:29" ht="12" customHeight="1" outlineLevel="1">
      <c r="A90" s="170" t="s">
        <v>302</v>
      </c>
      <c r="B90" s="157" t="s">
        <v>303</v>
      </c>
      <c r="C90" s="171">
        <v>42753</v>
      </c>
      <c r="D90" s="178"/>
      <c r="E90" s="157" t="s">
        <v>374</v>
      </c>
      <c r="F90" s="223" t="s">
        <v>1033</v>
      </c>
      <c r="G90" s="223"/>
      <c r="H90" s="224" t="s">
        <v>1039</v>
      </c>
      <c r="I90" s="157" t="s">
        <v>1009</v>
      </c>
      <c r="J90" s="157" t="s">
        <v>1009</v>
      </c>
      <c r="K90" s="157" t="s">
        <v>1009</v>
      </c>
      <c r="L90" s="223" t="s">
        <v>296</v>
      </c>
      <c r="M90" s="173"/>
      <c r="N90" s="173"/>
      <c r="O90" s="157" t="s">
        <v>271</v>
      </c>
      <c r="P90" s="158">
        <v>838.66</v>
      </c>
      <c r="Q90" s="185"/>
      <c r="R90" s="175"/>
      <c r="S90" s="174">
        <f t="shared" si="2"/>
        <v>838.66</v>
      </c>
      <c r="T90" s="157"/>
      <c r="U90" s="177"/>
      <c r="V90" s="157"/>
      <c r="W90" s="157"/>
      <c r="X90" s="176">
        <f t="shared" si="3"/>
        <v>0</v>
      </c>
      <c r="Y90" s="184"/>
      <c r="Z90" s="179"/>
      <c r="AA90" s="157"/>
      <c r="AB90" s="157"/>
      <c r="AC90" s="157"/>
    </row>
    <row r="91" spans="1:29" ht="12" customHeight="1" outlineLevel="1">
      <c r="A91" s="170" t="s">
        <v>302</v>
      </c>
      <c r="B91" s="157" t="s">
        <v>303</v>
      </c>
      <c r="C91" s="171">
        <v>42754</v>
      </c>
      <c r="D91" s="178"/>
      <c r="E91" s="157" t="s">
        <v>375</v>
      </c>
      <c r="F91" s="223" t="s">
        <v>1033</v>
      </c>
      <c r="G91" s="223"/>
      <c r="H91" s="224" t="s">
        <v>1039</v>
      </c>
      <c r="I91" s="157"/>
      <c r="J91" s="172"/>
      <c r="K91" s="157"/>
      <c r="L91" s="223" t="s">
        <v>296</v>
      </c>
      <c r="M91" s="173"/>
      <c r="N91" s="173"/>
      <c r="O91" s="157" t="s">
        <v>307</v>
      </c>
      <c r="P91" s="158"/>
      <c r="Q91" s="185"/>
      <c r="R91" s="175"/>
      <c r="S91" s="174">
        <f t="shared" si="2"/>
        <v>0</v>
      </c>
      <c r="T91" s="157"/>
      <c r="U91" s="177">
        <v>-40.28</v>
      </c>
      <c r="V91" s="157"/>
      <c r="W91" s="157"/>
      <c r="X91" s="176">
        <f t="shared" si="3"/>
        <v>-40.28</v>
      </c>
      <c r="Y91" s="184"/>
      <c r="Z91" s="179"/>
      <c r="AA91" s="157"/>
      <c r="AB91" s="157"/>
      <c r="AC91" s="157"/>
    </row>
    <row r="92" spans="1:29" ht="12" customHeight="1" outlineLevel="1">
      <c r="A92" s="170" t="s">
        <v>302</v>
      </c>
      <c r="B92" s="157" t="s">
        <v>303</v>
      </c>
      <c r="C92" s="171">
        <v>42754</v>
      </c>
      <c r="D92" s="178"/>
      <c r="E92" s="157" t="s">
        <v>376</v>
      </c>
      <c r="F92" s="223" t="s">
        <v>1033</v>
      </c>
      <c r="G92" s="223"/>
      <c r="H92" s="224" t="s">
        <v>1039</v>
      </c>
      <c r="I92" s="157"/>
      <c r="J92" s="172"/>
      <c r="K92" s="157"/>
      <c r="L92" s="223" t="s">
        <v>296</v>
      </c>
      <c r="M92" s="173"/>
      <c r="N92" s="173"/>
      <c r="O92" s="157" t="s">
        <v>307</v>
      </c>
      <c r="P92" s="158"/>
      <c r="Q92" s="185"/>
      <c r="R92" s="175"/>
      <c r="S92" s="174">
        <f t="shared" si="2"/>
        <v>0</v>
      </c>
      <c r="T92" s="157"/>
      <c r="U92" s="177">
        <v>-72.47</v>
      </c>
      <c r="V92" s="157"/>
      <c r="W92" s="157"/>
      <c r="X92" s="176">
        <f t="shared" si="3"/>
        <v>-72.47</v>
      </c>
      <c r="Y92" s="184"/>
      <c r="Z92" s="179"/>
      <c r="AA92" s="157"/>
      <c r="AB92" s="157"/>
      <c r="AC92" s="157"/>
    </row>
    <row r="93" spans="1:29" ht="12" customHeight="1" outlineLevel="1">
      <c r="A93" s="170" t="s">
        <v>302</v>
      </c>
      <c r="B93" s="157" t="s">
        <v>303</v>
      </c>
      <c r="C93" s="171">
        <v>42754</v>
      </c>
      <c r="D93" s="178"/>
      <c r="E93" s="157" t="s">
        <v>377</v>
      </c>
      <c r="F93" s="223" t="s">
        <v>1033</v>
      </c>
      <c r="G93" s="223"/>
      <c r="H93" s="224" t="s">
        <v>1039</v>
      </c>
      <c r="I93" s="157"/>
      <c r="J93" s="172"/>
      <c r="K93" s="157"/>
      <c r="L93" s="223" t="s">
        <v>296</v>
      </c>
      <c r="M93" s="173"/>
      <c r="N93" s="173"/>
      <c r="O93" s="157" t="s">
        <v>307</v>
      </c>
      <c r="P93" s="158"/>
      <c r="Q93" s="185"/>
      <c r="R93" s="175"/>
      <c r="S93" s="174">
        <f t="shared" si="2"/>
        <v>0</v>
      </c>
      <c r="T93" s="157"/>
      <c r="U93" s="177">
        <v>-65.989999999999995</v>
      </c>
      <c r="V93" s="157"/>
      <c r="W93" s="157"/>
      <c r="X93" s="176">
        <f t="shared" si="3"/>
        <v>-65.989999999999995</v>
      </c>
      <c r="Y93" s="184"/>
      <c r="Z93" s="179"/>
      <c r="AA93" s="157"/>
      <c r="AB93" s="157"/>
      <c r="AC93" s="157"/>
    </row>
    <row r="94" spans="1:29" ht="12" customHeight="1" outlineLevel="1">
      <c r="A94" s="170" t="s">
        <v>302</v>
      </c>
      <c r="B94" s="157" t="s">
        <v>303</v>
      </c>
      <c r="C94" s="171">
        <v>42754</v>
      </c>
      <c r="D94" s="178"/>
      <c r="E94" s="157" t="s">
        <v>378</v>
      </c>
      <c r="F94" s="223" t="s">
        <v>1033</v>
      </c>
      <c r="G94" s="223"/>
      <c r="H94" s="224" t="s">
        <v>1039</v>
      </c>
      <c r="I94" s="157" t="s">
        <v>1009</v>
      </c>
      <c r="J94" s="157" t="s">
        <v>1009</v>
      </c>
      <c r="K94" s="157" t="s">
        <v>1009</v>
      </c>
      <c r="L94" s="223" t="s">
        <v>296</v>
      </c>
      <c r="M94" s="173"/>
      <c r="N94" s="173"/>
      <c r="O94" s="157" t="s">
        <v>271</v>
      </c>
      <c r="P94" s="158">
        <v>905.11</v>
      </c>
      <c r="Q94" s="185"/>
      <c r="R94" s="175"/>
      <c r="S94" s="174">
        <f t="shared" si="2"/>
        <v>905.11</v>
      </c>
      <c r="T94" s="157"/>
      <c r="U94" s="177"/>
      <c r="V94" s="157"/>
      <c r="W94" s="157"/>
      <c r="X94" s="176">
        <f t="shared" si="3"/>
        <v>0</v>
      </c>
      <c r="Y94" s="184"/>
      <c r="Z94" s="179"/>
      <c r="AA94" s="157"/>
      <c r="AB94" s="157"/>
      <c r="AC94" s="157"/>
    </row>
    <row r="95" spans="1:29" ht="12" customHeight="1" outlineLevel="1">
      <c r="A95" s="170" t="s">
        <v>302</v>
      </c>
      <c r="B95" s="157" t="s">
        <v>303</v>
      </c>
      <c r="C95" s="171">
        <v>42755</v>
      </c>
      <c r="D95" s="178"/>
      <c r="E95" s="157" t="s">
        <v>379</v>
      </c>
      <c r="F95" s="223" t="s">
        <v>1033</v>
      </c>
      <c r="G95" s="223"/>
      <c r="H95" s="224" t="s">
        <v>1039</v>
      </c>
      <c r="I95" s="157"/>
      <c r="J95" s="172"/>
      <c r="K95" s="157"/>
      <c r="L95" s="223" t="s">
        <v>296</v>
      </c>
      <c r="M95" s="173"/>
      <c r="N95" s="173"/>
      <c r="O95" s="157" t="s">
        <v>307</v>
      </c>
      <c r="P95" s="158"/>
      <c r="Q95" s="185"/>
      <c r="R95" s="175"/>
      <c r="S95" s="174">
        <f t="shared" si="2"/>
        <v>0</v>
      </c>
      <c r="T95" s="157"/>
      <c r="U95" s="177">
        <v>-49.54</v>
      </c>
      <c r="V95" s="157"/>
      <c r="W95" s="157"/>
      <c r="X95" s="176">
        <f t="shared" si="3"/>
        <v>-49.54</v>
      </c>
      <c r="Y95" s="184"/>
      <c r="Z95" s="179"/>
      <c r="AA95" s="157"/>
      <c r="AB95" s="157"/>
      <c r="AC95" s="157"/>
    </row>
    <row r="96" spans="1:29" ht="12" customHeight="1" outlineLevel="1">
      <c r="A96" s="170" t="s">
        <v>302</v>
      </c>
      <c r="B96" s="157" t="s">
        <v>303</v>
      </c>
      <c r="C96" s="171">
        <v>42755</v>
      </c>
      <c r="D96" s="178"/>
      <c r="E96" s="157" t="s">
        <v>380</v>
      </c>
      <c r="F96" s="223" t="s">
        <v>1033</v>
      </c>
      <c r="G96" s="223"/>
      <c r="H96" s="224" t="s">
        <v>1039</v>
      </c>
      <c r="I96" s="157" t="s">
        <v>1009</v>
      </c>
      <c r="J96" s="157" t="s">
        <v>1009</v>
      </c>
      <c r="K96" s="157" t="s">
        <v>1009</v>
      </c>
      <c r="L96" s="223" t="s">
        <v>296</v>
      </c>
      <c r="M96" s="173"/>
      <c r="N96" s="173"/>
      <c r="O96" s="157" t="s">
        <v>271</v>
      </c>
      <c r="P96" s="158">
        <v>789.15</v>
      </c>
      <c r="Q96" s="185"/>
      <c r="R96" s="175"/>
      <c r="S96" s="174">
        <f t="shared" si="2"/>
        <v>789.15</v>
      </c>
      <c r="T96" s="157"/>
      <c r="U96" s="177"/>
      <c r="V96" s="157"/>
      <c r="W96" s="157"/>
      <c r="X96" s="176">
        <f t="shared" si="3"/>
        <v>0</v>
      </c>
      <c r="Y96" s="184"/>
      <c r="Z96" s="179"/>
      <c r="AA96" s="157"/>
      <c r="AB96" s="157"/>
      <c r="AC96" s="157"/>
    </row>
    <row r="97" spans="1:29" ht="12" customHeight="1" outlineLevel="1">
      <c r="A97" s="170" t="s">
        <v>302</v>
      </c>
      <c r="B97" s="157" t="s">
        <v>303</v>
      </c>
      <c r="C97" s="171">
        <v>42758</v>
      </c>
      <c r="D97" s="178"/>
      <c r="E97" s="157" t="s">
        <v>304</v>
      </c>
      <c r="F97" s="223" t="s">
        <v>1033</v>
      </c>
      <c r="G97" s="223"/>
      <c r="H97" s="224" t="s">
        <v>1039</v>
      </c>
      <c r="I97" s="157"/>
      <c r="J97" s="172"/>
      <c r="K97" s="157"/>
      <c r="L97" s="223" t="s">
        <v>296</v>
      </c>
      <c r="M97" s="173"/>
      <c r="N97" s="173"/>
      <c r="O97" s="157" t="s">
        <v>307</v>
      </c>
      <c r="P97" s="158"/>
      <c r="Q97" s="185"/>
      <c r="R97" s="175"/>
      <c r="S97" s="174">
        <f t="shared" si="2"/>
        <v>0</v>
      </c>
      <c r="T97" s="157"/>
      <c r="U97" s="177">
        <v>-109.45</v>
      </c>
      <c r="V97" s="157"/>
      <c r="W97" s="157"/>
      <c r="X97" s="176">
        <f t="shared" si="3"/>
        <v>-109.45</v>
      </c>
      <c r="Y97" s="184"/>
      <c r="Z97" s="179"/>
      <c r="AA97" s="157"/>
      <c r="AB97" s="157"/>
      <c r="AC97" s="157"/>
    </row>
    <row r="98" spans="1:29" ht="12" customHeight="1" outlineLevel="1">
      <c r="A98" s="170" t="s">
        <v>302</v>
      </c>
      <c r="B98" s="157" t="s">
        <v>303</v>
      </c>
      <c r="C98" s="171">
        <v>42758</v>
      </c>
      <c r="D98" s="178"/>
      <c r="E98" s="157" t="s">
        <v>304</v>
      </c>
      <c r="F98" s="223" t="s">
        <v>1033</v>
      </c>
      <c r="G98" s="223"/>
      <c r="H98" s="224" t="s">
        <v>1039</v>
      </c>
      <c r="I98" s="157"/>
      <c r="J98" s="172"/>
      <c r="K98" s="157"/>
      <c r="L98" s="223" t="s">
        <v>296</v>
      </c>
      <c r="M98" s="173"/>
      <c r="N98" s="173"/>
      <c r="O98" s="157" t="s">
        <v>308</v>
      </c>
      <c r="P98" s="158"/>
      <c r="Q98" s="185"/>
      <c r="R98" s="175"/>
      <c r="S98" s="174">
        <f t="shared" si="2"/>
        <v>0</v>
      </c>
      <c r="T98" s="157"/>
      <c r="U98" s="177">
        <v>-562</v>
      </c>
      <c r="V98" s="157"/>
      <c r="W98" s="157"/>
      <c r="X98" s="176">
        <f t="shared" si="3"/>
        <v>-562</v>
      </c>
      <c r="Y98" s="184"/>
      <c r="Z98" s="179"/>
      <c r="AA98" s="157"/>
      <c r="AB98" s="157"/>
      <c r="AC98" s="157"/>
    </row>
    <row r="99" spans="1:29" ht="12" customHeight="1" outlineLevel="1">
      <c r="A99" s="170" t="s">
        <v>302</v>
      </c>
      <c r="B99" s="157" t="s">
        <v>303</v>
      </c>
      <c r="C99" s="171">
        <v>42758</v>
      </c>
      <c r="D99" s="178"/>
      <c r="E99" s="157" t="s">
        <v>381</v>
      </c>
      <c r="F99" s="223" t="s">
        <v>1033</v>
      </c>
      <c r="G99" s="223"/>
      <c r="H99" s="224" t="s">
        <v>1039</v>
      </c>
      <c r="I99" s="157"/>
      <c r="J99" s="172"/>
      <c r="K99" s="157"/>
      <c r="L99" s="223" t="s">
        <v>296</v>
      </c>
      <c r="M99" s="173"/>
      <c r="N99" s="173"/>
      <c r="O99" s="157" t="s">
        <v>307</v>
      </c>
      <c r="P99" s="158"/>
      <c r="Q99" s="185"/>
      <c r="R99" s="175"/>
      <c r="S99" s="174">
        <f t="shared" si="2"/>
        <v>0</v>
      </c>
      <c r="T99" s="157"/>
      <c r="U99" s="177">
        <v>-32.04</v>
      </c>
      <c r="V99" s="157"/>
      <c r="W99" s="157"/>
      <c r="X99" s="176">
        <f t="shared" si="3"/>
        <v>-32.04</v>
      </c>
      <c r="Y99" s="184"/>
      <c r="Z99" s="179"/>
      <c r="AA99" s="157"/>
      <c r="AB99" s="157"/>
      <c r="AC99" s="157"/>
    </row>
    <row r="100" spans="1:29" ht="12" customHeight="1" outlineLevel="1">
      <c r="A100" s="170" t="s">
        <v>302</v>
      </c>
      <c r="B100" s="157" t="s">
        <v>303</v>
      </c>
      <c r="C100" s="171">
        <v>42758</v>
      </c>
      <c r="D100" s="178"/>
      <c r="E100" s="157" t="s">
        <v>382</v>
      </c>
      <c r="F100" s="223" t="s">
        <v>1033</v>
      </c>
      <c r="G100" s="223"/>
      <c r="H100" s="224" t="s">
        <v>1039</v>
      </c>
      <c r="I100" s="157"/>
      <c r="J100" s="172"/>
      <c r="K100" s="157"/>
      <c r="L100" s="223" t="s">
        <v>296</v>
      </c>
      <c r="M100" s="173"/>
      <c r="N100" s="173"/>
      <c r="O100" s="157" t="s">
        <v>307</v>
      </c>
      <c r="P100" s="158"/>
      <c r="Q100" s="185"/>
      <c r="R100" s="175"/>
      <c r="S100" s="174">
        <f t="shared" si="2"/>
        <v>0</v>
      </c>
      <c r="T100" s="157"/>
      <c r="U100" s="177">
        <v>-65.680000000000007</v>
      </c>
      <c r="V100" s="157"/>
      <c r="W100" s="157"/>
      <c r="X100" s="176">
        <f t="shared" si="3"/>
        <v>-65.680000000000007</v>
      </c>
      <c r="Y100" s="184"/>
      <c r="Z100" s="179"/>
      <c r="AA100" s="157"/>
      <c r="AB100" s="157"/>
      <c r="AC100" s="157"/>
    </row>
    <row r="101" spans="1:29" ht="12" customHeight="1" outlineLevel="1">
      <c r="A101" s="170" t="s">
        <v>302</v>
      </c>
      <c r="B101" s="157" t="s">
        <v>303</v>
      </c>
      <c r="C101" s="171">
        <v>42758</v>
      </c>
      <c r="D101" s="178"/>
      <c r="E101" s="157" t="s">
        <v>383</v>
      </c>
      <c r="F101" s="223" t="s">
        <v>1033</v>
      </c>
      <c r="G101" s="223"/>
      <c r="H101" s="224" t="s">
        <v>1039</v>
      </c>
      <c r="I101" s="157"/>
      <c r="J101" s="172"/>
      <c r="K101" s="157"/>
      <c r="L101" s="223" t="s">
        <v>296</v>
      </c>
      <c r="M101" s="173"/>
      <c r="N101" s="173"/>
      <c r="O101" s="157" t="s">
        <v>307</v>
      </c>
      <c r="P101" s="158"/>
      <c r="Q101" s="185"/>
      <c r="R101" s="175"/>
      <c r="S101" s="174">
        <f t="shared" si="2"/>
        <v>0</v>
      </c>
      <c r="T101" s="157"/>
      <c r="U101" s="177">
        <v>-14.34</v>
      </c>
      <c r="V101" s="157"/>
      <c r="W101" s="157"/>
      <c r="X101" s="176">
        <f t="shared" si="3"/>
        <v>-14.34</v>
      </c>
      <c r="Y101" s="184"/>
      <c r="Z101" s="179"/>
      <c r="AA101" s="157"/>
      <c r="AB101" s="157"/>
      <c r="AC101" s="157"/>
    </row>
    <row r="102" spans="1:29" ht="12" customHeight="1" outlineLevel="1">
      <c r="A102" s="170" t="s">
        <v>302</v>
      </c>
      <c r="B102" s="157" t="s">
        <v>303</v>
      </c>
      <c r="C102" s="171">
        <v>42758</v>
      </c>
      <c r="D102" s="178"/>
      <c r="E102" s="157" t="s">
        <v>384</v>
      </c>
      <c r="F102" s="223" t="s">
        <v>1033</v>
      </c>
      <c r="G102" s="223"/>
      <c r="H102" s="224" t="s">
        <v>1039</v>
      </c>
      <c r="I102" s="157"/>
      <c r="J102" s="172"/>
      <c r="K102" s="157"/>
      <c r="L102" s="223" t="s">
        <v>296</v>
      </c>
      <c r="M102" s="173"/>
      <c r="N102" s="173"/>
      <c r="O102" s="157" t="s">
        <v>307</v>
      </c>
      <c r="P102" s="158"/>
      <c r="Q102" s="185"/>
      <c r="R102" s="175"/>
      <c r="S102" s="174">
        <f t="shared" si="2"/>
        <v>0</v>
      </c>
      <c r="T102" s="157"/>
      <c r="U102" s="177">
        <v>-8.09</v>
      </c>
      <c r="V102" s="157"/>
      <c r="W102" s="157"/>
      <c r="X102" s="176">
        <f t="shared" si="3"/>
        <v>-8.09</v>
      </c>
      <c r="Y102" s="184"/>
      <c r="Z102" s="179"/>
      <c r="AA102" s="157"/>
      <c r="AB102" s="157"/>
      <c r="AC102" s="157"/>
    </row>
    <row r="103" spans="1:29" ht="12" customHeight="1" outlineLevel="1">
      <c r="A103" s="170" t="s">
        <v>302</v>
      </c>
      <c r="B103" s="157" t="s">
        <v>303</v>
      </c>
      <c r="C103" s="171">
        <v>42758</v>
      </c>
      <c r="D103" s="178"/>
      <c r="E103" s="157" t="s">
        <v>385</v>
      </c>
      <c r="F103" s="223" t="s">
        <v>1033</v>
      </c>
      <c r="G103" s="223"/>
      <c r="H103" s="224" t="s">
        <v>1039</v>
      </c>
      <c r="I103" s="157"/>
      <c r="J103" s="172"/>
      <c r="K103" s="157"/>
      <c r="L103" s="223" t="s">
        <v>296</v>
      </c>
      <c r="M103" s="173"/>
      <c r="N103" s="173"/>
      <c r="O103" s="157" t="s">
        <v>307</v>
      </c>
      <c r="P103" s="158"/>
      <c r="Q103" s="185"/>
      <c r="R103" s="175"/>
      <c r="S103" s="174">
        <f t="shared" si="2"/>
        <v>0</v>
      </c>
      <c r="T103" s="157"/>
      <c r="U103" s="177">
        <v>-6.23</v>
      </c>
      <c r="V103" s="157"/>
      <c r="W103" s="157"/>
      <c r="X103" s="176">
        <f t="shared" si="3"/>
        <v>-6.23</v>
      </c>
      <c r="Y103" s="184"/>
      <c r="Z103" s="179"/>
      <c r="AA103" s="157"/>
      <c r="AB103" s="157"/>
      <c r="AC103" s="157"/>
    </row>
    <row r="104" spans="1:29" ht="12" customHeight="1" outlineLevel="1">
      <c r="A104" s="170" t="s">
        <v>302</v>
      </c>
      <c r="B104" s="157" t="s">
        <v>303</v>
      </c>
      <c r="C104" s="171">
        <v>42758</v>
      </c>
      <c r="D104" s="178"/>
      <c r="E104" s="157" t="s">
        <v>386</v>
      </c>
      <c r="F104" s="223" t="s">
        <v>1033</v>
      </c>
      <c r="G104" s="223"/>
      <c r="H104" s="224" t="s">
        <v>1039</v>
      </c>
      <c r="I104" s="157"/>
      <c r="J104" s="172"/>
      <c r="K104" s="157"/>
      <c r="L104" s="223" t="s">
        <v>296</v>
      </c>
      <c r="M104" s="173"/>
      <c r="N104" s="173"/>
      <c r="O104" s="157" t="s">
        <v>307</v>
      </c>
      <c r="P104" s="158"/>
      <c r="Q104" s="185"/>
      <c r="R104" s="175"/>
      <c r="S104" s="174">
        <f t="shared" si="2"/>
        <v>0</v>
      </c>
      <c r="T104" s="157"/>
      <c r="U104" s="177">
        <v>-96.7</v>
      </c>
      <c r="V104" s="157"/>
      <c r="W104" s="157"/>
      <c r="X104" s="176">
        <f t="shared" si="3"/>
        <v>-96.7</v>
      </c>
      <c r="Y104" s="184"/>
      <c r="Z104" s="179"/>
      <c r="AA104" s="157"/>
      <c r="AB104" s="157"/>
      <c r="AC104" s="157"/>
    </row>
    <row r="105" spans="1:29" ht="12" customHeight="1" outlineLevel="1">
      <c r="A105" s="170" t="s">
        <v>302</v>
      </c>
      <c r="B105" s="157" t="s">
        <v>303</v>
      </c>
      <c r="C105" s="171">
        <v>42758</v>
      </c>
      <c r="D105" s="178"/>
      <c r="E105" s="157" t="s">
        <v>387</v>
      </c>
      <c r="F105" s="223" t="s">
        <v>1033</v>
      </c>
      <c r="G105" s="223"/>
      <c r="H105" s="224" t="s">
        <v>1039</v>
      </c>
      <c r="I105" s="157" t="s">
        <v>1009</v>
      </c>
      <c r="J105" s="157" t="s">
        <v>1009</v>
      </c>
      <c r="K105" s="157" t="s">
        <v>1009</v>
      </c>
      <c r="L105" s="223" t="s">
        <v>296</v>
      </c>
      <c r="M105" s="173"/>
      <c r="N105" s="173"/>
      <c r="O105" s="157" t="s">
        <v>271</v>
      </c>
      <c r="P105" s="158">
        <v>2618.92</v>
      </c>
      <c r="Q105" s="185"/>
      <c r="R105" s="175"/>
      <c r="S105" s="174">
        <f t="shared" si="2"/>
        <v>2618.92</v>
      </c>
      <c r="T105" s="157"/>
      <c r="U105" s="177"/>
      <c r="V105" s="157"/>
      <c r="W105" s="157"/>
      <c r="X105" s="176">
        <f t="shared" si="3"/>
        <v>0</v>
      </c>
      <c r="Y105" s="184"/>
      <c r="Z105" s="179"/>
      <c r="AA105" s="157"/>
      <c r="AB105" s="157"/>
      <c r="AC105" s="157"/>
    </row>
    <row r="106" spans="1:29" ht="12" customHeight="1" outlineLevel="1">
      <c r="A106" s="170" t="s">
        <v>302</v>
      </c>
      <c r="B106" s="157" t="s">
        <v>303</v>
      </c>
      <c r="C106" s="171">
        <v>42758</v>
      </c>
      <c r="D106" s="178"/>
      <c r="E106" s="157" t="s">
        <v>388</v>
      </c>
      <c r="F106" s="223" t="s">
        <v>1033</v>
      </c>
      <c r="G106" s="223"/>
      <c r="H106" s="224" t="s">
        <v>1039</v>
      </c>
      <c r="I106" s="157" t="s">
        <v>1009</v>
      </c>
      <c r="J106" s="157" t="s">
        <v>1009</v>
      </c>
      <c r="K106" s="157" t="s">
        <v>1009</v>
      </c>
      <c r="L106" s="223" t="s">
        <v>296</v>
      </c>
      <c r="M106" s="173"/>
      <c r="N106" s="173"/>
      <c r="O106" s="157" t="s">
        <v>271</v>
      </c>
      <c r="P106" s="158">
        <v>1471.35</v>
      </c>
      <c r="Q106" s="185"/>
      <c r="R106" s="175"/>
      <c r="S106" s="174">
        <f t="shared" si="2"/>
        <v>1471.35</v>
      </c>
      <c r="T106" s="157"/>
      <c r="U106" s="177"/>
      <c r="V106" s="157"/>
      <c r="W106" s="157"/>
      <c r="X106" s="176">
        <f t="shared" si="3"/>
        <v>0</v>
      </c>
      <c r="Y106" s="184"/>
      <c r="Z106" s="179"/>
      <c r="AA106" s="157"/>
      <c r="AB106" s="157"/>
      <c r="AC106" s="157"/>
    </row>
    <row r="107" spans="1:29" ht="12" customHeight="1" outlineLevel="1">
      <c r="A107" s="170" t="s">
        <v>302</v>
      </c>
      <c r="B107" s="157" t="s">
        <v>303</v>
      </c>
      <c r="C107" s="171">
        <v>42758</v>
      </c>
      <c r="D107" s="178"/>
      <c r="E107" s="157" t="s">
        <v>389</v>
      </c>
      <c r="F107" s="223" t="s">
        <v>1033</v>
      </c>
      <c r="G107" s="223"/>
      <c r="H107" s="224" t="s">
        <v>1039</v>
      </c>
      <c r="I107" s="157" t="s">
        <v>1009</v>
      </c>
      <c r="J107" s="157" t="s">
        <v>1009</v>
      </c>
      <c r="K107" s="157" t="s">
        <v>1009</v>
      </c>
      <c r="L107" s="223" t="s">
        <v>296</v>
      </c>
      <c r="M107" s="173"/>
      <c r="N107" s="173"/>
      <c r="O107" s="157" t="s">
        <v>271</v>
      </c>
      <c r="P107" s="158">
        <v>1068.03</v>
      </c>
      <c r="Q107" s="185"/>
      <c r="R107" s="175"/>
      <c r="S107" s="174">
        <f t="shared" si="2"/>
        <v>1068.03</v>
      </c>
      <c r="T107" s="157"/>
      <c r="U107" s="177"/>
      <c r="V107" s="157"/>
      <c r="W107" s="157"/>
      <c r="X107" s="176">
        <f t="shared" si="3"/>
        <v>0</v>
      </c>
      <c r="Y107" s="184"/>
      <c r="Z107" s="179"/>
      <c r="AA107" s="157"/>
      <c r="AB107" s="157"/>
      <c r="AC107" s="157"/>
    </row>
    <row r="108" spans="1:29" ht="12" customHeight="1" outlineLevel="1">
      <c r="A108" s="170" t="s">
        <v>302</v>
      </c>
      <c r="B108" s="157" t="s">
        <v>303</v>
      </c>
      <c r="C108" s="171">
        <v>42759</v>
      </c>
      <c r="D108" s="178"/>
      <c r="E108" s="157" t="s">
        <v>304</v>
      </c>
      <c r="F108" s="223" t="s">
        <v>1033</v>
      </c>
      <c r="G108" s="223"/>
      <c r="H108" s="224" t="s">
        <v>1039</v>
      </c>
      <c r="I108" s="157"/>
      <c r="J108" s="172"/>
      <c r="K108" s="157"/>
      <c r="L108" s="223" t="s">
        <v>296</v>
      </c>
      <c r="M108" s="173"/>
      <c r="N108" s="173"/>
      <c r="O108" s="157" t="s">
        <v>308</v>
      </c>
      <c r="P108" s="158"/>
      <c r="Q108" s="185"/>
      <c r="R108" s="175"/>
      <c r="S108" s="174">
        <f t="shared" si="2"/>
        <v>0</v>
      </c>
      <c r="T108" s="157"/>
      <c r="U108" s="177">
        <v>-402</v>
      </c>
      <c r="V108" s="157"/>
      <c r="W108" s="157"/>
      <c r="X108" s="176">
        <f t="shared" si="3"/>
        <v>-402</v>
      </c>
      <c r="Y108" s="184"/>
      <c r="Z108" s="179"/>
      <c r="AA108" s="157"/>
      <c r="AB108" s="157"/>
      <c r="AC108" s="157"/>
    </row>
    <row r="109" spans="1:29" ht="12" customHeight="1" outlineLevel="1">
      <c r="A109" s="170" t="s">
        <v>302</v>
      </c>
      <c r="B109" s="157" t="s">
        <v>303</v>
      </c>
      <c r="C109" s="171">
        <v>42759</v>
      </c>
      <c r="D109" s="178"/>
      <c r="E109" s="157" t="s">
        <v>304</v>
      </c>
      <c r="F109" s="223" t="s">
        <v>1033</v>
      </c>
      <c r="G109" s="223"/>
      <c r="H109" s="224" t="s">
        <v>1039</v>
      </c>
      <c r="I109" s="157"/>
      <c r="J109" s="172"/>
      <c r="K109" s="157"/>
      <c r="L109" s="223" t="s">
        <v>296</v>
      </c>
      <c r="M109" s="173"/>
      <c r="N109" s="173"/>
      <c r="O109" s="157" t="s">
        <v>308</v>
      </c>
      <c r="P109" s="158"/>
      <c r="Q109" s="185"/>
      <c r="R109" s="175"/>
      <c r="S109" s="174">
        <f t="shared" si="2"/>
        <v>0</v>
      </c>
      <c r="T109" s="157"/>
      <c r="U109" s="177">
        <v>-363</v>
      </c>
      <c r="V109" s="157"/>
      <c r="W109" s="157"/>
      <c r="X109" s="176">
        <f t="shared" si="3"/>
        <v>-363</v>
      </c>
      <c r="Y109" s="184"/>
      <c r="Z109" s="179"/>
      <c r="AA109" s="157"/>
      <c r="AB109" s="157"/>
      <c r="AC109" s="157"/>
    </row>
    <row r="110" spans="1:29" ht="12" customHeight="1" outlineLevel="1">
      <c r="A110" s="170" t="s">
        <v>302</v>
      </c>
      <c r="B110" s="157" t="s">
        <v>303</v>
      </c>
      <c r="C110" s="171">
        <v>42759</v>
      </c>
      <c r="D110" s="178"/>
      <c r="E110" s="157" t="s">
        <v>304</v>
      </c>
      <c r="F110" s="223" t="s">
        <v>1033</v>
      </c>
      <c r="G110" s="223"/>
      <c r="H110" s="224" t="s">
        <v>1039</v>
      </c>
      <c r="I110" s="157"/>
      <c r="J110" s="172"/>
      <c r="K110" s="157"/>
      <c r="L110" s="223" t="s">
        <v>296</v>
      </c>
      <c r="M110" s="173"/>
      <c r="N110" s="173"/>
      <c r="O110" s="157" t="s">
        <v>308</v>
      </c>
      <c r="P110" s="158"/>
      <c r="Q110" s="185"/>
      <c r="R110" s="175"/>
      <c r="S110" s="174">
        <f t="shared" si="2"/>
        <v>0</v>
      </c>
      <c r="T110" s="157"/>
      <c r="U110" s="177">
        <v>-351</v>
      </c>
      <c r="V110" s="157"/>
      <c r="W110" s="157"/>
      <c r="X110" s="176">
        <f t="shared" si="3"/>
        <v>-351</v>
      </c>
      <c r="Y110" s="184"/>
      <c r="Z110" s="179"/>
      <c r="AA110" s="157"/>
      <c r="AB110" s="157"/>
      <c r="AC110" s="157"/>
    </row>
    <row r="111" spans="1:29" ht="12" customHeight="1" outlineLevel="1">
      <c r="A111" s="170" t="s">
        <v>302</v>
      </c>
      <c r="B111" s="157" t="s">
        <v>303</v>
      </c>
      <c r="C111" s="171">
        <v>42759</v>
      </c>
      <c r="D111" s="178"/>
      <c r="E111" s="157" t="s">
        <v>390</v>
      </c>
      <c r="F111" s="223" t="s">
        <v>1033</v>
      </c>
      <c r="G111" s="223"/>
      <c r="H111" s="224" t="s">
        <v>1039</v>
      </c>
      <c r="I111" s="157"/>
      <c r="J111" s="172"/>
      <c r="K111" s="157"/>
      <c r="L111" s="223" t="s">
        <v>296</v>
      </c>
      <c r="M111" s="173"/>
      <c r="N111" s="173"/>
      <c r="O111" s="157" t="s">
        <v>307</v>
      </c>
      <c r="P111" s="158"/>
      <c r="Q111" s="185"/>
      <c r="R111" s="175"/>
      <c r="S111" s="174">
        <f t="shared" si="2"/>
        <v>0</v>
      </c>
      <c r="T111" s="157"/>
      <c r="U111" s="177">
        <v>-120.3</v>
      </c>
      <c r="V111" s="157"/>
      <c r="W111" s="157"/>
      <c r="X111" s="176">
        <f t="shared" si="3"/>
        <v>-120.3</v>
      </c>
      <c r="Y111" s="184"/>
      <c r="Z111" s="179"/>
      <c r="AA111" s="157"/>
      <c r="AB111" s="157"/>
      <c r="AC111" s="157"/>
    </row>
    <row r="112" spans="1:29" ht="12" customHeight="1" outlineLevel="1">
      <c r="A112" s="170" t="s">
        <v>302</v>
      </c>
      <c r="B112" s="157" t="s">
        <v>303</v>
      </c>
      <c r="C112" s="171">
        <v>42759</v>
      </c>
      <c r="D112" s="178"/>
      <c r="E112" s="157" t="s">
        <v>391</v>
      </c>
      <c r="F112" s="223" t="s">
        <v>1033</v>
      </c>
      <c r="G112" s="223"/>
      <c r="H112" s="224" t="s">
        <v>1039</v>
      </c>
      <c r="I112" s="157" t="s">
        <v>1009</v>
      </c>
      <c r="J112" s="157" t="s">
        <v>1009</v>
      </c>
      <c r="K112" s="157" t="s">
        <v>1009</v>
      </c>
      <c r="L112" s="223" t="s">
        <v>296</v>
      </c>
      <c r="M112" s="173"/>
      <c r="N112" s="173"/>
      <c r="O112" s="157" t="s">
        <v>271</v>
      </c>
      <c r="P112" s="158">
        <v>428.48</v>
      </c>
      <c r="Q112" s="185"/>
      <c r="R112" s="175"/>
      <c r="S112" s="174">
        <f t="shared" si="2"/>
        <v>428.48</v>
      </c>
      <c r="T112" s="157"/>
      <c r="U112" s="177"/>
      <c r="V112" s="157"/>
      <c r="W112" s="157"/>
      <c r="X112" s="176">
        <f t="shared" si="3"/>
        <v>0</v>
      </c>
      <c r="Y112" s="184"/>
      <c r="Z112" s="179"/>
      <c r="AA112" s="157"/>
      <c r="AB112" s="157"/>
      <c r="AC112" s="157"/>
    </row>
    <row r="113" spans="1:29" ht="12" customHeight="1" outlineLevel="1">
      <c r="A113" s="170" t="s">
        <v>302</v>
      </c>
      <c r="B113" s="157" t="s">
        <v>303</v>
      </c>
      <c r="C113" s="171">
        <v>42760</v>
      </c>
      <c r="D113" s="178"/>
      <c r="E113" s="157" t="s">
        <v>392</v>
      </c>
      <c r="F113" s="223" t="s">
        <v>1033</v>
      </c>
      <c r="G113" s="223"/>
      <c r="H113" s="224" t="s">
        <v>1039</v>
      </c>
      <c r="I113" s="157"/>
      <c r="J113" s="172"/>
      <c r="K113" s="157"/>
      <c r="L113" s="223" t="s">
        <v>296</v>
      </c>
      <c r="M113" s="173"/>
      <c r="N113" s="173"/>
      <c r="O113" s="157" t="s">
        <v>307</v>
      </c>
      <c r="P113" s="158"/>
      <c r="Q113" s="185"/>
      <c r="R113" s="175"/>
      <c r="S113" s="174">
        <f t="shared" si="2"/>
        <v>0</v>
      </c>
      <c r="T113" s="157"/>
      <c r="U113" s="177">
        <v>-77.61</v>
      </c>
      <c r="V113" s="157"/>
      <c r="W113" s="157"/>
      <c r="X113" s="176">
        <f t="shared" si="3"/>
        <v>-77.61</v>
      </c>
      <c r="Y113" s="184"/>
      <c r="Z113" s="179"/>
      <c r="AA113" s="157"/>
      <c r="AB113" s="157"/>
      <c r="AC113" s="157"/>
    </row>
    <row r="114" spans="1:29" ht="12" customHeight="1" outlineLevel="1">
      <c r="A114" s="170" t="s">
        <v>302</v>
      </c>
      <c r="B114" s="157" t="s">
        <v>303</v>
      </c>
      <c r="C114" s="171">
        <v>42760</v>
      </c>
      <c r="D114" s="178"/>
      <c r="E114" s="157" t="s">
        <v>393</v>
      </c>
      <c r="F114" s="223" t="s">
        <v>1033</v>
      </c>
      <c r="G114" s="223"/>
      <c r="H114" s="224" t="s">
        <v>1039</v>
      </c>
      <c r="I114" s="157"/>
      <c r="J114" s="172"/>
      <c r="K114" s="157"/>
      <c r="L114" s="223" t="s">
        <v>296</v>
      </c>
      <c r="M114" s="173"/>
      <c r="N114" s="173"/>
      <c r="O114" s="157" t="s">
        <v>307</v>
      </c>
      <c r="P114" s="158"/>
      <c r="Q114" s="185"/>
      <c r="R114" s="175"/>
      <c r="S114" s="174">
        <f t="shared" si="2"/>
        <v>0</v>
      </c>
      <c r="T114" s="157"/>
      <c r="U114" s="177">
        <v>-18.71</v>
      </c>
      <c r="V114" s="157"/>
      <c r="W114" s="157"/>
      <c r="X114" s="176">
        <f t="shared" si="3"/>
        <v>-18.71</v>
      </c>
      <c r="Y114" s="184"/>
      <c r="Z114" s="179"/>
      <c r="AA114" s="157"/>
      <c r="AB114" s="157"/>
      <c r="AC114" s="157"/>
    </row>
    <row r="115" spans="1:29" ht="12" customHeight="1" outlineLevel="1">
      <c r="A115" s="170" t="s">
        <v>302</v>
      </c>
      <c r="B115" s="157" t="s">
        <v>303</v>
      </c>
      <c r="C115" s="171">
        <v>42760</v>
      </c>
      <c r="D115" s="178"/>
      <c r="E115" s="157" t="s">
        <v>394</v>
      </c>
      <c r="F115" s="223" t="s">
        <v>1033</v>
      </c>
      <c r="G115" s="223"/>
      <c r="H115" s="224" t="s">
        <v>1039</v>
      </c>
      <c r="I115" s="157" t="s">
        <v>1009</v>
      </c>
      <c r="J115" s="157" t="s">
        <v>1009</v>
      </c>
      <c r="K115" s="157" t="s">
        <v>1009</v>
      </c>
      <c r="L115" s="223" t="s">
        <v>296</v>
      </c>
      <c r="M115" s="173"/>
      <c r="N115" s="173"/>
      <c r="O115" s="157" t="s">
        <v>271</v>
      </c>
      <c r="P115" s="158">
        <v>1448.33</v>
      </c>
      <c r="Q115" s="185"/>
      <c r="R115" s="175"/>
      <c r="S115" s="174">
        <f t="shared" si="2"/>
        <v>1448.33</v>
      </c>
      <c r="T115" s="157"/>
      <c r="U115" s="177"/>
      <c r="V115" s="157"/>
      <c r="W115" s="157"/>
      <c r="X115" s="176">
        <f t="shared" si="3"/>
        <v>0</v>
      </c>
      <c r="Y115" s="184"/>
      <c r="Z115" s="179"/>
      <c r="AA115" s="157"/>
      <c r="AB115" s="157"/>
      <c r="AC115" s="157"/>
    </row>
    <row r="116" spans="1:29" ht="12" customHeight="1" outlineLevel="1">
      <c r="A116" s="170" t="s">
        <v>302</v>
      </c>
      <c r="B116" s="157" t="s">
        <v>303</v>
      </c>
      <c r="C116" s="171">
        <v>42760</v>
      </c>
      <c r="D116" s="178"/>
      <c r="E116" s="157" t="s">
        <v>395</v>
      </c>
      <c r="F116" s="223" t="s">
        <v>1033</v>
      </c>
      <c r="G116" s="223"/>
      <c r="H116" s="224" t="s">
        <v>1039</v>
      </c>
      <c r="I116" s="157" t="s">
        <v>1009</v>
      </c>
      <c r="J116" s="157" t="s">
        <v>1009</v>
      </c>
      <c r="K116" s="157" t="s">
        <v>1009</v>
      </c>
      <c r="L116" s="223" t="s">
        <v>296</v>
      </c>
      <c r="M116" s="173"/>
      <c r="N116" s="173"/>
      <c r="O116" s="157" t="s">
        <v>271</v>
      </c>
      <c r="P116" s="158">
        <v>792.95</v>
      </c>
      <c r="Q116" s="185"/>
      <c r="R116" s="175"/>
      <c r="S116" s="174">
        <f t="shared" si="2"/>
        <v>792.95</v>
      </c>
      <c r="T116" s="157"/>
      <c r="U116" s="177"/>
      <c r="V116" s="157"/>
      <c r="W116" s="157"/>
      <c r="X116" s="176">
        <f t="shared" si="3"/>
        <v>0</v>
      </c>
      <c r="Y116" s="184"/>
      <c r="Z116" s="179"/>
      <c r="AA116" s="157"/>
      <c r="AB116" s="157"/>
      <c r="AC116" s="157"/>
    </row>
    <row r="117" spans="1:29" ht="12" customHeight="1" outlineLevel="1">
      <c r="A117" s="170" t="s">
        <v>302</v>
      </c>
      <c r="B117" s="157" t="s">
        <v>303</v>
      </c>
      <c r="C117" s="171">
        <v>42761</v>
      </c>
      <c r="D117" s="178"/>
      <c r="E117" s="157" t="s">
        <v>396</v>
      </c>
      <c r="F117" s="223" t="s">
        <v>1033</v>
      </c>
      <c r="G117" s="223"/>
      <c r="H117" s="224" t="s">
        <v>1039</v>
      </c>
      <c r="I117" s="157"/>
      <c r="J117" s="172"/>
      <c r="K117" s="157"/>
      <c r="L117" s="223" t="s">
        <v>296</v>
      </c>
      <c r="M117" s="173"/>
      <c r="N117" s="173"/>
      <c r="O117" s="157" t="s">
        <v>307</v>
      </c>
      <c r="P117" s="158"/>
      <c r="Q117" s="185"/>
      <c r="R117" s="175"/>
      <c r="S117" s="174">
        <f t="shared" si="2"/>
        <v>0</v>
      </c>
      <c r="T117" s="157"/>
      <c r="U117" s="177">
        <v>-100.25</v>
      </c>
      <c r="V117" s="157"/>
      <c r="W117" s="157"/>
      <c r="X117" s="176">
        <f t="shared" si="3"/>
        <v>-100.25</v>
      </c>
      <c r="Y117" s="184"/>
      <c r="Z117" s="179"/>
      <c r="AA117" s="157"/>
      <c r="AB117" s="157"/>
      <c r="AC117" s="157"/>
    </row>
    <row r="118" spans="1:29" ht="12" customHeight="1" outlineLevel="1">
      <c r="A118" s="170" t="s">
        <v>302</v>
      </c>
      <c r="B118" s="157" t="s">
        <v>303</v>
      </c>
      <c r="C118" s="171">
        <v>42761</v>
      </c>
      <c r="D118" s="178"/>
      <c r="E118" s="157" t="s">
        <v>397</v>
      </c>
      <c r="F118" s="223" t="s">
        <v>1033</v>
      </c>
      <c r="G118" s="223"/>
      <c r="H118" s="224" t="s">
        <v>1039</v>
      </c>
      <c r="I118" s="157"/>
      <c r="J118" s="172"/>
      <c r="K118" s="157"/>
      <c r="L118" s="223" t="s">
        <v>296</v>
      </c>
      <c r="M118" s="173"/>
      <c r="N118" s="173"/>
      <c r="O118" s="157" t="s">
        <v>307</v>
      </c>
      <c r="P118" s="158"/>
      <c r="Q118" s="185"/>
      <c r="R118" s="175"/>
      <c r="S118" s="174">
        <f t="shared" si="2"/>
        <v>0</v>
      </c>
      <c r="T118" s="157"/>
      <c r="U118" s="177">
        <v>-6.82</v>
      </c>
      <c r="V118" s="157"/>
      <c r="W118" s="157"/>
      <c r="X118" s="176">
        <f t="shared" si="3"/>
        <v>-6.82</v>
      </c>
      <c r="Y118" s="184"/>
      <c r="Z118" s="179"/>
      <c r="AA118" s="157"/>
      <c r="AB118" s="157"/>
      <c r="AC118" s="157"/>
    </row>
    <row r="119" spans="1:29" ht="12" customHeight="1" outlineLevel="1">
      <c r="A119" s="170" t="s">
        <v>302</v>
      </c>
      <c r="B119" s="157" t="s">
        <v>303</v>
      </c>
      <c r="C119" s="171">
        <v>42761</v>
      </c>
      <c r="D119" s="178"/>
      <c r="E119" s="157" t="s">
        <v>398</v>
      </c>
      <c r="F119" s="223" t="s">
        <v>1033</v>
      </c>
      <c r="G119" s="223"/>
      <c r="H119" s="224" t="s">
        <v>1039</v>
      </c>
      <c r="I119" s="157"/>
      <c r="J119" s="172"/>
      <c r="K119" s="157"/>
      <c r="L119" s="223" t="s">
        <v>296</v>
      </c>
      <c r="M119" s="173"/>
      <c r="N119" s="173"/>
      <c r="O119" s="157" t="s">
        <v>307</v>
      </c>
      <c r="P119" s="158"/>
      <c r="Q119" s="185"/>
      <c r="R119" s="175"/>
      <c r="S119" s="174">
        <f t="shared" si="2"/>
        <v>0</v>
      </c>
      <c r="T119" s="157"/>
      <c r="U119" s="177">
        <v>-39.08</v>
      </c>
      <c r="V119" s="157"/>
      <c r="W119" s="157"/>
      <c r="X119" s="176">
        <f t="shared" si="3"/>
        <v>-39.08</v>
      </c>
      <c r="Y119" s="184"/>
      <c r="Z119" s="179"/>
      <c r="AA119" s="157"/>
      <c r="AB119" s="157"/>
      <c r="AC119" s="157"/>
    </row>
    <row r="120" spans="1:29" ht="12" customHeight="1" outlineLevel="1">
      <c r="A120" s="170" t="s">
        <v>302</v>
      </c>
      <c r="B120" s="157" t="s">
        <v>303</v>
      </c>
      <c r="C120" s="171">
        <v>42761</v>
      </c>
      <c r="D120" s="178"/>
      <c r="E120" s="157" t="s">
        <v>399</v>
      </c>
      <c r="F120" s="223" t="s">
        <v>1033</v>
      </c>
      <c r="G120" s="223"/>
      <c r="H120" s="224" t="s">
        <v>1039</v>
      </c>
      <c r="I120" s="157" t="s">
        <v>1009</v>
      </c>
      <c r="J120" s="157" t="s">
        <v>1009</v>
      </c>
      <c r="K120" s="157" t="s">
        <v>1009</v>
      </c>
      <c r="L120" s="223" t="s">
        <v>296</v>
      </c>
      <c r="M120" s="173"/>
      <c r="N120" s="173"/>
      <c r="O120" s="157" t="s">
        <v>271</v>
      </c>
      <c r="P120" s="158">
        <v>848.79</v>
      </c>
      <c r="Q120" s="185"/>
      <c r="R120" s="175"/>
      <c r="S120" s="174">
        <f t="shared" si="2"/>
        <v>848.79</v>
      </c>
      <c r="T120" s="157"/>
      <c r="U120" s="177"/>
      <c r="V120" s="157"/>
      <c r="W120" s="157"/>
      <c r="X120" s="176">
        <f t="shared" si="3"/>
        <v>0</v>
      </c>
      <c r="Y120" s="184"/>
      <c r="Z120" s="179"/>
      <c r="AA120" s="157"/>
      <c r="AB120" s="157"/>
      <c r="AC120" s="157"/>
    </row>
    <row r="121" spans="1:29" ht="12" customHeight="1" outlineLevel="1">
      <c r="A121" s="170" t="s">
        <v>302</v>
      </c>
      <c r="B121" s="157" t="s">
        <v>303</v>
      </c>
      <c r="C121" s="171">
        <v>42762</v>
      </c>
      <c r="D121" s="178"/>
      <c r="E121" s="157" t="s">
        <v>400</v>
      </c>
      <c r="F121" s="223" t="s">
        <v>1033</v>
      </c>
      <c r="G121" s="223"/>
      <c r="H121" s="224" t="s">
        <v>1039</v>
      </c>
      <c r="I121" s="157"/>
      <c r="J121" s="172"/>
      <c r="K121" s="157"/>
      <c r="L121" s="223" t="s">
        <v>296</v>
      </c>
      <c r="M121" s="173"/>
      <c r="N121" s="173"/>
      <c r="O121" s="157" t="s">
        <v>307</v>
      </c>
      <c r="P121" s="158"/>
      <c r="Q121" s="185"/>
      <c r="R121" s="175"/>
      <c r="S121" s="174">
        <f t="shared" si="2"/>
        <v>0</v>
      </c>
      <c r="T121" s="157"/>
      <c r="U121" s="177">
        <v>-77.37</v>
      </c>
      <c r="V121" s="157"/>
      <c r="W121" s="157"/>
      <c r="X121" s="176">
        <f t="shared" si="3"/>
        <v>-77.37</v>
      </c>
      <c r="Y121" s="184"/>
      <c r="Z121" s="179"/>
      <c r="AA121" s="157"/>
      <c r="AB121" s="157"/>
      <c r="AC121" s="157"/>
    </row>
    <row r="122" spans="1:29" ht="12" customHeight="1" outlineLevel="1">
      <c r="A122" s="170" t="s">
        <v>302</v>
      </c>
      <c r="B122" s="157" t="s">
        <v>303</v>
      </c>
      <c r="C122" s="171">
        <v>42762</v>
      </c>
      <c r="D122" s="178"/>
      <c r="E122" s="157" t="s">
        <v>401</v>
      </c>
      <c r="F122" s="223" t="s">
        <v>1033</v>
      </c>
      <c r="G122" s="223"/>
      <c r="H122" s="224" t="s">
        <v>1039</v>
      </c>
      <c r="I122" s="157"/>
      <c r="J122" s="172"/>
      <c r="K122" s="157"/>
      <c r="L122" s="223" t="s">
        <v>296</v>
      </c>
      <c r="M122" s="173"/>
      <c r="N122" s="173"/>
      <c r="O122" s="157" t="s">
        <v>307</v>
      </c>
      <c r="P122" s="158"/>
      <c r="Q122" s="185"/>
      <c r="R122" s="175"/>
      <c r="S122" s="174">
        <f t="shared" si="2"/>
        <v>0</v>
      </c>
      <c r="T122" s="157"/>
      <c r="U122" s="177">
        <v>-294.60000000000002</v>
      </c>
      <c r="V122" s="157"/>
      <c r="W122" s="157"/>
      <c r="X122" s="176">
        <f t="shared" si="3"/>
        <v>-294.60000000000002</v>
      </c>
      <c r="Y122" s="184"/>
      <c r="Z122" s="179"/>
      <c r="AA122" s="157"/>
      <c r="AB122" s="157"/>
      <c r="AC122" s="157"/>
    </row>
    <row r="123" spans="1:29" ht="12" customHeight="1" outlineLevel="1">
      <c r="A123" s="170" t="s">
        <v>302</v>
      </c>
      <c r="B123" s="157" t="s">
        <v>303</v>
      </c>
      <c r="C123" s="171">
        <v>42762</v>
      </c>
      <c r="D123" s="178"/>
      <c r="E123" s="157" t="s">
        <v>402</v>
      </c>
      <c r="F123" s="223" t="s">
        <v>1033</v>
      </c>
      <c r="G123" s="223"/>
      <c r="H123" s="224" t="s">
        <v>1039</v>
      </c>
      <c r="I123" s="157" t="s">
        <v>1009</v>
      </c>
      <c r="J123" s="157" t="s">
        <v>1009</v>
      </c>
      <c r="K123" s="157" t="s">
        <v>1009</v>
      </c>
      <c r="L123" s="223" t="s">
        <v>296</v>
      </c>
      <c r="M123" s="173"/>
      <c r="N123" s="173"/>
      <c r="O123" s="157" t="s">
        <v>271</v>
      </c>
      <c r="P123" s="158">
        <v>1046.6500000000001</v>
      </c>
      <c r="Q123" s="185"/>
      <c r="R123" s="175"/>
      <c r="S123" s="174">
        <f t="shared" si="2"/>
        <v>1046.6500000000001</v>
      </c>
      <c r="T123" s="157"/>
      <c r="U123" s="177"/>
      <c r="V123" s="157"/>
      <c r="W123" s="157"/>
      <c r="X123" s="176">
        <f t="shared" si="3"/>
        <v>0</v>
      </c>
      <c r="Y123" s="184"/>
      <c r="Z123" s="179"/>
      <c r="AA123" s="157"/>
      <c r="AB123" s="157"/>
      <c r="AC123" s="157"/>
    </row>
    <row r="124" spans="1:29" ht="12" customHeight="1" outlineLevel="1">
      <c r="A124" s="170" t="s">
        <v>302</v>
      </c>
      <c r="B124" s="157" t="s">
        <v>303</v>
      </c>
      <c r="C124" s="171">
        <v>42765</v>
      </c>
      <c r="D124" s="178"/>
      <c r="E124" s="157" t="s">
        <v>304</v>
      </c>
      <c r="F124" s="223" t="s">
        <v>1033</v>
      </c>
      <c r="G124" s="223"/>
      <c r="H124" s="224" t="s">
        <v>1039</v>
      </c>
      <c r="I124" s="157"/>
      <c r="J124" s="172"/>
      <c r="K124" s="157"/>
      <c r="L124" s="223" t="s">
        <v>296</v>
      </c>
      <c r="M124" s="173"/>
      <c r="N124" s="173"/>
      <c r="O124" s="157" t="s">
        <v>308</v>
      </c>
      <c r="P124" s="158"/>
      <c r="Q124" s="185"/>
      <c r="R124" s="175"/>
      <c r="S124" s="174">
        <f t="shared" si="2"/>
        <v>0</v>
      </c>
      <c r="T124" s="157"/>
      <c r="U124" s="177">
        <v>-436</v>
      </c>
      <c r="V124" s="157"/>
      <c r="W124" s="157"/>
      <c r="X124" s="176">
        <f t="shared" si="3"/>
        <v>-436</v>
      </c>
      <c r="Y124" s="184"/>
      <c r="Z124" s="179"/>
      <c r="AA124" s="157"/>
      <c r="AB124" s="157"/>
      <c r="AC124" s="157"/>
    </row>
    <row r="125" spans="1:29" ht="12" customHeight="1" outlineLevel="1">
      <c r="A125" s="170" t="s">
        <v>302</v>
      </c>
      <c r="B125" s="157" t="s">
        <v>303</v>
      </c>
      <c r="C125" s="171">
        <v>42765</v>
      </c>
      <c r="D125" s="178"/>
      <c r="E125" s="157" t="s">
        <v>304</v>
      </c>
      <c r="F125" s="223" t="s">
        <v>1033</v>
      </c>
      <c r="G125" s="223"/>
      <c r="H125" s="224" t="s">
        <v>1039</v>
      </c>
      <c r="I125" s="157"/>
      <c r="J125" s="172"/>
      <c r="K125" s="157"/>
      <c r="L125" s="223" t="s">
        <v>296</v>
      </c>
      <c r="M125" s="173"/>
      <c r="N125" s="173"/>
      <c r="O125" s="157" t="s">
        <v>308</v>
      </c>
      <c r="P125" s="158"/>
      <c r="Q125" s="185"/>
      <c r="R125" s="175"/>
      <c r="S125" s="174">
        <f t="shared" si="2"/>
        <v>0</v>
      </c>
      <c r="T125" s="157"/>
      <c r="U125" s="177">
        <v>-374</v>
      </c>
      <c r="V125" s="157"/>
      <c r="W125" s="157"/>
      <c r="X125" s="176">
        <f t="shared" si="3"/>
        <v>-374</v>
      </c>
      <c r="Y125" s="184"/>
      <c r="Z125" s="179"/>
      <c r="AA125" s="157"/>
      <c r="AB125" s="157"/>
      <c r="AC125" s="157"/>
    </row>
    <row r="126" spans="1:29" ht="12" customHeight="1" outlineLevel="1">
      <c r="A126" s="170" t="s">
        <v>302</v>
      </c>
      <c r="B126" s="157" t="s">
        <v>303</v>
      </c>
      <c r="C126" s="171">
        <v>42765</v>
      </c>
      <c r="D126" s="178"/>
      <c r="E126" s="157" t="s">
        <v>304</v>
      </c>
      <c r="F126" s="223" t="s">
        <v>1033</v>
      </c>
      <c r="G126" s="223"/>
      <c r="H126" s="224" t="s">
        <v>1039</v>
      </c>
      <c r="I126" s="157"/>
      <c r="J126" s="172"/>
      <c r="K126" s="157"/>
      <c r="L126" s="223" t="s">
        <v>296</v>
      </c>
      <c r="M126" s="173"/>
      <c r="N126" s="173"/>
      <c r="O126" s="157" t="s">
        <v>308</v>
      </c>
      <c r="P126" s="158"/>
      <c r="Q126" s="185"/>
      <c r="R126" s="175"/>
      <c r="S126" s="174">
        <f t="shared" si="2"/>
        <v>0</v>
      </c>
      <c r="T126" s="157"/>
      <c r="U126" s="177">
        <v>-563.5</v>
      </c>
      <c r="V126" s="157"/>
      <c r="W126" s="157"/>
      <c r="X126" s="176">
        <f t="shared" si="3"/>
        <v>-563.5</v>
      </c>
      <c r="Y126" s="184"/>
      <c r="Z126" s="179"/>
      <c r="AA126" s="157"/>
      <c r="AB126" s="157"/>
      <c r="AC126" s="157"/>
    </row>
    <row r="127" spans="1:29" ht="12" customHeight="1" outlineLevel="1">
      <c r="A127" s="170" t="s">
        <v>302</v>
      </c>
      <c r="B127" s="157" t="s">
        <v>303</v>
      </c>
      <c r="C127" s="171">
        <v>42765</v>
      </c>
      <c r="D127" s="178"/>
      <c r="E127" s="157" t="s">
        <v>403</v>
      </c>
      <c r="F127" s="223" t="s">
        <v>1033</v>
      </c>
      <c r="G127" s="223"/>
      <c r="H127" s="224" t="s">
        <v>1039</v>
      </c>
      <c r="I127" s="157"/>
      <c r="J127" s="172"/>
      <c r="K127" s="157"/>
      <c r="L127" s="223" t="s">
        <v>296</v>
      </c>
      <c r="M127" s="173"/>
      <c r="N127" s="173"/>
      <c r="O127" s="157" t="s">
        <v>307</v>
      </c>
      <c r="P127" s="158"/>
      <c r="Q127" s="185"/>
      <c r="R127" s="175"/>
      <c r="S127" s="174">
        <f t="shared" si="2"/>
        <v>0</v>
      </c>
      <c r="T127" s="157"/>
      <c r="U127" s="177">
        <v>-56.07</v>
      </c>
      <c r="V127" s="157"/>
      <c r="W127" s="157"/>
      <c r="X127" s="176">
        <f t="shared" si="3"/>
        <v>-56.07</v>
      </c>
      <c r="Y127" s="184"/>
      <c r="Z127" s="179"/>
      <c r="AA127" s="157"/>
      <c r="AB127" s="157"/>
      <c r="AC127" s="157"/>
    </row>
    <row r="128" spans="1:29" ht="12" customHeight="1" outlineLevel="1">
      <c r="A128" s="170" t="s">
        <v>302</v>
      </c>
      <c r="B128" s="157" t="s">
        <v>303</v>
      </c>
      <c r="C128" s="171">
        <v>42765</v>
      </c>
      <c r="D128" s="178"/>
      <c r="E128" s="157" t="s">
        <v>404</v>
      </c>
      <c r="F128" s="223" t="s">
        <v>1033</v>
      </c>
      <c r="G128" s="223"/>
      <c r="H128" s="224" t="s">
        <v>1039</v>
      </c>
      <c r="I128" s="157"/>
      <c r="J128" s="172"/>
      <c r="K128" s="157"/>
      <c r="L128" s="223" t="s">
        <v>296</v>
      </c>
      <c r="M128" s="173"/>
      <c r="N128" s="173"/>
      <c r="O128" s="157" t="s">
        <v>307</v>
      </c>
      <c r="P128" s="158"/>
      <c r="Q128" s="185"/>
      <c r="R128" s="175"/>
      <c r="S128" s="174">
        <f t="shared" si="2"/>
        <v>0</v>
      </c>
      <c r="T128" s="157"/>
      <c r="U128" s="177">
        <v>-103.94</v>
      </c>
      <c r="V128" s="157"/>
      <c r="W128" s="157"/>
      <c r="X128" s="176">
        <f t="shared" si="3"/>
        <v>-103.94</v>
      </c>
      <c r="Y128" s="184"/>
      <c r="Z128" s="179"/>
      <c r="AA128" s="157"/>
      <c r="AB128" s="157"/>
      <c r="AC128" s="157"/>
    </row>
    <row r="129" spans="1:29" ht="12" customHeight="1" outlineLevel="1">
      <c r="A129" s="170" t="s">
        <v>302</v>
      </c>
      <c r="B129" s="157" t="s">
        <v>303</v>
      </c>
      <c r="C129" s="171">
        <v>42765</v>
      </c>
      <c r="D129" s="178"/>
      <c r="E129" s="157" t="s">
        <v>405</v>
      </c>
      <c r="F129" s="223" t="s">
        <v>1033</v>
      </c>
      <c r="G129" s="223"/>
      <c r="H129" s="224" t="s">
        <v>1039</v>
      </c>
      <c r="I129" s="157"/>
      <c r="J129" s="172"/>
      <c r="K129" s="157"/>
      <c r="L129" s="223" t="s">
        <v>296</v>
      </c>
      <c r="M129" s="173"/>
      <c r="N129" s="173"/>
      <c r="O129" s="157" t="s">
        <v>307</v>
      </c>
      <c r="P129" s="158"/>
      <c r="Q129" s="185"/>
      <c r="R129" s="175"/>
      <c r="S129" s="174">
        <f t="shared" si="2"/>
        <v>0</v>
      </c>
      <c r="T129" s="157"/>
      <c r="U129" s="177">
        <v>-27.13</v>
      </c>
      <c r="V129" s="157"/>
      <c r="W129" s="157"/>
      <c r="X129" s="176">
        <f t="shared" si="3"/>
        <v>-27.13</v>
      </c>
      <c r="Y129" s="184"/>
      <c r="Z129" s="179"/>
      <c r="AA129" s="157"/>
      <c r="AB129" s="157"/>
      <c r="AC129" s="157"/>
    </row>
    <row r="130" spans="1:29" ht="12" customHeight="1" outlineLevel="1">
      <c r="A130" s="170" t="s">
        <v>302</v>
      </c>
      <c r="B130" s="157" t="s">
        <v>303</v>
      </c>
      <c r="C130" s="171">
        <v>42765</v>
      </c>
      <c r="D130" s="178"/>
      <c r="E130" s="157" t="s">
        <v>406</v>
      </c>
      <c r="F130" s="223" t="s">
        <v>1033</v>
      </c>
      <c r="G130" s="223"/>
      <c r="H130" s="224" t="s">
        <v>1039</v>
      </c>
      <c r="I130" s="157"/>
      <c r="J130" s="172"/>
      <c r="K130" s="157"/>
      <c r="L130" s="223" t="s">
        <v>296</v>
      </c>
      <c r="M130" s="173"/>
      <c r="N130" s="173"/>
      <c r="O130" s="157" t="s">
        <v>307</v>
      </c>
      <c r="P130" s="158"/>
      <c r="Q130" s="185"/>
      <c r="R130" s="175"/>
      <c r="S130" s="174">
        <f t="shared" si="2"/>
        <v>0</v>
      </c>
      <c r="T130" s="157"/>
      <c r="U130" s="177">
        <v>-93.87</v>
      </c>
      <c r="V130" s="157"/>
      <c r="W130" s="157"/>
      <c r="X130" s="176">
        <f t="shared" si="3"/>
        <v>-93.87</v>
      </c>
      <c r="Y130" s="184"/>
      <c r="Z130" s="179"/>
      <c r="AA130" s="157"/>
      <c r="AB130" s="157"/>
      <c r="AC130" s="157"/>
    </row>
    <row r="131" spans="1:29" ht="12" customHeight="1" outlineLevel="1">
      <c r="A131" s="170" t="s">
        <v>302</v>
      </c>
      <c r="B131" s="157" t="s">
        <v>303</v>
      </c>
      <c r="C131" s="171">
        <v>42765</v>
      </c>
      <c r="D131" s="178"/>
      <c r="E131" s="157" t="s">
        <v>407</v>
      </c>
      <c r="F131" s="223" t="s">
        <v>1033</v>
      </c>
      <c r="G131" s="223"/>
      <c r="H131" s="224" t="s">
        <v>1039</v>
      </c>
      <c r="I131" s="157"/>
      <c r="J131" s="172"/>
      <c r="K131" s="157"/>
      <c r="L131" s="223" t="s">
        <v>296</v>
      </c>
      <c r="M131" s="173"/>
      <c r="N131" s="173"/>
      <c r="O131" s="157" t="s">
        <v>307</v>
      </c>
      <c r="P131" s="158"/>
      <c r="Q131" s="185"/>
      <c r="R131" s="175"/>
      <c r="S131" s="174">
        <f t="shared" si="2"/>
        <v>0</v>
      </c>
      <c r="T131" s="157"/>
      <c r="U131" s="177">
        <v>-79.2</v>
      </c>
      <c r="V131" s="157"/>
      <c r="W131" s="157"/>
      <c r="X131" s="176">
        <f t="shared" si="3"/>
        <v>-79.2</v>
      </c>
      <c r="Y131" s="184"/>
      <c r="Z131" s="179"/>
      <c r="AA131" s="157"/>
      <c r="AB131" s="157"/>
      <c r="AC131" s="157"/>
    </row>
    <row r="132" spans="1:29" ht="12" customHeight="1" outlineLevel="1">
      <c r="A132" s="170" t="s">
        <v>302</v>
      </c>
      <c r="B132" s="157" t="s">
        <v>303</v>
      </c>
      <c r="C132" s="171">
        <v>42765</v>
      </c>
      <c r="D132" s="178"/>
      <c r="E132" s="157" t="s">
        <v>408</v>
      </c>
      <c r="F132" s="223" t="s">
        <v>1033</v>
      </c>
      <c r="G132" s="223"/>
      <c r="H132" s="224" t="s">
        <v>1039</v>
      </c>
      <c r="I132" s="157"/>
      <c r="J132" s="172"/>
      <c r="K132" s="157"/>
      <c r="L132" s="223" t="s">
        <v>296</v>
      </c>
      <c r="M132" s="173"/>
      <c r="N132" s="173"/>
      <c r="O132" s="157" t="s">
        <v>307</v>
      </c>
      <c r="P132" s="158"/>
      <c r="Q132" s="185"/>
      <c r="R132" s="175"/>
      <c r="S132" s="174">
        <f t="shared" si="2"/>
        <v>0</v>
      </c>
      <c r="T132" s="157"/>
      <c r="U132" s="177">
        <v>-9.1999999999999993</v>
      </c>
      <c r="V132" s="157"/>
      <c r="W132" s="157"/>
      <c r="X132" s="176">
        <f t="shared" si="3"/>
        <v>-9.1999999999999993</v>
      </c>
      <c r="Y132" s="184"/>
      <c r="Z132" s="179"/>
      <c r="AA132" s="157"/>
      <c r="AB132" s="157"/>
      <c r="AC132" s="157"/>
    </row>
    <row r="133" spans="1:29" ht="12" customHeight="1" outlineLevel="1">
      <c r="A133" s="170" t="s">
        <v>302</v>
      </c>
      <c r="B133" s="157" t="s">
        <v>303</v>
      </c>
      <c r="C133" s="171">
        <v>42765</v>
      </c>
      <c r="D133" s="178"/>
      <c r="E133" s="157" t="s">
        <v>409</v>
      </c>
      <c r="F133" s="223" t="s">
        <v>1033</v>
      </c>
      <c r="G133" s="223"/>
      <c r="H133" s="224" t="s">
        <v>1039</v>
      </c>
      <c r="I133" s="157"/>
      <c r="J133" s="172"/>
      <c r="K133" s="157"/>
      <c r="L133" s="223" t="s">
        <v>296</v>
      </c>
      <c r="M133" s="173"/>
      <c r="N133" s="173"/>
      <c r="O133" s="157" t="s">
        <v>307</v>
      </c>
      <c r="P133" s="158"/>
      <c r="Q133" s="185"/>
      <c r="R133" s="175"/>
      <c r="S133" s="174">
        <f t="shared" si="2"/>
        <v>0</v>
      </c>
      <c r="T133" s="157"/>
      <c r="U133" s="177">
        <v>-12.98</v>
      </c>
      <c r="V133" s="157"/>
      <c r="W133" s="157"/>
      <c r="X133" s="176">
        <f t="shared" si="3"/>
        <v>-12.98</v>
      </c>
      <c r="Y133" s="184"/>
      <c r="Z133" s="179"/>
      <c r="AA133" s="157"/>
      <c r="AB133" s="157"/>
      <c r="AC133" s="157"/>
    </row>
    <row r="134" spans="1:29" ht="12" customHeight="1" outlineLevel="1">
      <c r="A134" s="170" t="s">
        <v>302</v>
      </c>
      <c r="B134" s="157" t="s">
        <v>303</v>
      </c>
      <c r="C134" s="171">
        <v>42765</v>
      </c>
      <c r="D134" s="178"/>
      <c r="E134" s="157" t="s">
        <v>410</v>
      </c>
      <c r="F134" s="223" t="s">
        <v>1033</v>
      </c>
      <c r="G134" s="223"/>
      <c r="H134" s="224" t="s">
        <v>1039</v>
      </c>
      <c r="I134" s="157" t="s">
        <v>1009</v>
      </c>
      <c r="J134" s="157" t="s">
        <v>1009</v>
      </c>
      <c r="K134" s="157" t="s">
        <v>1009</v>
      </c>
      <c r="L134" s="223" t="s">
        <v>296</v>
      </c>
      <c r="M134" s="173"/>
      <c r="N134" s="173"/>
      <c r="O134" s="157" t="s">
        <v>271</v>
      </c>
      <c r="P134" s="158">
        <v>2028.65</v>
      </c>
      <c r="Q134" s="185"/>
      <c r="R134" s="175"/>
      <c r="S134" s="174">
        <f t="shared" ref="S134:S140" si="4">P134</f>
        <v>2028.65</v>
      </c>
      <c r="T134" s="157"/>
      <c r="U134" s="177"/>
      <c r="V134" s="157"/>
      <c r="W134" s="157"/>
      <c r="X134" s="176">
        <f t="shared" ref="X134:X194" si="5">U134</f>
        <v>0</v>
      </c>
      <c r="Y134" s="184"/>
      <c r="Z134" s="179"/>
      <c r="AA134" s="157"/>
      <c r="AB134" s="157"/>
      <c r="AC134" s="157"/>
    </row>
    <row r="135" spans="1:29" ht="12" customHeight="1" outlineLevel="1">
      <c r="A135" s="170" t="s">
        <v>302</v>
      </c>
      <c r="B135" s="157" t="s">
        <v>303</v>
      </c>
      <c r="C135" s="171">
        <v>42765</v>
      </c>
      <c r="D135" s="178"/>
      <c r="E135" s="157" t="s">
        <v>411</v>
      </c>
      <c r="F135" s="223" t="s">
        <v>1033</v>
      </c>
      <c r="G135" s="223"/>
      <c r="H135" s="224" t="s">
        <v>1039</v>
      </c>
      <c r="I135" s="157" t="s">
        <v>1009</v>
      </c>
      <c r="J135" s="157" t="s">
        <v>1009</v>
      </c>
      <c r="K135" s="157" t="s">
        <v>1009</v>
      </c>
      <c r="L135" s="223" t="s">
        <v>296</v>
      </c>
      <c r="M135" s="173"/>
      <c r="N135" s="173"/>
      <c r="O135" s="157" t="s">
        <v>271</v>
      </c>
      <c r="P135" s="158">
        <v>1916.68</v>
      </c>
      <c r="Q135" s="185"/>
      <c r="R135" s="175"/>
      <c r="S135" s="174">
        <f t="shared" si="4"/>
        <v>1916.68</v>
      </c>
      <c r="T135" s="157"/>
      <c r="U135" s="177"/>
      <c r="V135" s="157"/>
      <c r="W135" s="157"/>
      <c r="X135" s="176">
        <f t="shared" si="5"/>
        <v>0</v>
      </c>
      <c r="Y135" s="184"/>
      <c r="Z135" s="179"/>
      <c r="AA135" s="157"/>
      <c r="AB135" s="157"/>
      <c r="AC135" s="157"/>
    </row>
    <row r="136" spans="1:29" ht="12" customHeight="1" outlineLevel="1">
      <c r="A136" s="170" t="s">
        <v>302</v>
      </c>
      <c r="B136" s="157" t="s">
        <v>303</v>
      </c>
      <c r="C136" s="171">
        <v>42765</v>
      </c>
      <c r="D136" s="178"/>
      <c r="E136" s="157" t="s">
        <v>412</v>
      </c>
      <c r="F136" s="223" t="s">
        <v>1033</v>
      </c>
      <c r="G136" s="223"/>
      <c r="H136" s="224" t="s">
        <v>1039</v>
      </c>
      <c r="I136" s="157" t="s">
        <v>1009</v>
      </c>
      <c r="J136" s="157" t="s">
        <v>1009</v>
      </c>
      <c r="K136" s="157" t="s">
        <v>1009</v>
      </c>
      <c r="L136" s="223" t="s">
        <v>296</v>
      </c>
      <c r="M136" s="173"/>
      <c r="N136" s="173"/>
      <c r="O136" s="157" t="s">
        <v>271</v>
      </c>
      <c r="P136" s="158">
        <v>1338.55</v>
      </c>
      <c r="Q136" s="185"/>
      <c r="R136" s="175"/>
      <c r="S136" s="174">
        <f t="shared" si="4"/>
        <v>1338.55</v>
      </c>
      <c r="T136" s="157"/>
      <c r="U136" s="177"/>
      <c r="V136" s="157"/>
      <c r="W136" s="157"/>
      <c r="X136" s="176">
        <f t="shared" si="5"/>
        <v>0</v>
      </c>
      <c r="Y136" s="184"/>
      <c r="Z136" s="179"/>
      <c r="AA136" s="157"/>
      <c r="AB136" s="157"/>
      <c r="AC136" s="157"/>
    </row>
    <row r="137" spans="1:29" ht="12" customHeight="1" outlineLevel="1">
      <c r="A137" s="170" t="s">
        <v>302</v>
      </c>
      <c r="B137" s="157" t="s">
        <v>303</v>
      </c>
      <c r="C137" s="171">
        <v>42766</v>
      </c>
      <c r="D137" s="178"/>
      <c r="E137" s="157" t="s">
        <v>413</v>
      </c>
      <c r="F137" s="223" t="s">
        <v>1033</v>
      </c>
      <c r="G137" s="223"/>
      <c r="H137" s="224" t="s">
        <v>1039</v>
      </c>
      <c r="I137" s="157"/>
      <c r="J137" s="172"/>
      <c r="K137" s="157"/>
      <c r="L137" s="223" t="s">
        <v>296</v>
      </c>
      <c r="M137" s="173"/>
      <c r="N137" s="173"/>
      <c r="O137" s="157" t="s">
        <v>307</v>
      </c>
      <c r="P137" s="158"/>
      <c r="Q137" s="185"/>
      <c r="R137" s="175"/>
      <c r="S137" s="174">
        <f t="shared" si="4"/>
        <v>0</v>
      </c>
      <c r="T137" s="157"/>
      <c r="U137" s="177">
        <v>-82.26</v>
      </c>
      <c r="V137" s="157"/>
      <c r="W137" s="157"/>
      <c r="X137" s="176">
        <f t="shared" si="5"/>
        <v>-82.26</v>
      </c>
      <c r="Y137" s="184"/>
      <c r="Z137" s="179"/>
      <c r="AA137" s="157"/>
      <c r="AB137" s="157"/>
      <c r="AC137" s="157"/>
    </row>
    <row r="138" spans="1:29" ht="12" customHeight="1" outlineLevel="1">
      <c r="A138" s="170" t="s">
        <v>302</v>
      </c>
      <c r="B138" s="157" t="s">
        <v>303</v>
      </c>
      <c r="C138" s="171">
        <v>42766</v>
      </c>
      <c r="D138" s="178"/>
      <c r="E138" s="157" t="s">
        <v>414</v>
      </c>
      <c r="F138" s="223" t="s">
        <v>1033</v>
      </c>
      <c r="G138" s="223"/>
      <c r="H138" s="224" t="s">
        <v>1039</v>
      </c>
      <c r="I138" s="157"/>
      <c r="J138" s="172"/>
      <c r="K138" s="157"/>
      <c r="L138" s="223" t="s">
        <v>296</v>
      </c>
      <c r="M138" s="173"/>
      <c r="N138" s="173"/>
      <c r="O138" s="157" t="s">
        <v>307</v>
      </c>
      <c r="P138" s="158"/>
      <c r="Q138" s="185"/>
      <c r="R138" s="175"/>
      <c r="S138" s="174">
        <f t="shared" si="4"/>
        <v>0</v>
      </c>
      <c r="T138" s="157"/>
      <c r="U138" s="177">
        <v>-264.99</v>
      </c>
      <c r="V138" s="157"/>
      <c r="W138" s="157"/>
      <c r="X138" s="176">
        <f t="shared" si="5"/>
        <v>-264.99</v>
      </c>
      <c r="Y138" s="184"/>
      <c r="Z138" s="179"/>
      <c r="AA138" s="157"/>
      <c r="AB138" s="157"/>
      <c r="AC138" s="157"/>
    </row>
    <row r="139" spans="1:29" ht="12" customHeight="1" outlineLevel="1">
      <c r="A139" s="170" t="s">
        <v>302</v>
      </c>
      <c r="B139" s="157" t="s">
        <v>303</v>
      </c>
      <c r="C139" s="171">
        <v>42766</v>
      </c>
      <c r="D139" s="178"/>
      <c r="E139" s="157" t="s">
        <v>415</v>
      </c>
      <c r="F139" s="223" t="s">
        <v>1033</v>
      </c>
      <c r="G139" s="223"/>
      <c r="H139" s="224" t="s">
        <v>1039</v>
      </c>
      <c r="I139" s="157"/>
      <c r="J139" s="172"/>
      <c r="K139" s="157"/>
      <c r="L139" s="223" t="s">
        <v>296</v>
      </c>
      <c r="M139" s="173"/>
      <c r="N139" s="173"/>
      <c r="O139" s="157" t="s">
        <v>307</v>
      </c>
      <c r="P139" s="158"/>
      <c r="Q139" s="185"/>
      <c r="R139" s="175"/>
      <c r="S139" s="174">
        <f t="shared" si="4"/>
        <v>0</v>
      </c>
      <c r="T139" s="157"/>
      <c r="U139" s="177">
        <v>-109.25</v>
      </c>
      <c r="V139" s="157"/>
      <c r="W139" s="157"/>
      <c r="X139" s="176">
        <f t="shared" si="5"/>
        <v>-109.25</v>
      </c>
      <c r="Y139" s="184"/>
      <c r="Z139" s="179"/>
      <c r="AA139" s="157"/>
      <c r="AB139" s="157"/>
      <c r="AC139" s="157"/>
    </row>
    <row r="140" spans="1:29" ht="12" customHeight="1" outlineLevel="1">
      <c r="A140" s="170" t="s">
        <v>302</v>
      </c>
      <c r="B140" s="157" t="s">
        <v>303</v>
      </c>
      <c r="C140" s="171">
        <v>42766</v>
      </c>
      <c r="D140" s="178"/>
      <c r="E140" s="157" t="s">
        <v>416</v>
      </c>
      <c r="F140" s="223" t="s">
        <v>1033</v>
      </c>
      <c r="G140" s="223"/>
      <c r="H140" s="224" t="s">
        <v>1039</v>
      </c>
      <c r="I140" s="157"/>
      <c r="J140" s="172"/>
      <c r="K140" s="157"/>
      <c r="L140" s="223" t="s">
        <v>296</v>
      </c>
      <c r="M140" s="173"/>
      <c r="N140" s="173"/>
      <c r="O140" s="157" t="s">
        <v>307</v>
      </c>
      <c r="P140" s="158"/>
      <c r="Q140" s="185"/>
      <c r="R140" s="175"/>
      <c r="S140" s="174">
        <f t="shared" si="4"/>
        <v>0</v>
      </c>
      <c r="T140" s="157"/>
      <c r="U140" s="177">
        <v>-100</v>
      </c>
      <c r="V140" s="157"/>
      <c r="W140" s="157"/>
      <c r="X140" s="176">
        <f t="shared" si="5"/>
        <v>-100</v>
      </c>
      <c r="Y140" s="184"/>
      <c r="Z140" s="179"/>
      <c r="AA140" s="157"/>
      <c r="AB140" s="157"/>
      <c r="AC140" s="157"/>
    </row>
    <row r="141" spans="1:29" ht="12" customHeight="1">
      <c r="A141" s="170" t="s">
        <v>302</v>
      </c>
      <c r="B141" s="157" t="s">
        <v>303</v>
      </c>
      <c r="C141" s="171">
        <v>42766</v>
      </c>
      <c r="D141" s="178"/>
      <c r="E141" s="157" t="s">
        <v>417</v>
      </c>
      <c r="F141" s="223" t="s">
        <v>1033</v>
      </c>
      <c r="G141" s="223"/>
      <c r="H141" s="224" t="s">
        <v>1039</v>
      </c>
      <c r="I141" s="157" t="s">
        <v>1009</v>
      </c>
      <c r="J141" s="157" t="s">
        <v>1009</v>
      </c>
      <c r="K141" s="157" t="s">
        <v>1009</v>
      </c>
      <c r="L141" s="223" t="s">
        <v>296</v>
      </c>
      <c r="M141" s="173"/>
      <c r="N141" s="173"/>
      <c r="O141" s="157" t="s">
        <v>271</v>
      </c>
      <c r="P141" s="158">
        <v>687.2</v>
      </c>
      <c r="Q141" s="185"/>
      <c r="R141" s="175"/>
      <c r="S141" s="174">
        <f>P141</f>
        <v>687.2</v>
      </c>
      <c r="T141" s="157"/>
      <c r="U141" s="177"/>
      <c r="V141" s="157"/>
      <c r="W141" s="157"/>
      <c r="X141" s="176">
        <f t="shared" si="5"/>
        <v>0</v>
      </c>
      <c r="Y141" s="184"/>
      <c r="Z141" s="179"/>
      <c r="AA141" s="157"/>
      <c r="AB141" s="157"/>
      <c r="AC141" s="157"/>
    </row>
    <row r="142" spans="1:29" ht="15" customHeight="1" thickBot="1">
      <c r="P142" s="296">
        <f>SUM(P5:P141)</f>
        <v>44607.200000000004</v>
      </c>
      <c r="Q142" s="296">
        <f t="shared" ref="Q142:X142" si="6">SUM(Q5:Q141)</f>
        <v>0</v>
      </c>
      <c r="R142" s="296">
        <f t="shared" si="6"/>
        <v>0</v>
      </c>
      <c r="S142" s="296">
        <f t="shared" si="6"/>
        <v>44607.200000000004</v>
      </c>
      <c r="T142" s="296">
        <f t="shared" si="6"/>
        <v>0</v>
      </c>
      <c r="U142" s="296">
        <f t="shared" si="6"/>
        <v>-19235.739999999998</v>
      </c>
      <c r="V142" s="296">
        <f t="shared" si="6"/>
        <v>0</v>
      </c>
      <c r="W142" s="296">
        <f t="shared" si="6"/>
        <v>0</v>
      </c>
      <c r="X142" s="296">
        <f t="shared" si="6"/>
        <v>-19235.739999999998</v>
      </c>
      <c r="Y142" s="296">
        <f>U142+P142</f>
        <v>25371.460000000006</v>
      </c>
      <c r="Z142" s="310">
        <f>Y142/P142</f>
        <v>0.5687749959647771</v>
      </c>
    </row>
    <row r="143" spans="1:29" ht="12" customHeight="1" outlineLevel="1" thickTop="1">
      <c r="A143" s="170" t="s">
        <v>302</v>
      </c>
      <c r="B143" s="157" t="s">
        <v>303</v>
      </c>
      <c r="C143" s="171">
        <v>42767</v>
      </c>
      <c r="D143" s="178"/>
      <c r="E143" s="157" t="s">
        <v>418</v>
      </c>
      <c r="F143" s="223" t="s">
        <v>305</v>
      </c>
      <c r="G143" s="223"/>
      <c r="H143" s="224" t="s">
        <v>306</v>
      </c>
      <c r="I143" s="157"/>
      <c r="J143" s="172"/>
      <c r="K143" s="157"/>
      <c r="L143" s="223" t="s">
        <v>296</v>
      </c>
      <c r="M143" s="173"/>
      <c r="N143" s="173"/>
      <c r="O143" s="157" t="s">
        <v>307</v>
      </c>
      <c r="P143" s="158"/>
      <c r="Q143" s="185"/>
      <c r="R143" s="175"/>
      <c r="S143" s="174">
        <f>P143</f>
        <v>0</v>
      </c>
      <c r="T143" s="157"/>
      <c r="U143" s="177">
        <v>-128</v>
      </c>
      <c r="V143" s="157"/>
      <c r="W143" s="157"/>
      <c r="X143" s="176">
        <f>U143</f>
        <v>-128</v>
      </c>
      <c r="Y143" s="184"/>
      <c r="Z143" s="179"/>
      <c r="AA143" s="157"/>
      <c r="AB143" s="157"/>
      <c r="AC143" s="157"/>
    </row>
    <row r="144" spans="1:29" ht="12" customHeight="1" outlineLevel="1">
      <c r="A144" s="170" t="s">
        <v>302</v>
      </c>
      <c r="B144" s="157" t="s">
        <v>303</v>
      </c>
      <c r="C144" s="171">
        <v>42767</v>
      </c>
      <c r="D144" s="178"/>
      <c r="E144" s="157" t="s">
        <v>419</v>
      </c>
      <c r="F144" s="223" t="s">
        <v>305</v>
      </c>
      <c r="G144" s="223"/>
      <c r="H144" s="224" t="s">
        <v>306</v>
      </c>
      <c r="I144" s="157" t="s">
        <v>1009</v>
      </c>
      <c r="J144" s="157" t="s">
        <v>1009</v>
      </c>
      <c r="K144" s="157" t="s">
        <v>1009</v>
      </c>
      <c r="L144" s="223" t="s">
        <v>296</v>
      </c>
      <c r="M144" s="173"/>
      <c r="N144" s="173"/>
      <c r="O144" s="157" t="s">
        <v>271</v>
      </c>
      <c r="P144" s="158">
        <v>922.78</v>
      </c>
      <c r="Q144" s="185"/>
      <c r="R144" s="175"/>
      <c r="S144" s="174">
        <f t="shared" ref="S144:S206" si="7">P144</f>
        <v>922.78</v>
      </c>
      <c r="T144" s="157"/>
      <c r="U144" s="177"/>
      <c r="V144" s="157"/>
      <c r="W144" s="157"/>
      <c r="X144" s="176">
        <f t="shared" si="5"/>
        <v>0</v>
      </c>
      <c r="Y144" s="184"/>
      <c r="Z144" s="179"/>
      <c r="AA144" s="157"/>
      <c r="AB144" s="157"/>
      <c r="AC144" s="157"/>
    </row>
    <row r="145" spans="1:29" ht="12" customHeight="1" outlineLevel="1">
      <c r="A145" s="170" t="s">
        <v>302</v>
      </c>
      <c r="B145" s="157" t="s">
        <v>303</v>
      </c>
      <c r="C145" s="171">
        <v>42767</v>
      </c>
      <c r="D145" s="178"/>
      <c r="E145" s="157" t="s">
        <v>420</v>
      </c>
      <c r="F145" s="223" t="s">
        <v>305</v>
      </c>
      <c r="G145" s="223"/>
      <c r="H145" s="224" t="s">
        <v>306</v>
      </c>
      <c r="I145" s="157" t="s">
        <v>1009</v>
      </c>
      <c r="J145" s="157" t="s">
        <v>1009</v>
      </c>
      <c r="K145" s="157" t="s">
        <v>1009</v>
      </c>
      <c r="L145" s="223" t="s">
        <v>296</v>
      </c>
      <c r="M145" s="173"/>
      <c r="N145" s="173"/>
      <c r="O145" s="157" t="s">
        <v>271</v>
      </c>
      <c r="P145" s="158">
        <v>842.54</v>
      </c>
      <c r="Q145" s="185"/>
      <c r="R145" s="175"/>
      <c r="S145" s="174">
        <f t="shared" si="7"/>
        <v>842.54</v>
      </c>
      <c r="T145" s="157"/>
      <c r="U145" s="177"/>
      <c r="V145" s="157"/>
      <c r="W145" s="157"/>
      <c r="X145" s="176">
        <f t="shared" si="5"/>
        <v>0</v>
      </c>
      <c r="Y145" s="184"/>
      <c r="Z145" s="179"/>
      <c r="AA145" s="157"/>
      <c r="AB145" s="157"/>
      <c r="AC145" s="157"/>
    </row>
    <row r="146" spans="1:29" ht="12" customHeight="1" outlineLevel="1">
      <c r="A146" s="170" t="s">
        <v>302</v>
      </c>
      <c r="B146" s="157" t="s">
        <v>303</v>
      </c>
      <c r="C146" s="171">
        <v>42768</v>
      </c>
      <c r="D146" s="178"/>
      <c r="E146" s="157" t="s">
        <v>421</v>
      </c>
      <c r="F146" s="223" t="s">
        <v>305</v>
      </c>
      <c r="G146" s="223"/>
      <c r="H146" s="224" t="s">
        <v>306</v>
      </c>
      <c r="I146" s="157"/>
      <c r="J146" s="172"/>
      <c r="K146" s="157"/>
      <c r="L146" s="223" t="s">
        <v>296</v>
      </c>
      <c r="M146" s="173"/>
      <c r="N146" s="173"/>
      <c r="O146" s="157" t="s">
        <v>307</v>
      </c>
      <c r="P146" s="158"/>
      <c r="Q146" s="185"/>
      <c r="R146" s="175"/>
      <c r="S146" s="174">
        <f t="shared" si="7"/>
        <v>0</v>
      </c>
      <c r="T146" s="157"/>
      <c r="U146" s="177">
        <v>-110.99</v>
      </c>
      <c r="V146" s="157"/>
      <c r="W146" s="157"/>
      <c r="X146" s="176">
        <f t="shared" si="5"/>
        <v>-110.99</v>
      </c>
      <c r="Y146" s="184"/>
      <c r="Z146" s="179"/>
      <c r="AA146" s="157"/>
      <c r="AB146" s="157"/>
      <c r="AC146" s="157"/>
    </row>
    <row r="147" spans="1:29" ht="12" customHeight="1" outlineLevel="1">
      <c r="A147" s="170" t="s">
        <v>302</v>
      </c>
      <c r="B147" s="157" t="s">
        <v>303</v>
      </c>
      <c r="C147" s="171">
        <v>42768</v>
      </c>
      <c r="D147" s="178"/>
      <c r="E147" s="157" t="s">
        <v>422</v>
      </c>
      <c r="F147" s="223" t="s">
        <v>305</v>
      </c>
      <c r="G147" s="223"/>
      <c r="H147" s="224" t="s">
        <v>306</v>
      </c>
      <c r="I147" s="157"/>
      <c r="J147" s="172"/>
      <c r="K147" s="157"/>
      <c r="L147" s="223" t="s">
        <v>296</v>
      </c>
      <c r="M147" s="173"/>
      <c r="N147" s="173"/>
      <c r="O147" s="157" t="s">
        <v>307</v>
      </c>
      <c r="P147" s="158"/>
      <c r="Q147" s="185"/>
      <c r="R147" s="175"/>
      <c r="S147" s="174">
        <f t="shared" si="7"/>
        <v>0</v>
      </c>
      <c r="T147" s="157"/>
      <c r="U147" s="177">
        <v>-35.909999999999997</v>
      </c>
      <c r="V147" s="157"/>
      <c r="W147" s="157"/>
      <c r="X147" s="176">
        <f t="shared" si="5"/>
        <v>-35.909999999999997</v>
      </c>
      <c r="Y147" s="184"/>
      <c r="Z147" s="179"/>
      <c r="AA147" s="157"/>
      <c r="AB147" s="157"/>
      <c r="AC147" s="157"/>
    </row>
    <row r="148" spans="1:29" ht="12" customHeight="1" outlineLevel="1">
      <c r="A148" s="170" t="s">
        <v>302</v>
      </c>
      <c r="B148" s="157" t="s">
        <v>303</v>
      </c>
      <c r="C148" s="171">
        <v>42768</v>
      </c>
      <c r="D148" s="178"/>
      <c r="E148" s="157" t="s">
        <v>423</v>
      </c>
      <c r="F148" s="223" t="s">
        <v>305</v>
      </c>
      <c r="G148" s="223"/>
      <c r="H148" s="224" t="s">
        <v>306</v>
      </c>
      <c r="I148" s="157"/>
      <c r="J148" s="172"/>
      <c r="K148" s="157"/>
      <c r="L148" s="223" t="s">
        <v>296</v>
      </c>
      <c r="M148" s="173"/>
      <c r="N148" s="173"/>
      <c r="O148" s="157" t="s">
        <v>307</v>
      </c>
      <c r="P148" s="158"/>
      <c r="Q148" s="185"/>
      <c r="R148" s="175"/>
      <c r="S148" s="174">
        <f t="shared" si="7"/>
        <v>0</v>
      </c>
      <c r="T148" s="157"/>
      <c r="U148" s="177">
        <v>-20.96</v>
      </c>
      <c r="V148" s="157"/>
      <c r="W148" s="157"/>
      <c r="X148" s="176">
        <f t="shared" si="5"/>
        <v>-20.96</v>
      </c>
      <c r="Y148" s="184"/>
      <c r="Z148" s="179"/>
      <c r="AA148" s="157"/>
      <c r="AB148" s="157"/>
      <c r="AC148" s="157"/>
    </row>
    <row r="149" spans="1:29" ht="12" customHeight="1" outlineLevel="1">
      <c r="A149" s="170" t="s">
        <v>302</v>
      </c>
      <c r="B149" s="157" t="s">
        <v>303</v>
      </c>
      <c r="C149" s="171">
        <v>42768</v>
      </c>
      <c r="D149" s="178"/>
      <c r="E149" s="157" t="s">
        <v>424</v>
      </c>
      <c r="F149" s="223" t="s">
        <v>305</v>
      </c>
      <c r="G149" s="223"/>
      <c r="H149" s="224" t="s">
        <v>306</v>
      </c>
      <c r="I149" s="157"/>
      <c r="J149" s="172"/>
      <c r="K149" s="157"/>
      <c r="L149" s="223" t="s">
        <v>296</v>
      </c>
      <c r="M149" s="173"/>
      <c r="N149" s="173"/>
      <c r="O149" s="157" t="s">
        <v>307</v>
      </c>
      <c r="P149" s="158"/>
      <c r="Q149" s="185"/>
      <c r="R149" s="175"/>
      <c r="S149" s="174">
        <f t="shared" si="7"/>
        <v>0</v>
      </c>
      <c r="T149" s="157"/>
      <c r="U149" s="177">
        <v>-6.99</v>
      </c>
      <c r="V149" s="157"/>
      <c r="W149" s="157"/>
      <c r="X149" s="176">
        <f t="shared" si="5"/>
        <v>-6.99</v>
      </c>
      <c r="Y149" s="184"/>
      <c r="Z149" s="179"/>
      <c r="AA149" s="157"/>
      <c r="AB149" s="157"/>
      <c r="AC149" s="157"/>
    </row>
    <row r="150" spans="1:29" ht="12" customHeight="1" outlineLevel="1">
      <c r="A150" s="170" t="s">
        <v>302</v>
      </c>
      <c r="B150" s="157" t="s">
        <v>303</v>
      </c>
      <c r="C150" s="171">
        <v>42768</v>
      </c>
      <c r="D150" s="178"/>
      <c r="E150" s="157" t="s">
        <v>425</v>
      </c>
      <c r="F150" s="223" t="s">
        <v>305</v>
      </c>
      <c r="G150" s="223"/>
      <c r="H150" s="224" t="s">
        <v>306</v>
      </c>
      <c r="I150" s="157"/>
      <c r="J150" s="172"/>
      <c r="K150" s="157"/>
      <c r="L150" s="223" t="s">
        <v>296</v>
      </c>
      <c r="M150" s="173"/>
      <c r="N150" s="173"/>
      <c r="O150" s="157" t="s">
        <v>307</v>
      </c>
      <c r="P150" s="158"/>
      <c r="Q150" s="185"/>
      <c r="R150" s="175"/>
      <c r="S150" s="174">
        <f t="shared" si="7"/>
        <v>0</v>
      </c>
      <c r="T150" s="157"/>
      <c r="U150" s="177">
        <v>-325</v>
      </c>
      <c r="V150" s="157"/>
      <c r="W150" s="157"/>
      <c r="X150" s="176">
        <f t="shared" si="5"/>
        <v>-325</v>
      </c>
      <c r="Y150" s="184"/>
      <c r="Z150" s="179"/>
      <c r="AA150" s="157"/>
      <c r="AB150" s="157"/>
      <c r="AC150" s="157"/>
    </row>
    <row r="151" spans="1:29" ht="12" customHeight="1" outlineLevel="1">
      <c r="A151" s="170" t="s">
        <v>302</v>
      </c>
      <c r="B151" s="157" t="s">
        <v>303</v>
      </c>
      <c r="C151" s="171">
        <v>42768</v>
      </c>
      <c r="D151" s="178"/>
      <c r="E151" s="157" t="s">
        <v>426</v>
      </c>
      <c r="F151" s="223" t="s">
        <v>305</v>
      </c>
      <c r="G151" s="223"/>
      <c r="H151" s="224" t="s">
        <v>306</v>
      </c>
      <c r="I151" s="157" t="s">
        <v>1009</v>
      </c>
      <c r="J151" s="157" t="s">
        <v>1009</v>
      </c>
      <c r="K151" s="157" t="s">
        <v>1009</v>
      </c>
      <c r="L151" s="223" t="s">
        <v>296</v>
      </c>
      <c r="M151" s="173"/>
      <c r="N151" s="173"/>
      <c r="O151" s="157" t="s">
        <v>271</v>
      </c>
      <c r="P151" s="158">
        <v>1489.23</v>
      </c>
      <c r="Q151" s="185"/>
      <c r="R151" s="175"/>
      <c r="S151" s="174">
        <f t="shared" si="7"/>
        <v>1489.23</v>
      </c>
      <c r="T151" s="157"/>
      <c r="U151" s="177"/>
      <c r="V151" s="157"/>
      <c r="W151" s="157"/>
      <c r="X151" s="176">
        <f t="shared" si="5"/>
        <v>0</v>
      </c>
      <c r="Y151" s="184"/>
      <c r="Z151" s="179"/>
      <c r="AA151" s="157"/>
      <c r="AB151" s="157"/>
      <c r="AC151" s="157"/>
    </row>
    <row r="152" spans="1:29" ht="12" customHeight="1" outlineLevel="1">
      <c r="A152" s="170" t="s">
        <v>302</v>
      </c>
      <c r="B152" s="157" t="s">
        <v>303</v>
      </c>
      <c r="C152" s="171">
        <v>42768</v>
      </c>
      <c r="D152" s="178"/>
      <c r="E152" s="157" t="s">
        <v>427</v>
      </c>
      <c r="F152" s="223" t="s">
        <v>305</v>
      </c>
      <c r="G152" s="223"/>
      <c r="H152" s="224" t="s">
        <v>306</v>
      </c>
      <c r="I152" s="157" t="s">
        <v>1009</v>
      </c>
      <c r="J152" s="157" t="s">
        <v>1009</v>
      </c>
      <c r="K152" s="157" t="s">
        <v>1009</v>
      </c>
      <c r="L152" s="223" t="s">
        <v>296</v>
      </c>
      <c r="M152" s="173"/>
      <c r="N152" s="173"/>
      <c r="O152" s="157" t="s">
        <v>271</v>
      </c>
      <c r="P152" s="158">
        <v>79.569999999999993</v>
      </c>
      <c r="Q152" s="185"/>
      <c r="R152" s="175"/>
      <c r="S152" s="174">
        <f t="shared" si="7"/>
        <v>79.569999999999993</v>
      </c>
      <c r="T152" s="157"/>
      <c r="U152" s="177"/>
      <c r="V152" s="157"/>
      <c r="W152" s="157"/>
      <c r="X152" s="176">
        <f t="shared" si="5"/>
        <v>0</v>
      </c>
      <c r="Y152" s="184"/>
      <c r="Z152" s="179"/>
      <c r="AA152" s="157"/>
      <c r="AB152" s="157"/>
      <c r="AC152" s="157"/>
    </row>
    <row r="153" spans="1:29" ht="12" customHeight="1" outlineLevel="1">
      <c r="A153" s="170" t="s">
        <v>302</v>
      </c>
      <c r="B153" s="157" t="s">
        <v>303</v>
      </c>
      <c r="C153" s="171">
        <v>42769</v>
      </c>
      <c r="D153" s="178"/>
      <c r="E153" s="157" t="s">
        <v>304</v>
      </c>
      <c r="F153" s="223" t="s">
        <v>305</v>
      </c>
      <c r="G153" s="223"/>
      <c r="H153" s="224" t="s">
        <v>306</v>
      </c>
      <c r="I153" s="157"/>
      <c r="J153" s="172"/>
      <c r="K153" s="157"/>
      <c r="L153" s="223" t="s">
        <v>296</v>
      </c>
      <c r="M153" s="173"/>
      <c r="N153" s="173"/>
      <c r="O153" s="157" t="s">
        <v>307</v>
      </c>
      <c r="P153" s="158"/>
      <c r="Q153" s="185"/>
      <c r="R153" s="175"/>
      <c r="S153" s="174">
        <f t="shared" si="7"/>
        <v>0</v>
      </c>
      <c r="T153" s="157"/>
      <c r="U153" s="177">
        <v>-476.41</v>
      </c>
      <c r="V153" s="157"/>
      <c r="W153" s="157"/>
      <c r="X153" s="176">
        <f t="shared" si="5"/>
        <v>-476.41</v>
      </c>
      <c r="Y153" s="184"/>
      <c r="Z153" s="179"/>
      <c r="AA153" s="157"/>
      <c r="AB153" s="157"/>
      <c r="AC153" s="157"/>
    </row>
    <row r="154" spans="1:29" ht="12" customHeight="1" outlineLevel="1">
      <c r="A154" s="170" t="s">
        <v>302</v>
      </c>
      <c r="B154" s="157" t="s">
        <v>303</v>
      </c>
      <c r="C154" s="171">
        <v>42769</v>
      </c>
      <c r="D154" s="178"/>
      <c r="E154" s="157" t="s">
        <v>428</v>
      </c>
      <c r="F154" s="223" t="s">
        <v>305</v>
      </c>
      <c r="G154" s="223"/>
      <c r="H154" s="224" t="s">
        <v>306</v>
      </c>
      <c r="I154" s="157"/>
      <c r="J154" s="172"/>
      <c r="K154" s="157"/>
      <c r="L154" s="223" t="s">
        <v>296</v>
      </c>
      <c r="M154" s="173"/>
      <c r="N154" s="173"/>
      <c r="O154" s="157" t="s">
        <v>307</v>
      </c>
      <c r="P154" s="158"/>
      <c r="Q154" s="185"/>
      <c r="R154" s="175"/>
      <c r="S154" s="174">
        <f t="shared" si="7"/>
        <v>0</v>
      </c>
      <c r="T154" s="157"/>
      <c r="U154" s="177">
        <v>-77.739999999999995</v>
      </c>
      <c r="V154" s="157"/>
      <c r="W154" s="157"/>
      <c r="X154" s="176">
        <f t="shared" si="5"/>
        <v>-77.739999999999995</v>
      </c>
      <c r="Y154" s="184"/>
      <c r="Z154" s="179"/>
      <c r="AA154" s="157"/>
      <c r="AB154" s="157"/>
      <c r="AC154" s="157"/>
    </row>
    <row r="155" spans="1:29" ht="12" customHeight="1" outlineLevel="1">
      <c r="A155" s="170" t="s">
        <v>302</v>
      </c>
      <c r="B155" s="157" t="s">
        <v>303</v>
      </c>
      <c r="C155" s="171">
        <v>42769</v>
      </c>
      <c r="D155" s="178"/>
      <c r="E155" s="157" t="s">
        <v>429</v>
      </c>
      <c r="F155" s="223" t="s">
        <v>305</v>
      </c>
      <c r="G155" s="223"/>
      <c r="H155" s="224" t="s">
        <v>306</v>
      </c>
      <c r="I155" s="157"/>
      <c r="J155" s="172"/>
      <c r="K155" s="157"/>
      <c r="L155" s="223" t="s">
        <v>296</v>
      </c>
      <c r="M155" s="173"/>
      <c r="N155" s="173"/>
      <c r="O155" s="157" t="s">
        <v>307</v>
      </c>
      <c r="P155" s="158"/>
      <c r="Q155" s="185"/>
      <c r="R155" s="175"/>
      <c r="S155" s="174">
        <f t="shared" si="7"/>
        <v>0</v>
      </c>
      <c r="T155" s="157"/>
      <c r="U155" s="177">
        <v>-39.950000000000003</v>
      </c>
      <c r="V155" s="157"/>
      <c r="W155" s="157"/>
      <c r="X155" s="176">
        <f t="shared" si="5"/>
        <v>-39.950000000000003</v>
      </c>
      <c r="Y155" s="184"/>
      <c r="Z155" s="179"/>
      <c r="AA155" s="157"/>
      <c r="AB155" s="157"/>
      <c r="AC155" s="157"/>
    </row>
    <row r="156" spans="1:29" ht="12" customHeight="1" outlineLevel="1">
      <c r="A156" s="170" t="s">
        <v>302</v>
      </c>
      <c r="B156" s="157" t="s">
        <v>303</v>
      </c>
      <c r="C156" s="171">
        <v>42769</v>
      </c>
      <c r="D156" s="178"/>
      <c r="E156" s="157" t="s">
        <v>430</v>
      </c>
      <c r="F156" s="223" t="s">
        <v>305</v>
      </c>
      <c r="G156" s="223"/>
      <c r="H156" s="224" t="s">
        <v>306</v>
      </c>
      <c r="I156" s="157" t="s">
        <v>1009</v>
      </c>
      <c r="J156" s="157" t="s">
        <v>1009</v>
      </c>
      <c r="K156" s="157" t="s">
        <v>1009</v>
      </c>
      <c r="L156" s="223" t="s">
        <v>296</v>
      </c>
      <c r="M156" s="173"/>
      <c r="N156" s="173"/>
      <c r="O156" s="157" t="s">
        <v>271</v>
      </c>
      <c r="P156" s="158">
        <v>960.95</v>
      </c>
      <c r="Q156" s="185"/>
      <c r="R156" s="175"/>
      <c r="S156" s="174">
        <f t="shared" si="7"/>
        <v>960.95</v>
      </c>
      <c r="T156" s="157"/>
      <c r="U156" s="177"/>
      <c r="V156" s="157"/>
      <c r="W156" s="157"/>
      <c r="X156" s="176">
        <f t="shared" si="5"/>
        <v>0</v>
      </c>
      <c r="Y156" s="184"/>
      <c r="Z156" s="179"/>
      <c r="AA156" s="157"/>
      <c r="AB156" s="157"/>
      <c r="AC156" s="157"/>
    </row>
    <row r="157" spans="1:29" ht="12" customHeight="1" outlineLevel="1">
      <c r="A157" s="170" t="s">
        <v>302</v>
      </c>
      <c r="B157" s="157" t="s">
        <v>303</v>
      </c>
      <c r="C157" s="171">
        <v>42772</v>
      </c>
      <c r="D157" s="178"/>
      <c r="E157" s="157" t="s">
        <v>304</v>
      </c>
      <c r="F157" s="223" t="s">
        <v>305</v>
      </c>
      <c r="G157" s="223"/>
      <c r="H157" s="224" t="s">
        <v>306</v>
      </c>
      <c r="I157" s="157"/>
      <c r="J157" s="172"/>
      <c r="K157" s="157"/>
      <c r="L157" s="223" t="s">
        <v>296</v>
      </c>
      <c r="M157" s="173"/>
      <c r="N157" s="173"/>
      <c r="O157" s="157" t="s">
        <v>308</v>
      </c>
      <c r="P157" s="158"/>
      <c r="Q157" s="185"/>
      <c r="R157" s="175"/>
      <c r="S157" s="174">
        <f t="shared" si="7"/>
        <v>0</v>
      </c>
      <c r="T157" s="157"/>
      <c r="U157" s="177">
        <v>-463</v>
      </c>
      <c r="V157" s="157"/>
      <c r="W157" s="157"/>
      <c r="X157" s="176">
        <f t="shared" si="5"/>
        <v>-463</v>
      </c>
      <c r="Y157" s="184"/>
      <c r="Z157" s="179"/>
      <c r="AA157" s="157"/>
      <c r="AB157" s="157"/>
      <c r="AC157" s="157"/>
    </row>
    <row r="158" spans="1:29" ht="12" customHeight="1" outlineLevel="1">
      <c r="A158" s="170" t="s">
        <v>302</v>
      </c>
      <c r="B158" s="157" t="s">
        <v>303</v>
      </c>
      <c r="C158" s="171">
        <v>42772</v>
      </c>
      <c r="D158" s="178"/>
      <c r="E158" s="157" t="s">
        <v>304</v>
      </c>
      <c r="F158" s="223" t="s">
        <v>305</v>
      </c>
      <c r="G158" s="223"/>
      <c r="H158" s="224" t="s">
        <v>306</v>
      </c>
      <c r="I158" s="157"/>
      <c r="J158" s="172"/>
      <c r="K158" s="157"/>
      <c r="L158" s="223" t="s">
        <v>296</v>
      </c>
      <c r="M158" s="173"/>
      <c r="N158" s="173"/>
      <c r="O158" s="157" t="s">
        <v>308</v>
      </c>
      <c r="P158" s="158"/>
      <c r="Q158" s="185"/>
      <c r="R158" s="175"/>
      <c r="S158" s="174">
        <f t="shared" si="7"/>
        <v>0</v>
      </c>
      <c r="T158" s="157"/>
      <c r="U158" s="177">
        <v>-661</v>
      </c>
      <c r="V158" s="157"/>
      <c r="W158" s="157"/>
      <c r="X158" s="176">
        <f t="shared" si="5"/>
        <v>-661</v>
      </c>
      <c r="Y158" s="184"/>
      <c r="Z158" s="179"/>
      <c r="AA158" s="157"/>
      <c r="AB158" s="157"/>
      <c r="AC158" s="157"/>
    </row>
    <row r="159" spans="1:29" ht="12" customHeight="1" outlineLevel="1">
      <c r="A159" s="170" t="s">
        <v>302</v>
      </c>
      <c r="B159" s="157" t="s">
        <v>303</v>
      </c>
      <c r="C159" s="171">
        <v>42772</v>
      </c>
      <c r="D159" s="178"/>
      <c r="E159" s="157" t="s">
        <v>431</v>
      </c>
      <c r="F159" s="223" t="s">
        <v>305</v>
      </c>
      <c r="G159" s="223"/>
      <c r="H159" s="224" t="s">
        <v>306</v>
      </c>
      <c r="I159" s="157"/>
      <c r="J159" s="172"/>
      <c r="K159" s="157"/>
      <c r="L159" s="223" t="s">
        <v>296</v>
      </c>
      <c r="M159" s="173"/>
      <c r="N159" s="173"/>
      <c r="O159" s="157" t="s">
        <v>307</v>
      </c>
      <c r="P159" s="158"/>
      <c r="Q159" s="185"/>
      <c r="R159" s="175"/>
      <c r="S159" s="174">
        <f t="shared" si="7"/>
        <v>0</v>
      </c>
      <c r="T159" s="157"/>
      <c r="U159" s="177">
        <v>-111.76</v>
      </c>
      <c r="V159" s="157"/>
      <c r="W159" s="157"/>
      <c r="X159" s="176">
        <f t="shared" si="5"/>
        <v>-111.76</v>
      </c>
      <c r="Y159" s="184"/>
      <c r="Z159" s="179"/>
      <c r="AA159" s="157"/>
      <c r="AB159" s="157"/>
      <c r="AC159" s="157"/>
    </row>
    <row r="160" spans="1:29" ht="12" customHeight="1" outlineLevel="1">
      <c r="A160" s="170" t="s">
        <v>302</v>
      </c>
      <c r="B160" s="157" t="s">
        <v>303</v>
      </c>
      <c r="C160" s="171">
        <v>42772</v>
      </c>
      <c r="D160" s="178"/>
      <c r="E160" s="157" t="s">
        <v>432</v>
      </c>
      <c r="F160" s="223" t="s">
        <v>305</v>
      </c>
      <c r="G160" s="223"/>
      <c r="H160" s="224" t="s">
        <v>306</v>
      </c>
      <c r="I160" s="157"/>
      <c r="J160" s="172"/>
      <c r="K160" s="157"/>
      <c r="L160" s="223" t="s">
        <v>296</v>
      </c>
      <c r="M160" s="173"/>
      <c r="N160" s="173"/>
      <c r="O160" s="157" t="s">
        <v>307</v>
      </c>
      <c r="P160" s="158"/>
      <c r="Q160" s="185"/>
      <c r="R160" s="175"/>
      <c r="S160" s="174">
        <f t="shared" si="7"/>
        <v>0</v>
      </c>
      <c r="T160" s="157"/>
      <c r="U160" s="177">
        <v>-95.65</v>
      </c>
      <c r="V160" s="157"/>
      <c r="W160" s="157"/>
      <c r="X160" s="176">
        <f t="shared" si="5"/>
        <v>-95.65</v>
      </c>
      <c r="Y160" s="184"/>
      <c r="Z160" s="179"/>
      <c r="AA160" s="157"/>
      <c r="AB160" s="157"/>
      <c r="AC160" s="157"/>
    </row>
    <row r="161" spans="1:29" ht="12" customHeight="1" outlineLevel="1">
      <c r="A161" s="170" t="s">
        <v>302</v>
      </c>
      <c r="B161" s="157" t="s">
        <v>303</v>
      </c>
      <c r="C161" s="171">
        <v>42772</v>
      </c>
      <c r="D161" s="178"/>
      <c r="E161" s="157" t="s">
        <v>304</v>
      </c>
      <c r="F161" s="223" t="s">
        <v>305</v>
      </c>
      <c r="G161" s="223"/>
      <c r="H161" s="224" t="s">
        <v>306</v>
      </c>
      <c r="I161" s="157"/>
      <c r="J161" s="172"/>
      <c r="K161" s="157"/>
      <c r="L161" s="223" t="s">
        <v>296</v>
      </c>
      <c r="M161" s="173"/>
      <c r="N161" s="173"/>
      <c r="O161" s="157" t="s">
        <v>307</v>
      </c>
      <c r="P161" s="158"/>
      <c r="Q161" s="185"/>
      <c r="R161" s="175"/>
      <c r="S161" s="174">
        <f t="shared" si="7"/>
        <v>0</v>
      </c>
      <c r="T161" s="157"/>
      <c r="U161" s="177">
        <v>-3000</v>
      </c>
      <c r="V161" s="157"/>
      <c r="W161" s="157"/>
      <c r="X161" s="176">
        <f t="shared" si="5"/>
        <v>-3000</v>
      </c>
      <c r="Y161" s="184"/>
      <c r="Z161" s="179"/>
      <c r="AA161" s="157"/>
      <c r="AB161" s="157"/>
      <c r="AC161" s="157"/>
    </row>
    <row r="162" spans="1:29" ht="12" customHeight="1" outlineLevel="1">
      <c r="A162" s="170" t="s">
        <v>302</v>
      </c>
      <c r="B162" s="157" t="s">
        <v>303</v>
      </c>
      <c r="C162" s="171">
        <v>42772</v>
      </c>
      <c r="D162" s="178"/>
      <c r="E162" s="157" t="s">
        <v>433</v>
      </c>
      <c r="F162" s="223" t="s">
        <v>305</v>
      </c>
      <c r="G162" s="223"/>
      <c r="H162" s="224" t="s">
        <v>306</v>
      </c>
      <c r="I162" s="157"/>
      <c r="J162" s="172"/>
      <c r="K162" s="157"/>
      <c r="L162" s="223" t="s">
        <v>296</v>
      </c>
      <c r="M162" s="173"/>
      <c r="N162" s="173"/>
      <c r="O162" s="157" t="s">
        <v>307</v>
      </c>
      <c r="P162" s="158"/>
      <c r="Q162" s="185"/>
      <c r="R162" s="175"/>
      <c r="S162" s="174">
        <f t="shared" si="7"/>
        <v>0</v>
      </c>
      <c r="T162" s="157"/>
      <c r="U162" s="177">
        <v>-128.18</v>
      </c>
      <c r="V162" s="157"/>
      <c r="W162" s="157"/>
      <c r="X162" s="176">
        <f t="shared" si="5"/>
        <v>-128.18</v>
      </c>
      <c r="Y162" s="184"/>
      <c r="Z162" s="179"/>
      <c r="AA162" s="157"/>
      <c r="AB162" s="157"/>
      <c r="AC162" s="157"/>
    </row>
    <row r="163" spans="1:29" ht="12" customHeight="1" outlineLevel="1">
      <c r="A163" s="170" t="s">
        <v>302</v>
      </c>
      <c r="B163" s="157" t="s">
        <v>303</v>
      </c>
      <c r="C163" s="171">
        <v>42772</v>
      </c>
      <c r="D163" s="178"/>
      <c r="E163" s="157" t="s">
        <v>434</v>
      </c>
      <c r="F163" s="223" t="s">
        <v>305</v>
      </c>
      <c r="G163" s="223"/>
      <c r="H163" s="224" t="s">
        <v>306</v>
      </c>
      <c r="I163" s="157"/>
      <c r="J163" s="172"/>
      <c r="K163" s="157"/>
      <c r="L163" s="223" t="s">
        <v>296</v>
      </c>
      <c r="M163" s="173"/>
      <c r="N163" s="173"/>
      <c r="O163" s="157" t="s">
        <v>307</v>
      </c>
      <c r="P163" s="158"/>
      <c r="Q163" s="185"/>
      <c r="R163" s="175"/>
      <c r="S163" s="174">
        <f t="shared" si="7"/>
        <v>0</v>
      </c>
      <c r="T163" s="157"/>
      <c r="U163" s="177">
        <v>-48.11</v>
      </c>
      <c r="V163" s="157"/>
      <c r="W163" s="157"/>
      <c r="X163" s="176">
        <f t="shared" si="5"/>
        <v>-48.11</v>
      </c>
      <c r="Y163" s="184"/>
      <c r="Z163" s="179"/>
      <c r="AA163" s="157"/>
      <c r="AB163" s="157"/>
      <c r="AC163" s="157"/>
    </row>
    <row r="164" spans="1:29" ht="12" customHeight="1" outlineLevel="1">
      <c r="A164" s="170" t="s">
        <v>302</v>
      </c>
      <c r="B164" s="157" t="s">
        <v>303</v>
      </c>
      <c r="C164" s="171">
        <v>42772</v>
      </c>
      <c r="D164" s="178"/>
      <c r="E164" s="157" t="s">
        <v>435</v>
      </c>
      <c r="F164" s="223" t="s">
        <v>305</v>
      </c>
      <c r="G164" s="223"/>
      <c r="H164" s="224" t="s">
        <v>306</v>
      </c>
      <c r="I164" s="157"/>
      <c r="J164" s="172"/>
      <c r="K164" s="157"/>
      <c r="L164" s="223" t="s">
        <v>296</v>
      </c>
      <c r="M164" s="173"/>
      <c r="N164" s="173"/>
      <c r="O164" s="157" t="s">
        <v>307</v>
      </c>
      <c r="P164" s="158"/>
      <c r="Q164" s="185"/>
      <c r="R164" s="175"/>
      <c r="S164" s="174">
        <f t="shared" si="7"/>
        <v>0</v>
      </c>
      <c r="T164" s="157"/>
      <c r="U164" s="177">
        <v>-78.739999999999995</v>
      </c>
      <c r="V164" s="157"/>
      <c r="W164" s="157"/>
      <c r="X164" s="176">
        <f t="shared" si="5"/>
        <v>-78.739999999999995</v>
      </c>
      <c r="Y164" s="184"/>
      <c r="Z164" s="179"/>
      <c r="AA164" s="157"/>
      <c r="AB164" s="157"/>
      <c r="AC164" s="157"/>
    </row>
    <row r="165" spans="1:29" ht="12" customHeight="1" outlineLevel="1">
      <c r="A165" s="170" t="s">
        <v>302</v>
      </c>
      <c r="B165" s="157" t="s">
        <v>303</v>
      </c>
      <c r="C165" s="171">
        <v>42772</v>
      </c>
      <c r="D165" s="178"/>
      <c r="E165" s="157" t="s">
        <v>436</v>
      </c>
      <c r="F165" s="223" t="s">
        <v>305</v>
      </c>
      <c r="G165" s="223"/>
      <c r="H165" s="224" t="s">
        <v>306</v>
      </c>
      <c r="I165" s="157"/>
      <c r="J165" s="172"/>
      <c r="K165" s="157"/>
      <c r="L165" s="223" t="s">
        <v>296</v>
      </c>
      <c r="M165" s="173"/>
      <c r="N165" s="173"/>
      <c r="O165" s="157" t="s">
        <v>307</v>
      </c>
      <c r="P165" s="158"/>
      <c r="Q165" s="185"/>
      <c r="R165" s="175"/>
      <c r="S165" s="174">
        <f t="shared" si="7"/>
        <v>0</v>
      </c>
      <c r="T165" s="157"/>
      <c r="U165" s="177">
        <v>-68.37</v>
      </c>
      <c r="V165" s="157"/>
      <c r="W165" s="157"/>
      <c r="X165" s="176">
        <f t="shared" si="5"/>
        <v>-68.37</v>
      </c>
      <c r="Y165" s="184"/>
      <c r="Z165" s="179"/>
      <c r="AA165" s="157"/>
      <c r="AB165" s="157"/>
      <c r="AC165" s="157"/>
    </row>
    <row r="166" spans="1:29" ht="12" customHeight="1" outlineLevel="1">
      <c r="A166" s="170" t="s">
        <v>302</v>
      </c>
      <c r="B166" s="157" t="s">
        <v>303</v>
      </c>
      <c r="C166" s="171">
        <v>42772</v>
      </c>
      <c r="D166" s="178"/>
      <c r="E166" s="157" t="s">
        <v>437</v>
      </c>
      <c r="F166" s="223" t="s">
        <v>305</v>
      </c>
      <c r="G166" s="223"/>
      <c r="H166" s="224" t="s">
        <v>306</v>
      </c>
      <c r="I166" s="157"/>
      <c r="J166" s="172"/>
      <c r="K166" s="157"/>
      <c r="L166" s="223" t="s">
        <v>296</v>
      </c>
      <c r="M166" s="173"/>
      <c r="N166" s="173"/>
      <c r="O166" s="157" t="s">
        <v>307</v>
      </c>
      <c r="P166" s="158"/>
      <c r="Q166" s="185"/>
      <c r="R166" s="175"/>
      <c r="S166" s="174">
        <f t="shared" si="7"/>
        <v>0</v>
      </c>
      <c r="T166" s="157"/>
      <c r="U166" s="177">
        <v>-143.09</v>
      </c>
      <c r="V166" s="157"/>
      <c r="W166" s="157"/>
      <c r="X166" s="176">
        <f t="shared" si="5"/>
        <v>-143.09</v>
      </c>
      <c r="Y166" s="184"/>
      <c r="Z166" s="179"/>
      <c r="AA166" s="157"/>
      <c r="AB166" s="157"/>
      <c r="AC166" s="157"/>
    </row>
    <row r="167" spans="1:29" ht="12" customHeight="1" outlineLevel="1">
      <c r="A167" s="170" t="s">
        <v>302</v>
      </c>
      <c r="B167" s="157" t="s">
        <v>303</v>
      </c>
      <c r="C167" s="171">
        <v>42772</v>
      </c>
      <c r="D167" s="178"/>
      <c r="E167" s="157" t="s">
        <v>438</v>
      </c>
      <c r="F167" s="223" t="s">
        <v>305</v>
      </c>
      <c r="G167" s="223"/>
      <c r="H167" s="224" t="s">
        <v>306</v>
      </c>
      <c r="I167" s="157"/>
      <c r="J167" s="172"/>
      <c r="K167" s="157"/>
      <c r="L167" s="223" t="s">
        <v>296</v>
      </c>
      <c r="M167" s="173"/>
      <c r="N167" s="173"/>
      <c r="O167" s="157" t="s">
        <v>307</v>
      </c>
      <c r="P167" s="158"/>
      <c r="Q167" s="185"/>
      <c r="R167" s="175"/>
      <c r="S167" s="174">
        <f t="shared" si="7"/>
        <v>0</v>
      </c>
      <c r="T167" s="157"/>
      <c r="U167" s="177">
        <v>-13.09</v>
      </c>
      <c r="V167" s="157"/>
      <c r="W167" s="157"/>
      <c r="X167" s="176">
        <f t="shared" si="5"/>
        <v>-13.09</v>
      </c>
      <c r="Y167" s="184"/>
      <c r="Z167" s="179"/>
      <c r="AA167" s="157"/>
      <c r="AB167" s="157"/>
      <c r="AC167" s="157"/>
    </row>
    <row r="168" spans="1:29" ht="12" customHeight="1" outlineLevel="1">
      <c r="A168" s="170" t="s">
        <v>302</v>
      </c>
      <c r="B168" s="157" t="s">
        <v>303</v>
      </c>
      <c r="C168" s="171">
        <v>42772</v>
      </c>
      <c r="D168" s="178"/>
      <c r="E168" s="157" t="s">
        <v>439</v>
      </c>
      <c r="F168" s="223" t="s">
        <v>305</v>
      </c>
      <c r="G168" s="223"/>
      <c r="H168" s="224" t="s">
        <v>306</v>
      </c>
      <c r="I168" s="157" t="s">
        <v>1009</v>
      </c>
      <c r="J168" s="157" t="s">
        <v>1009</v>
      </c>
      <c r="K168" s="157" t="s">
        <v>1009</v>
      </c>
      <c r="L168" s="223" t="s">
        <v>296</v>
      </c>
      <c r="M168" s="173"/>
      <c r="N168" s="173"/>
      <c r="O168" s="157" t="s">
        <v>271</v>
      </c>
      <c r="P168" s="158">
        <v>2215.3000000000002</v>
      </c>
      <c r="Q168" s="185"/>
      <c r="R168" s="175"/>
      <c r="S168" s="174">
        <f t="shared" si="7"/>
        <v>2215.3000000000002</v>
      </c>
      <c r="T168" s="157"/>
      <c r="U168" s="177"/>
      <c r="V168" s="157"/>
      <c r="W168" s="157"/>
      <c r="X168" s="176">
        <f t="shared" si="5"/>
        <v>0</v>
      </c>
      <c r="Y168" s="184"/>
      <c r="Z168" s="179"/>
      <c r="AA168" s="157"/>
      <c r="AB168" s="157"/>
      <c r="AC168" s="157"/>
    </row>
    <row r="169" spans="1:29" ht="12" customHeight="1" outlineLevel="1">
      <c r="A169" s="170" t="s">
        <v>302</v>
      </c>
      <c r="B169" s="157" t="s">
        <v>303</v>
      </c>
      <c r="C169" s="171">
        <v>42772</v>
      </c>
      <c r="D169" s="178"/>
      <c r="E169" s="157" t="s">
        <v>440</v>
      </c>
      <c r="F169" s="223" t="s">
        <v>305</v>
      </c>
      <c r="G169" s="223"/>
      <c r="H169" s="224" t="s">
        <v>306</v>
      </c>
      <c r="I169" s="157" t="s">
        <v>1009</v>
      </c>
      <c r="J169" s="157" t="s">
        <v>1009</v>
      </c>
      <c r="K169" s="157" t="s">
        <v>1009</v>
      </c>
      <c r="L169" s="223" t="s">
        <v>296</v>
      </c>
      <c r="M169" s="173"/>
      <c r="N169" s="173"/>
      <c r="O169" s="157" t="s">
        <v>271</v>
      </c>
      <c r="P169" s="158">
        <v>1394.96</v>
      </c>
      <c r="Q169" s="185"/>
      <c r="R169" s="175"/>
      <c r="S169" s="174">
        <f t="shared" si="7"/>
        <v>1394.96</v>
      </c>
      <c r="T169" s="157"/>
      <c r="U169" s="177"/>
      <c r="V169" s="157"/>
      <c r="W169" s="157"/>
      <c r="X169" s="176">
        <f t="shared" si="5"/>
        <v>0</v>
      </c>
      <c r="Y169" s="184"/>
      <c r="Z169" s="179"/>
      <c r="AA169" s="157"/>
      <c r="AB169" s="157"/>
      <c r="AC169" s="157"/>
    </row>
    <row r="170" spans="1:29" ht="12" customHeight="1" outlineLevel="1">
      <c r="A170" s="170" t="s">
        <v>302</v>
      </c>
      <c r="B170" s="157" t="s">
        <v>303</v>
      </c>
      <c r="C170" s="171">
        <v>42772</v>
      </c>
      <c r="D170" s="178"/>
      <c r="E170" s="157" t="s">
        <v>441</v>
      </c>
      <c r="F170" s="223" t="s">
        <v>305</v>
      </c>
      <c r="G170" s="223"/>
      <c r="H170" s="224" t="s">
        <v>306</v>
      </c>
      <c r="I170" s="157" t="s">
        <v>1009</v>
      </c>
      <c r="J170" s="157" t="s">
        <v>1009</v>
      </c>
      <c r="K170" s="157" t="s">
        <v>1009</v>
      </c>
      <c r="L170" s="223" t="s">
        <v>296</v>
      </c>
      <c r="M170" s="173"/>
      <c r="N170" s="173"/>
      <c r="O170" s="157" t="s">
        <v>271</v>
      </c>
      <c r="P170" s="158">
        <v>1251.1099999999999</v>
      </c>
      <c r="Q170" s="185"/>
      <c r="R170" s="175"/>
      <c r="S170" s="174">
        <f t="shared" si="7"/>
        <v>1251.1099999999999</v>
      </c>
      <c r="T170" s="157"/>
      <c r="U170" s="177"/>
      <c r="V170" s="157"/>
      <c r="W170" s="157"/>
      <c r="X170" s="176">
        <f t="shared" si="5"/>
        <v>0</v>
      </c>
      <c r="Y170" s="184"/>
      <c r="Z170" s="179"/>
      <c r="AA170" s="157"/>
      <c r="AB170" s="157"/>
      <c r="AC170" s="157"/>
    </row>
    <row r="171" spans="1:29" ht="12" customHeight="1" outlineLevel="1">
      <c r="A171" s="170" t="s">
        <v>302</v>
      </c>
      <c r="B171" s="157" t="s">
        <v>303</v>
      </c>
      <c r="C171" s="171">
        <v>42773</v>
      </c>
      <c r="D171" s="178"/>
      <c r="E171" s="157" t="s">
        <v>304</v>
      </c>
      <c r="F171" s="223" t="s">
        <v>305</v>
      </c>
      <c r="G171" s="223"/>
      <c r="H171" s="224" t="s">
        <v>306</v>
      </c>
      <c r="I171" s="157"/>
      <c r="J171" s="172"/>
      <c r="K171" s="157"/>
      <c r="L171" s="223" t="s">
        <v>296</v>
      </c>
      <c r="M171" s="173"/>
      <c r="N171" s="173"/>
      <c r="O171" s="157" t="s">
        <v>308</v>
      </c>
      <c r="P171" s="158"/>
      <c r="Q171" s="185"/>
      <c r="R171" s="175"/>
      <c r="S171" s="174">
        <f t="shared" si="7"/>
        <v>0</v>
      </c>
      <c r="T171" s="157"/>
      <c r="U171" s="177">
        <v>-417.65</v>
      </c>
      <c r="V171" s="157"/>
      <c r="W171" s="157"/>
      <c r="X171" s="176">
        <f t="shared" si="5"/>
        <v>-417.65</v>
      </c>
      <c r="Y171" s="184"/>
      <c r="Z171" s="179"/>
      <c r="AA171" s="157"/>
      <c r="AB171" s="157"/>
      <c r="AC171" s="157"/>
    </row>
    <row r="172" spans="1:29" ht="12" customHeight="1" outlineLevel="1">
      <c r="A172" s="170" t="s">
        <v>302</v>
      </c>
      <c r="B172" s="157" t="s">
        <v>303</v>
      </c>
      <c r="C172" s="171">
        <v>42773</v>
      </c>
      <c r="D172" s="178"/>
      <c r="E172" s="157" t="s">
        <v>442</v>
      </c>
      <c r="F172" s="223" t="s">
        <v>305</v>
      </c>
      <c r="G172" s="223"/>
      <c r="H172" s="224" t="s">
        <v>306</v>
      </c>
      <c r="I172" s="157"/>
      <c r="J172" s="172"/>
      <c r="K172" s="157"/>
      <c r="L172" s="223" t="s">
        <v>296</v>
      </c>
      <c r="M172" s="173"/>
      <c r="N172" s="173"/>
      <c r="O172" s="157" t="s">
        <v>307</v>
      </c>
      <c r="P172" s="158"/>
      <c r="Q172" s="185"/>
      <c r="R172" s="175"/>
      <c r="S172" s="174">
        <f t="shared" si="7"/>
        <v>0</v>
      </c>
      <c r="T172" s="157"/>
      <c r="U172" s="177">
        <v>-74.5</v>
      </c>
      <c r="V172" s="157"/>
      <c r="W172" s="157"/>
      <c r="X172" s="176">
        <f t="shared" si="5"/>
        <v>-74.5</v>
      </c>
      <c r="Y172" s="184"/>
      <c r="Z172" s="179"/>
      <c r="AA172" s="157"/>
      <c r="AB172" s="157"/>
      <c r="AC172" s="157"/>
    </row>
    <row r="173" spans="1:29" ht="12" customHeight="1" outlineLevel="1">
      <c r="A173" s="170" t="s">
        <v>302</v>
      </c>
      <c r="B173" s="157" t="s">
        <v>303</v>
      </c>
      <c r="C173" s="171">
        <v>42773</v>
      </c>
      <c r="D173" s="178"/>
      <c r="E173" s="157" t="s">
        <v>443</v>
      </c>
      <c r="F173" s="223" t="s">
        <v>305</v>
      </c>
      <c r="G173" s="223"/>
      <c r="H173" s="224" t="s">
        <v>306</v>
      </c>
      <c r="I173" s="157"/>
      <c r="J173" s="172"/>
      <c r="K173" s="157"/>
      <c r="L173" s="223" t="s">
        <v>296</v>
      </c>
      <c r="M173" s="173"/>
      <c r="N173" s="173"/>
      <c r="O173" s="157" t="s">
        <v>307</v>
      </c>
      <c r="P173" s="158"/>
      <c r="Q173" s="185"/>
      <c r="R173" s="175"/>
      <c r="S173" s="174">
        <f t="shared" si="7"/>
        <v>0</v>
      </c>
      <c r="T173" s="157"/>
      <c r="U173" s="177">
        <v>-12.75</v>
      </c>
      <c r="V173" s="157"/>
      <c r="W173" s="157"/>
      <c r="X173" s="176">
        <f t="shared" si="5"/>
        <v>-12.75</v>
      </c>
      <c r="Y173" s="184"/>
      <c r="Z173" s="179"/>
      <c r="AA173" s="157"/>
      <c r="AB173" s="157"/>
      <c r="AC173" s="157"/>
    </row>
    <row r="174" spans="1:29" ht="12" customHeight="1" outlineLevel="1">
      <c r="A174" s="170" t="s">
        <v>302</v>
      </c>
      <c r="B174" s="157" t="s">
        <v>303</v>
      </c>
      <c r="C174" s="171">
        <v>42773</v>
      </c>
      <c r="D174" s="178"/>
      <c r="E174" s="157" t="s">
        <v>444</v>
      </c>
      <c r="F174" s="223" t="s">
        <v>305</v>
      </c>
      <c r="G174" s="223"/>
      <c r="H174" s="224" t="s">
        <v>306</v>
      </c>
      <c r="I174" s="157" t="s">
        <v>1009</v>
      </c>
      <c r="J174" s="157" t="s">
        <v>1009</v>
      </c>
      <c r="K174" s="157" t="s">
        <v>1009</v>
      </c>
      <c r="L174" s="223" t="s">
        <v>296</v>
      </c>
      <c r="M174" s="173"/>
      <c r="N174" s="173"/>
      <c r="O174" s="157" t="s">
        <v>271</v>
      </c>
      <c r="P174" s="158">
        <v>480.01</v>
      </c>
      <c r="Q174" s="185"/>
      <c r="R174" s="175"/>
      <c r="S174" s="174">
        <f t="shared" si="7"/>
        <v>480.01</v>
      </c>
      <c r="T174" s="157"/>
      <c r="U174" s="177"/>
      <c r="V174" s="157"/>
      <c r="W174" s="157"/>
      <c r="X174" s="176">
        <f t="shared" si="5"/>
        <v>0</v>
      </c>
      <c r="Y174" s="184"/>
      <c r="Z174" s="179"/>
      <c r="AA174" s="157"/>
      <c r="AB174" s="157"/>
      <c r="AC174" s="157"/>
    </row>
    <row r="175" spans="1:29" ht="12" customHeight="1" outlineLevel="1">
      <c r="A175" s="170" t="s">
        <v>302</v>
      </c>
      <c r="B175" s="157" t="s">
        <v>303</v>
      </c>
      <c r="C175" s="171">
        <v>42774</v>
      </c>
      <c r="D175" s="178"/>
      <c r="E175" s="157" t="s">
        <v>445</v>
      </c>
      <c r="F175" s="223" t="s">
        <v>305</v>
      </c>
      <c r="G175" s="223"/>
      <c r="H175" s="224" t="s">
        <v>306</v>
      </c>
      <c r="I175" s="157"/>
      <c r="J175" s="172"/>
      <c r="K175" s="157"/>
      <c r="L175" s="223" t="s">
        <v>296</v>
      </c>
      <c r="M175" s="173"/>
      <c r="N175" s="173"/>
      <c r="O175" s="157" t="s">
        <v>307</v>
      </c>
      <c r="P175" s="158"/>
      <c r="Q175" s="185"/>
      <c r="R175" s="175"/>
      <c r="S175" s="174">
        <f t="shared" si="7"/>
        <v>0</v>
      </c>
      <c r="T175" s="157"/>
      <c r="U175" s="177">
        <v>-106.4</v>
      </c>
      <c r="V175" s="157"/>
      <c r="W175" s="157"/>
      <c r="X175" s="176">
        <f t="shared" si="5"/>
        <v>-106.4</v>
      </c>
      <c r="Y175" s="184"/>
      <c r="Z175" s="179"/>
      <c r="AA175" s="157"/>
      <c r="AB175" s="157"/>
      <c r="AC175" s="157"/>
    </row>
    <row r="176" spans="1:29" ht="12" customHeight="1" outlineLevel="1">
      <c r="A176" s="170" t="s">
        <v>302</v>
      </c>
      <c r="B176" s="157" t="s">
        <v>303</v>
      </c>
      <c r="C176" s="171">
        <v>42774</v>
      </c>
      <c r="D176" s="178"/>
      <c r="E176" s="157" t="s">
        <v>446</v>
      </c>
      <c r="F176" s="223" t="s">
        <v>305</v>
      </c>
      <c r="G176" s="223"/>
      <c r="H176" s="224" t="s">
        <v>306</v>
      </c>
      <c r="I176" s="157"/>
      <c r="J176" s="172"/>
      <c r="K176" s="157"/>
      <c r="L176" s="223" t="s">
        <v>296</v>
      </c>
      <c r="M176" s="173"/>
      <c r="N176" s="173"/>
      <c r="O176" s="157" t="s">
        <v>307</v>
      </c>
      <c r="P176" s="158"/>
      <c r="Q176" s="185"/>
      <c r="R176" s="175"/>
      <c r="S176" s="174">
        <f t="shared" si="7"/>
        <v>0</v>
      </c>
      <c r="T176" s="157"/>
      <c r="U176" s="177">
        <v>-43.78</v>
      </c>
      <c r="V176" s="157"/>
      <c r="W176" s="157"/>
      <c r="X176" s="176">
        <f t="shared" si="5"/>
        <v>-43.78</v>
      </c>
      <c r="Y176" s="184"/>
      <c r="Z176" s="179"/>
      <c r="AA176" s="157"/>
      <c r="AB176" s="157"/>
      <c r="AC176" s="157"/>
    </row>
    <row r="177" spans="1:29" ht="12" customHeight="1" outlineLevel="1">
      <c r="A177" s="170" t="s">
        <v>302</v>
      </c>
      <c r="B177" s="157" t="s">
        <v>303</v>
      </c>
      <c r="C177" s="171">
        <v>42774</v>
      </c>
      <c r="D177" s="178"/>
      <c r="E177" s="157" t="s">
        <v>447</v>
      </c>
      <c r="F177" s="223" t="s">
        <v>305</v>
      </c>
      <c r="G177" s="223"/>
      <c r="H177" s="224" t="s">
        <v>306</v>
      </c>
      <c r="I177" s="157" t="s">
        <v>1009</v>
      </c>
      <c r="J177" s="157" t="s">
        <v>1009</v>
      </c>
      <c r="K177" s="157" t="s">
        <v>1009</v>
      </c>
      <c r="L177" s="223" t="s">
        <v>296</v>
      </c>
      <c r="M177" s="173"/>
      <c r="N177" s="173"/>
      <c r="O177" s="157" t="s">
        <v>271</v>
      </c>
      <c r="P177" s="158">
        <v>1170.52</v>
      </c>
      <c r="Q177" s="185"/>
      <c r="R177" s="175"/>
      <c r="S177" s="174">
        <f t="shared" si="7"/>
        <v>1170.52</v>
      </c>
      <c r="T177" s="157"/>
      <c r="U177" s="177"/>
      <c r="V177" s="157"/>
      <c r="W177" s="157"/>
      <c r="X177" s="176">
        <f t="shared" si="5"/>
        <v>0</v>
      </c>
      <c r="Y177" s="184"/>
      <c r="Z177" s="179"/>
      <c r="AA177" s="157"/>
      <c r="AB177" s="157"/>
      <c r="AC177" s="157"/>
    </row>
    <row r="178" spans="1:29" ht="12" customHeight="1" outlineLevel="1">
      <c r="A178" s="170" t="s">
        <v>302</v>
      </c>
      <c r="B178" s="157" t="s">
        <v>303</v>
      </c>
      <c r="C178" s="171">
        <v>42774</v>
      </c>
      <c r="D178" s="178"/>
      <c r="E178" s="157" t="s">
        <v>448</v>
      </c>
      <c r="F178" s="223" t="s">
        <v>305</v>
      </c>
      <c r="G178" s="223"/>
      <c r="H178" s="224" t="s">
        <v>306</v>
      </c>
      <c r="I178" s="157" t="s">
        <v>1009</v>
      </c>
      <c r="J178" s="157" t="s">
        <v>1009</v>
      </c>
      <c r="K178" s="157" t="s">
        <v>1009</v>
      </c>
      <c r="L178" s="223" t="s">
        <v>296</v>
      </c>
      <c r="M178" s="173"/>
      <c r="N178" s="173"/>
      <c r="O178" s="157" t="s">
        <v>271</v>
      </c>
      <c r="P178" s="158">
        <v>921.85</v>
      </c>
      <c r="Q178" s="185"/>
      <c r="R178" s="175"/>
      <c r="S178" s="174">
        <f t="shared" si="7"/>
        <v>921.85</v>
      </c>
      <c r="T178" s="157"/>
      <c r="U178" s="177"/>
      <c r="V178" s="157"/>
      <c r="W178" s="157"/>
      <c r="X178" s="176">
        <f t="shared" si="5"/>
        <v>0</v>
      </c>
      <c r="Y178" s="184"/>
      <c r="Z178" s="179"/>
      <c r="AA178" s="157"/>
      <c r="AB178" s="157"/>
      <c r="AC178" s="157"/>
    </row>
    <row r="179" spans="1:29" ht="12" customHeight="1" outlineLevel="1">
      <c r="A179" s="170" t="s">
        <v>302</v>
      </c>
      <c r="B179" s="157" t="s">
        <v>303</v>
      </c>
      <c r="C179" s="171">
        <v>42775</v>
      </c>
      <c r="D179" s="178"/>
      <c r="E179" s="157" t="s">
        <v>304</v>
      </c>
      <c r="F179" s="223" t="s">
        <v>305</v>
      </c>
      <c r="G179" s="223"/>
      <c r="H179" s="224" t="s">
        <v>306</v>
      </c>
      <c r="I179" s="157"/>
      <c r="J179" s="172"/>
      <c r="K179" s="157"/>
      <c r="L179" s="223" t="s">
        <v>296</v>
      </c>
      <c r="M179" s="173"/>
      <c r="N179" s="173"/>
      <c r="O179" s="157" t="s">
        <v>308</v>
      </c>
      <c r="P179" s="158"/>
      <c r="Q179" s="185"/>
      <c r="R179" s="175"/>
      <c r="S179" s="174">
        <f t="shared" si="7"/>
        <v>0</v>
      </c>
      <c r="T179" s="157"/>
      <c r="U179" s="177">
        <v>-340</v>
      </c>
      <c r="V179" s="157"/>
      <c r="W179" s="157"/>
      <c r="X179" s="176">
        <f t="shared" si="5"/>
        <v>-340</v>
      </c>
      <c r="Y179" s="184"/>
      <c r="Z179" s="179"/>
      <c r="AA179" s="157"/>
      <c r="AB179" s="157"/>
      <c r="AC179" s="157"/>
    </row>
    <row r="180" spans="1:29" ht="12" customHeight="1" outlineLevel="1">
      <c r="A180" s="170" t="s">
        <v>302</v>
      </c>
      <c r="B180" s="157" t="s">
        <v>303</v>
      </c>
      <c r="C180" s="171">
        <v>42775</v>
      </c>
      <c r="D180" s="178"/>
      <c r="E180" s="157" t="s">
        <v>304</v>
      </c>
      <c r="F180" s="223" t="s">
        <v>305</v>
      </c>
      <c r="G180" s="223"/>
      <c r="H180" s="224" t="s">
        <v>306</v>
      </c>
      <c r="I180" s="157"/>
      <c r="J180" s="172"/>
      <c r="K180" s="157"/>
      <c r="L180" s="223" t="s">
        <v>296</v>
      </c>
      <c r="M180" s="173"/>
      <c r="N180" s="173"/>
      <c r="O180" s="157" t="s">
        <v>308</v>
      </c>
      <c r="P180" s="158"/>
      <c r="Q180" s="185"/>
      <c r="R180" s="175"/>
      <c r="S180" s="174">
        <f t="shared" si="7"/>
        <v>0</v>
      </c>
      <c r="T180" s="157"/>
      <c r="U180" s="177">
        <v>-340</v>
      </c>
      <c r="V180" s="157"/>
      <c r="W180" s="157"/>
      <c r="X180" s="176">
        <f t="shared" si="5"/>
        <v>-340</v>
      </c>
      <c r="Y180" s="184"/>
      <c r="Z180" s="179"/>
      <c r="AA180" s="157"/>
      <c r="AB180" s="157"/>
      <c r="AC180" s="157"/>
    </row>
    <row r="181" spans="1:29" ht="12" customHeight="1" outlineLevel="1">
      <c r="A181" s="170" t="s">
        <v>302</v>
      </c>
      <c r="B181" s="157" t="s">
        <v>303</v>
      </c>
      <c r="C181" s="171">
        <v>42775</v>
      </c>
      <c r="D181" s="178"/>
      <c r="E181" s="157" t="s">
        <v>304</v>
      </c>
      <c r="F181" s="223" t="s">
        <v>305</v>
      </c>
      <c r="G181" s="223"/>
      <c r="H181" s="224" t="s">
        <v>306</v>
      </c>
      <c r="I181" s="157"/>
      <c r="J181" s="172"/>
      <c r="K181" s="157"/>
      <c r="L181" s="223" t="s">
        <v>296</v>
      </c>
      <c r="M181" s="173"/>
      <c r="N181" s="173"/>
      <c r="O181" s="157" t="s">
        <v>308</v>
      </c>
      <c r="P181" s="158"/>
      <c r="Q181" s="185"/>
      <c r="R181" s="175"/>
      <c r="S181" s="174">
        <f t="shared" si="7"/>
        <v>0</v>
      </c>
      <c r="T181" s="157"/>
      <c r="U181" s="177">
        <v>-340</v>
      </c>
      <c r="V181" s="157"/>
      <c r="W181" s="157"/>
      <c r="X181" s="176">
        <f t="shared" si="5"/>
        <v>-340</v>
      </c>
      <c r="Y181" s="184"/>
      <c r="Z181" s="179"/>
      <c r="AA181" s="157"/>
      <c r="AB181" s="157"/>
      <c r="AC181" s="157"/>
    </row>
    <row r="182" spans="1:29" ht="12" customHeight="1" outlineLevel="1">
      <c r="A182" s="170" t="s">
        <v>302</v>
      </c>
      <c r="B182" s="157" t="s">
        <v>303</v>
      </c>
      <c r="C182" s="171">
        <v>42775</v>
      </c>
      <c r="D182" s="178"/>
      <c r="E182" s="157" t="s">
        <v>304</v>
      </c>
      <c r="F182" s="223" t="s">
        <v>305</v>
      </c>
      <c r="G182" s="223"/>
      <c r="H182" s="224" t="s">
        <v>306</v>
      </c>
      <c r="I182" s="157"/>
      <c r="J182" s="172"/>
      <c r="K182" s="157"/>
      <c r="L182" s="223" t="s">
        <v>296</v>
      </c>
      <c r="M182" s="173"/>
      <c r="N182" s="173"/>
      <c r="O182" s="157" t="s">
        <v>308</v>
      </c>
      <c r="P182" s="158"/>
      <c r="Q182" s="185"/>
      <c r="R182" s="175"/>
      <c r="S182" s="174">
        <f t="shared" si="7"/>
        <v>0</v>
      </c>
      <c r="T182" s="157"/>
      <c r="U182" s="177">
        <v>-340</v>
      </c>
      <c r="V182" s="157"/>
      <c r="W182" s="157"/>
      <c r="X182" s="176">
        <f t="shared" si="5"/>
        <v>-340</v>
      </c>
      <c r="Y182" s="184"/>
      <c r="Z182" s="179"/>
      <c r="AA182" s="157"/>
      <c r="AB182" s="157"/>
      <c r="AC182" s="157"/>
    </row>
    <row r="183" spans="1:29" ht="12" customHeight="1" outlineLevel="1">
      <c r="A183" s="170" t="s">
        <v>302</v>
      </c>
      <c r="B183" s="157" t="s">
        <v>303</v>
      </c>
      <c r="C183" s="171">
        <v>42775</v>
      </c>
      <c r="D183" s="178"/>
      <c r="E183" s="157" t="s">
        <v>449</v>
      </c>
      <c r="F183" s="223" t="s">
        <v>305</v>
      </c>
      <c r="G183" s="223"/>
      <c r="H183" s="224" t="s">
        <v>306</v>
      </c>
      <c r="I183" s="157"/>
      <c r="J183" s="172"/>
      <c r="K183" s="157"/>
      <c r="L183" s="223" t="s">
        <v>296</v>
      </c>
      <c r="M183" s="173"/>
      <c r="N183" s="173"/>
      <c r="O183" s="157" t="s">
        <v>307</v>
      </c>
      <c r="P183" s="158"/>
      <c r="Q183" s="185"/>
      <c r="R183" s="175"/>
      <c r="S183" s="174">
        <f t="shared" si="7"/>
        <v>0</v>
      </c>
      <c r="T183" s="157"/>
      <c r="U183" s="177">
        <v>-138.08000000000001</v>
      </c>
      <c r="V183" s="157"/>
      <c r="W183" s="157"/>
      <c r="X183" s="176">
        <f t="shared" si="5"/>
        <v>-138.08000000000001</v>
      </c>
      <c r="Y183" s="184"/>
      <c r="Z183" s="179"/>
      <c r="AA183" s="157"/>
      <c r="AB183" s="157"/>
      <c r="AC183" s="157"/>
    </row>
    <row r="184" spans="1:29" ht="12" customHeight="1" outlineLevel="1">
      <c r="A184" s="170" t="s">
        <v>302</v>
      </c>
      <c r="B184" s="157" t="s">
        <v>303</v>
      </c>
      <c r="C184" s="171">
        <v>42775</v>
      </c>
      <c r="D184" s="178"/>
      <c r="E184" s="157" t="s">
        <v>450</v>
      </c>
      <c r="F184" s="223" t="s">
        <v>305</v>
      </c>
      <c r="G184" s="223"/>
      <c r="H184" s="224" t="s">
        <v>306</v>
      </c>
      <c r="I184" s="157"/>
      <c r="J184" s="172"/>
      <c r="K184" s="157"/>
      <c r="L184" s="223" t="s">
        <v>296</v>
      </c>
      <c r="M184" s="173"/>
      <c r="N184" s="173"/>
      <c r="O184" s="157" t="s">
        <v>307</v>
      </c>
      <c r="P184" s="158"/>
      <c r="Q184" s="185"/>
      <c r="R184" s="175"/>
      <c r="S184" s="174">
        <f t="shared" si="7"/>
        <v>0</v>
      </c>
      <c r="T184" s="157"/>
      <c r="U184" s="177">
        <v>-30.48</v>
      </c>
      <c r="V184" s="157"/>
      <c r="W184" s="157"/>
      <c r="X184" s="176">
        <f t="shared" si="5"/>
        <v>-30.48</v>
      </c>
      <c r="Y184" s="184"/>
      <c r="Z184" s="179"/>
      <c r="AA184" s="157"/>
      <c r="AB184" s="157"/>
      <c r="AC184" s="157"/>
    </row>
    <row r="185" spans="1:29" ht="12" customHeight="1" outlineLevel="1">
      <c r="A185" s="170" t="s">
        <v>302</v>
      </c>
      <c r="B185" s="157" t="s">
        <v>303</v>
      </c>
      <c r="C185" s="171">
        <v>42775</v>
      </c>
      <c r="D185" s="178"/>
      <c r="E185" s="157" t="s">
        <v>451</v>
      </c>
      <c r="F185" s="223" t="s">
        <v>305</v>
      </c>
      <c r="G185" s="223"/>
      <c r="H185" s="224" t="s">
        <v>306</v>
      </c>
      <c r="I185" s="157"/>
      <c r="J185" s="172"/>
      <c r="K185" s="157"/>
      <c r="L185" s="223" t="s">
        <v>296</v>
      </c>
      <c r="M185" s="173"/>
      <c r="N185" s="173"/>
      <c r="O185" s="157" t="s">
        <v>307</v>
      </c>
      <c r="P185" s="158"/>
      <c r="Q185" s="185"/>
      <c r="R185" s="175"/>
      <c r="S185" s="174">
        <f t="shared" si="7"/>
        <v>0</v>
      </c>
      <c r="T185" s="157"/>
      <c r="U185" s="177">
        <v>-2</v>
      </c>
      <c r="V185" s="157"/>
      <c r="W185" s="157"/>
      <c r="X185" s="176">
        <f t="shared" si="5"/>
        <v>-2</v>
      </c>
      <c r="Y185" s="184"/>
      <c r="Z185" s="179"/>
      <c r="AA185" s="157"/>
      <c r="AB185" s="157"/>
      <c r="AC185" s="157"/>
    </row>
    <row r="186" spans="1:29" ht="12" customHeight="1" outlineLevel="1">
      <c r="A186" s="170" t="s">
        <v>302</v>
      </c>
      <c r="B186" s="157" t="s">
        <v>303</v>
      </c>
      <c r="C186" s="171">
        <v>42775</v>
      </c>
      <c r="D186" s="178"/>
      <c r="E186" s="157" t="s">
        <v>452</v>
      </c>
      <c r="F186" s="223" t="s">
        <v>305</v>
      </c>
      <c r="G186" s="223"/>
      <c r="H186" s="224" t="s">
        <v>306</v>
      </c>
      <c r="I186" s="157"/>
      <c r="J186" s="172"/>
      <c r="K186" s="157"/>
      <c r="L186" s="223" t="s">
        <v>296</v>
      </c>
      <c r="M186" s="173"/>
      <c r="N186" s="173"/>
      <c r="O186" s="157" t="s">
        <v>307</v>
      </c>
      <c r="P186" s="158"/>
      <c r="Q186" s="185"/>
      <c r="R186" s="175"/>
      <c r="S186" s="174">
        <f t="shared" si="7"/>
        <v>0</v>
      </c>
      <c r="T186" s="157"/>
      <c r="U186" s="177">
        <v>-20.64</v>
      </c>
      <c r="V186" s="157"/>
      <c r="W186" s="157"/>
      <c r="X186" s="176">
        <f t="shared" si="5"/>
        <v>-20.64</v>
      </c>
      <c r="Y186" s="184"/>
      <c r="Z186" s="179"/>
      <c r="AA186" s="157"/>
      <c r="AB186" s="157"/>
      <c r="AC186" s="157"/>
    </row>
    <row r="187" spans="1:29" ht="12" customHeight="1" outlineLevel="1">
      <c r="A187" s="170" t="s">
        <v>302</v>
      </c>
      <c r="B187" s="157" t="s">
        <v>303</v>
      </c>
      <c r="C187" s="171">
        <v>42775</v>
      </c>
      <c r="D187" s="178"/>
      <c r="E187" s="157" t="s">
        <v>451</v>
      </c>
      <c r="F187" s="223" t="s">
        <v>305</v>
      </c>
      <c r="G187" s="223"/>
      <c r="H187" s="224" t="s">
        <v>306</v>
      </c>
      <c r="I187" s="157"/>
      <c r="J187" s="172"/>
      <c r="K187" s="157"/>
      <c r="L187" s="223" t="s">
        <v>296</v>
      </c>
      <c r="M187" s="173"/>
      <c r="N187" s="173"/>
      <c r="O187" s="157" t="s">
        <v>307</v>
      </c>
      <c r="P187" s="158"/>
      <c r="Q187" s="185"/>
      <c r="R187" s="175"/>
      <c r="S187" s="174">
        <f t="shared" si="7"/>
        <v>0</v>
      </c>
      <c r="T187" s="157"/>
      <c r="U187" s="177">
        <v>-9.9600000000000009</v>
      </c>
      <c r="V187" s="157"/>
      <c r="W187" s="157"/>
      <c r="X187" s="176">
        <f t="shared" si="5"/>
        <v>-9.9600000000000009</v>
      </c>
      <c r="Y187" s="184"/>
      <c r="Z187" s="179"/>
      <c r="AA187" s="157"/>
      <c r="AB187" s="157"/>
      <c r="AC187" s="157"/>
    </row>
    <row r="188" spans="1:29" ht="12" customHeight="1" outlineLevel="1">
      <c r="A188" s="170" t="s">
        <v>302</v>
      </c>
      <c r="B188" s="157" t="s">
        <v>303</v>
      </c>
      <c r="C188" s="171">
        <v>42775</v>
      </c>
      <c r="D188" s="178"/>
      <c r="E188" s="157" t="s">
        <v>453</v>
      </c>
      <c r="F188" s="223" t="s">
        <v>305</v>
      </c>
      <c r="G188" s="223"/>
      <c r="H188" s="224" t="s">
        <v>306</v>
      </c>
      <c r="I188" s="157" t="s">
        <v>1009</v>
      </c>
      <c r="J188" s="157" t="s">
        <v>1009</v>
      </c>
      <c r="K188" s="157" t="s">
        <v>1009</v>
      </c>
      <c r="L188" s="223" t="s">
        <v>296</v>
      </c>
      <c r="M188" s="173"/>
      <c r="N188" s="173"/>
      <c r="O188" s="157" t="s">
        <v>271</v>
      </c>
      <c r="P188" s="158">
        <v>761.22</v>
      </c>
      <c r="Q188" s="185"/>
      <c r="R188" s="175"/>
      <c r="S188" s="174">
        <f t="shared" si="7"/>
        <v>761.22</v>
      </c>
      <c r="T188" s="157"/>
      <c r="U188" s="177"/>
      <c r="V188" s="157"/>
      <c r="W188" s="157"/>
      <c r="X188" s="176">
        <f t="shared" si="5"/>
        <v>0</v>
      </c>
      <c r="Y188" s="184"/>
      <c r="Z188" s="179"/>
      <c r="AA188" s="157"/>
      <c r="AB188" s="157"/>
      <c r="AC188" s="157"/>
    </row>
    <row r="189" spans="1:29" ht="12" customHeight="1" outlineLevel="1">
      <c r="A189" s="170" t="s">
        <v>302</v>
      </c>
      <c r="B189" s="157" t="s">
        <v>303</v>
      </c>
      <c r="C189" s="171">
        <v>42776</v>
      </c>
      <c r="D189" s="178"/>
      <c r="E189" s="157" t="s">
        <v>454</v>
      </c>
      <c r="F189" s="223" t="s">
        <v>305</v>
      </c>
      <c r="G189" s="223"/>
      <c r="H189" s="224" t="s">
        <v>306</v>
      </c>
      <c r="I189" s="157"/>
      <c r="J189" s="172"/>
      <c r="K189" s="157"/>
      <c r="L189" s="223" t="s">
        <v>296</v>
      </c>
      <c r="M189" s="173"/>
      <c r="N189" s="173"/>
      <c r="O189" s="157" t="s">
        <v>307</v>
      </c>
      <c r="P189" s="158"/>
      <c r="Q189" s="185"/>
      <c r="R189" s="175"/>
      <c r="S189" s="174">
        <f t="shared" si="7"/>
        <v>0</v>
      </c>
      <c r="T189" s="157"/>
      <c r="U189" s="177">
        <v>-10.07</v>
      </c>
      <c r="V189" s="157"/>
      <c r="W189" s="157"/>
      <c r="X189" s="176">
        <f t="shared" si="5"/>
        <v>-10.07</v>
      </c>
      <c r="Y189" s="184"/>
      <c r="Z189" s="179"/>
      <c r="AA189" s="157"/>
      <c r="AB189" s="157"/>
      <c r="AC189" s="157"/>
    </row>
    <row r="190" spans="1:29" ht="12" customHeight="1" outlineLevel="1">
      <c r="A190" s="170" t="s">
        <v>302</v>
      </c>
      <c r="B190" s="157" t="s">
        <v>303</v>
      </c>
      <c r="C190" s="171">
        <v>42776</v>
      </c>
      <c r="D190" s="178"/>
      <c r="E190" s="157" t="s">
        <v>455</v>
      </c>
      <c r="F190" s="223" t="s">
        <v>305</v>
      </c>
      <c r="G190" s="223"/>
      <c r="H190" s="224" t="s">
        <v>306</v>
      </c>
      <c r="I190" s="157"/>
      <c r="J190" s="172"/>
      <c r="K190" s="157"/>
      <c r="L190" s="223" t="s">
        <v>296</v>
      </c>
      <c r="M190" s="173"/>
      <c r="N190" s="173"/>
      <c r="O190" s="157" t="s">
        <v>307</v>
      </c>
      <c r="P190" s="158"/>
      <c r="Q190" s="185"/>
      <c r="R190" s="175"/>
      <c r="S190" s="174">
        <f t="shared" si="7"/>
        <v>0</v>
      </c>
      <c r="T190" s="157"/>
      <c r="U190" s="177">
        <v>-7.28</v>
      </c>
      <c r="V190" s="157"/>
      <c r="W190" s="157"/>
      <c r="X190" s="176">
        <f t="shared" si="5"/>
        <v>-7.28</v>
      </c>
      <c r="Y190" s="184"/>
      <c r="Z190" s="179"/>
      <c r="AA190" s="157"/>
      <c r="AB190" s="157"/>
      <c r="AC190" s="157"/>
    </row>
    <row r="191" spans="1:29" ht="12" customHeight="1" outlineLevel="1">
      <c r="A191" s="170" t="s">
        <v>302</v>
      </c>
      <c r="B191" s="157" t="s">
        <v>303</v>
      </c>
      <c r="C191" s="171">
        <v>42776</v>
      </c>
      <c r="D191" s="178"/>
      <c r="E191" s="157" t="s">
        <v>456</v>
      </c>
      <c r="F191" s="223" t="s">
        <v>305</v>
      </c>
      <c r="G191" s="223"/>
      <c r="H191" s="224" t="s">
        <v>306</v>
      </c>
      <c r="I191" s="157"/>
      <c r="J191" s="172"/>
      <c r="K191" s="157"/>
      <c r="L191" s="223" t="s">
        <v>296</v>
      </c>
      <c r="M191" s="173"/>
      <c r="N191" s="173"/>
      <c r="O191" s="157" t="s">
        <v>307</v>
      </c>
      <c r="P191" s="158"/>
      <c r="Q191" s="185"/>
      <c r="R191" s="175"/>
      <c r="S191" s="174">
        <f t="shared" si="7"/>
        <v>0</v>
      </c>
      <c r="T191" s="157"/>
      <c r="U191" s="177">
        <v>-370.52</v>
      </c>
      <c r="V191" s="157"/>
      <c r="W191" s="157"/>
      <c r="X191" s="176">
        <f t="shared" si="5"/>
        <v>-370.52</v>
      </c>
      <c r="Y191" s="184"/>
      <c r="Z191" s="179"/>
      <c r="AA191" s="157"/>
      <c r="AB191" s="157"/>
      <c r="AC191" s="157"/>
    </row>
    <row r="192" spans="1:29" ht="12" customHeight="1" outlineLevel="1">
      <c r="A192" s="170" t="s">
        <v>302</v>
      </c>
      <c r="B192" s="157" t="s">
        <v>303</v>
      </c>
      <c r="C192" s="171">
        <v>42776</v>
      </c>
      <c r="D192" s="178"/>
      <c r="E192" s="157" t="s">
        <v>457</v>
      </c>
      <c r="F192" s="223" t="s">
        <v>305</v>
      </c>
      <c r="G192" s="223"/>
      <c r="H192" s="224" t="s">
        <v>306</v>
      </c>
      <c r="I192" s="157"/>
      <c r="J192" s="172"/>
      <c r="K192" s="157"/>
      <c r="L192" s="223" t="s">
        <v>296</v>
      </c>
      <c r="M192" s="173"/>
      <c r="N192" s="173"/>
      <c r="O192" s="157" t="s">
        <v>307</v>
      </c>
      <c r="P192" s="158"/>
      <c r="Q192" s="185"/>
      <c r="R192" s="175"/>
      <c r="S192" s="174">
        <f t="shared" si="7"/>
        <v>0</v>
      </c>
      <c r="T192" s="157"/>
      <c r="U192" s="177">
        <v>-10.96</v>
      </c>
      <c r="V192" s="157"/>
      <c r="W192" s="157"/>
      <c r="X192" s="176">
        <f t="shared" si="5"/>
        <v>-10.96</v>
      </c>
      <c r="Y192" s="184"/>
      <c r="Z192" s="179"/>
      <c r="AA192" s="157"/>
      <c r="AB192" s="157"/>
      <c r="AC192" s="157"/>
    </row>
    <row r="193" spans="1:29" ht="12" customHeight="1" outlineLevel="1">
      <c r="A193" s="170" t="s">
        <v>302</v>
      </c>
      <c r="B193" s="157" t="s">
        <v>303</v>
      </c>
      <c r="C193" s="171">
        <v>42776</v>
      </c>
      <c r="D193" s="178"/>
      <c r="E193" s="157" t="s">
        <v>458</v>
      </c>
      <c r="F193" s="223" t="s">
        <v>305</v>
      </c>
      <c r="G193" s="223"/>
      <c r="H193" s="224" t="s">
        <v>306</v>
      </c>
      <c r="I193" s="157"/>
      <c r="J193" s="172"/>
      <c r="K193" s="157"/>
      <c r="L193" s="223" t="s">
        <v>296</v>
      </c>
      <c r="M193" s="173"/>
      <c r="N193" s="173"/>
      <c r="O193" s="157" t="s">
        <v>307</v>
      </c>
      <c r="P193" s="158"/>
      <c r="Q193" s="185"/>
      <c r="R193" s="175"/>
      <c r="S193" s="174">
        <f t="shared" si="7"/>
        <v>0</v>
      </c>
      <c r="T193" s="157"/>
      <c r="U193" s="177">
        <v>-664.32</v>
      </c>
      <c r="V193" s="157"/>
      <c r="W193" s="157"/>
      <c r="X193" s="176">
        <f t="shared" si="5"/>
        <v>-664.32</v>
      </c>
      <c r="Y193" s="184"/>
      <c r="Z193" s="179"/>
      <c r="AA193" s="157"/>
      <c r="AB193" s="157"/>
      <c r="AC193" s="157"/>
    </row>
    <row r="194" spans="1:29" ht="12" customHeight="1" outlineLevel="1">
      <c r="A194" s="170" t="s">
        <v>302</v>
      </c>
      <c r="B194" s="157" t="s">
        <v>303</v>
      </c>
      <c r="C194" s="171">
        <v>42776</v>
      </c>
      <c r="D194" s="178"/>
      <c r="E194" s="157" t="s">
        <v>459</v>
      </c>
      <c r="F194" s="223" t="s">
        <v>305</v>
      </c>
      <c r="G194" s="223"/>
      <c r="H194" s="224" t="s">
        <v>306</v>
      </c>
      <c r="I194" s="157"/>
      <c r="J194" s="172"/>
      <c r="K194" s="157"/>
      <c r="L194" s="223" t="s">
        <v>296</v>
      </c>
      <c r="M194" s="173"/>
      <c r="N194" s="173"/>
      <c r="O194" s="157" t="s">
        <v>307</v>
      </c>
      <c r="P194" s="158"/>
      <c r="Q194" s="185"/>
      <c r="R194" s="175"/>
      <c r="S194" s="174">
        <f t="shared" si="7"/>
        <v>0</v>
      </c>
      <c r="T194" s="157"/>
      <c r="U194" s="177">
        <v>-22.5</v>
      </c>
      <c r="V194" s="157"/>
      <c r="W194" s="157"/>
      <c r="X194" s="176">
        <f t="shared" si="5"/>
        <v>-22.5</v>
      </c>
      <c r="Y194" s="184"/>
      <c r="Z194" s="179"/>
      <c r="AA194" s="157"/>
      <c r="AB194" s="157"/>
      <c r="AC194" s="157"/>
    </row>
    <row r="195" spans="1:29" ht="12" customHeight="1" outlineLevel="1">
      <c r="A195" s="170" t="s">
        <v>302</v>
      </c>
      <c r="B195" s="157" t="s">
        <v>303</v>
      </c>
      <c r="C195" s="171">
        <v>42776</v>
      </c>
      <c r="D195" s="178"/>
      <c r="E195" s="157" t="s">
        <v>460</v>
      </c>
      <c r="F195" s="223" t="s">
        <v>305</v>
      </c>
      <c r="G195" s="223"/>
      <c r="H195" s="224" t="s">
        <v>306</v>
      </c>
      <c r="I195" s="157" t="s">
        <v>1009</v>
      </c>
      <c r="J195" s="157" t="s">
        <v>1009</v>
      </c>
      <c r="K195" s="157" t="s">
        <v>1009</v>
      </c>
      <c r="L195" s="223" t="s">
        <v>296</v>
      </c>
      <c r="M195" s="173"/>
      <c r="N195" s="173"/>
      <c r="O195" s="157" t="s">
        <v>271</v>
      </c>
      <c r="P195" s="158">
        <v>1085.8499999999999</v>
      </c>
      <c r="Q195" s="185"/>
      <c r="R195" s="175"/>
      <c r="S195" s="174">
        <f t="shared" si="7"/>
        <v>1085.8499999999999</v>
      </c>
      <c r="T195" s="157"/>
      <c r="U195" s="177"/>
      <c r="V195" s="157"/>
      <c r="W195" s="157"/>
      <c r="X195" s="176">
        <f t="shared" ref="X195:X258" si="8">U195</f>
        <v>0</v>
      </c>
      <c r="Y195" s="184"/>
      <c r="Z195" s="179"/>
      <c r="AA195" s="157"/>
      <c r="AB195" s="157"/>
      <c r="AC195" s="157"/>
    </row>
    <row r="196" spans="1:29" ht="12" customHeight="1" outlineLevel="1">
      <c r="A196" s="170" t="s">
        <v>302</v>
      </c>
      <c r="B196" s="157" t="s">
        <v>303</v>
      </c>
      <c r="C196" s="171">
        <v>42779</v>
      </c>
      <c r="D196" s="178"/>
      <c r="E196" s="157" t="s">
        <v>304</v>
      </c>
      <c r="F196" s="223" t="s">
        <v>305</v>
      </c>
      <c r="G196" s="223"/>
      <c r="H196" s="224" t="s">
        <v>306</v>
      </c>
      <c r="I196" s="157"/>
      <c r="J196" s="172"/>
      <c r="K196" s="157"/>
      <c r="L196" s="223" t="s">
        <v>296</v>
      </c>
      <c r="M196" s="173"/>
      <c r="N196" s="173"/>
      <c r="O196" s="157" t="s">
        <v>308</v>
      </c>
      <c r="P196" s="158"/>
      <c r="Q196" s="185"/>
      <c r="R196" s="175"/>
      <c r="S196" s="174">
        <f t="shared" si="7"/>
        <v>0</v>
      </c>
      <c r="T196" s="157"/>
      <c r="U196" s="177">
        <v>-570</v>
      </c>
      <c r="V196" s="157"/>
      <c r="W196" s="157"/>
      <c r="X196" s="176">
        <f t="shared" si="8"/>
        <v>-570</v>
      </c>
      <c r="Y196" s="184"/>
      <c r="Z196" s="179"/>
      <c r="AA196" s="157"/>
      <c r="AB196" s="157"/>
      <c r="AC196" s="157"/>
    </row>
    <row r="197" spans="1:29" ht="12" customHeight="1" outlineLevel="1">
      <c r="A197" s="170" t="s">
        <v>302</v>
      </c>
      <c r="B197" s="157" t="s">
        <v>303</v>
      </c>
      <c r="C197" s="171">
        <v>42779</v>
      </c>
      <c r="D197" s="178"/>
      <c r="E197" s="157" t="s">
        <v>461</v>
      </c>
      <c r="F197" s="223" t="s">
        <v>305</v>
      </c>
      <c r="G197" s="223"/>
      <c r="H197" s="224" t="s">
        <v>306</v>
      </c>
      <c r="I197" s="157"/>
      <c r="J197" s="172"/>
      <c r="K197" s="157"/>
      <c r="L197" s="223" t="s">
        <v>296</v>
      </c>
      <c r="M197" s="173"/>
      <c r="N197" s="173"/>
      <c r="O197" s="157" t="s">
        <v>307</v>
      </c>
      <c r="P197" s="158"/>
      <c r="Q197" s="185"/>
      <c r="R197" s="175"/>
      <c r="S197" s="174">
        <f t="shared" si="7"/>
        <v>0</v>
      </c>
      <c r="T197" s="157"/>
      <c r="U197" s="177">
        <v>-90.2</v>
      </c>
      <c r="V197" s="157"/>
      <c r="W197" s="157"/>
      <c r="X197" s="176">
        <f t="shared" si="8"/>
        <v>-90.2</v>
      </c>
      <c r="Y197" s="184"/>
      <c r="Z197" s="179"/>
      <c r="AA197" s="157"/>
      <c r="AB197" s="157"/>
      <c r="AC197" s="157"/>
    </row>
    <row r="198" spans="1:29" ht="12" customHeight="1" outlineLevel="1">
      <c r="A198" s="170" t="s">
        <v>302</v>
      </c>
      <c r="B198" s="157" t="s">
        <v>303</v>
      </c>
      <c r="C198" s="171">
        <v>42779</v>
      </c>
      <c r="D198" s="178"/>
      <c r="E198" s="157" t="s">
        <v>462</v>
      </c>
      <c r="F198" s="223" t="s">
        <v>305</v>
      </c>
      <c r="G198" s="223"/>
      <c r="H198" s="224" t="s">
        <v>306</v>
      </c>
      <c r="I198" s="157"/>
      <c r="J198" s="172"/>
      <c r="K198" s="157"/>
      <c r="L198" s="223" t="s">
        <v>296</v>
      </c>
      <c r="M198" s="173"/>
      <c r="N198" s="173"/>
      <c r="O198" s="157" t="s">
        <v>307</v>
      </c>
      <c r="P198" s="158"/>
      <c r="Q198" s="185"/>
      <c r="R198" s="175"/>
      <c r="S198" s="174">
        <f t="shared" si="7"/>
        <v>0</v>
      </c>
      <c r="T198" s="157"/>
      <c r="U198" s="177">
        <v>-103.41</v>
      </c>
      <c r="V198" s="157"/>
      <c r="W198" s="157"/>
      <c r="X198" s="176">
        <f t="shared" si="8"/>
        <v>-103.41</v>
      </c>
      <c r="Y198" s="184"/>
      <c r="Z198" s="179"/>
      <c r="AA198" s="157"/>
      <c r="AB198" s="157"/>
      <c r="AC198" s="157"/>
    </row>
    <row r="199" spans="1:29" ht="12" customHeight="1" outlineLevel="1">
      <c r="A199" s="170" t="s">
        <v>302</v>
      </c>
      <c r="B199" s="157" t="s">
        <v>303</v>
      </c>
      <c r="C199" s="171">
        <v>42779</v>
      </c>
      <c r="D199" s="178"/>
      <c r="E199" s="157" t="s">
        <v>463</v>
      </c>
      <c r="F199" s="223" t="s">
        <v>305</v>
      </c>
      <c r="G199" s="223"/>
      <c r="H199" s="224" t="s">
        <v>306</v>
      </c>
      <c r="I199" s="157"/>
      <c r="J199" s="172"/>
      <c r="K199" s="157"/>
      <c r="L199" s="223" t="s">
        <v>296</v>
      </c>
      <c r="M199" s="173"/>
      <c r="N199" s="173"/>
      <c r="O199" s="157" t="s">
        <v>307</v>
      </c>
      <c r="P199" s="158"/>
      <c r="Q199" s="185"/>
      <c r="R199" s="175"/>
      <c r="S199" s="174">
        <f t="shared" si="7"/>
        <v>0</v>
      </c>
      <c r="T199" s="157"/>
      <c r="U199" s="177">
        <v>-235.06</v>
      </c>
      <c r="V199" s="157"/>
      <c r="W199" s="157"/>
      <c r="X199" s="176">
        <f t="shared" si="8"/>
        <v>-235.06</v>
      </c>
      <c r="Y199" s="184"/>
      <c r="Z199" s="179"/>
      <c r="AA199" s="157"/>
      <c r="AB199" s="157"/>
      <c r="AC199" s="157"/>
    </row>
    <row r="200" spans="1:29" ht="12" customHeight="1" outlineLevel="1">
      <c r="A200" s="170" t="s">
        <v>302</v>
      </c>
      <c r="B200" s="157" t="s">
        <v>303</v>
      </c>
      <c r="C200" s="171">
        <v>42779</v>
      </c>
      <c r="D200" s="178"/>
      <c r="E200" s="157" t="s">
        <v>464</v>
      </c>
      <c r="F200" s="223" t="s">
        <v>305</v>
      </c>
      <c r="G200" s="223"/>
      <c r="H200" s="224" t="s">
        <v>306</v>
      </c>
      <c r="I200" s="157"/>
      <c r="J200" s="172"/>
      <c r="K200" s="157"/>
      <c r="L200" s="223" t="s">
        <v>296</v>
      </c>
      <c r="M200" s="173"/>
      <c r="N200" s="173"/>
      <c r="O200" s="157" t="s">
        <v>307</v>
      </c>
      <c r="P200" s="158"/>
      <c r="Q200" s="185"/>
      <c r="R200" s="175"/>
      <c r="S200" s="174">
        <f t="shared" si="7"/>
        <v>0</v>
      </c>
      <c r="T200" s="157"/>
      <c r="U200" s="177">
        <v>-40.18</v>
      </c>
      <c r="V200" s="157"/>
      <c r="W200" s="157"/>
      <c r="X200" s="176">
        <f t="shared" si="8"/>
        <v>-40.18</v>
      </c>
      <c r="Y200" s="184"/>
      <c r="Z200" s="179"/>
      <c r="AA200" s="157"/>
      <c r="AB200" s="157"/>
      <c r="AC200" s="157"/>
    </row>
    <row r="201" spans="1:29" ht="12" customHeight="1" outlineLevel="1">
      <c r="A201" s="170" t="s">
        <v>302</v>
      </c>
      <c r="B201" s="157" t="s">
        <v>303</v>
      </c>
      <c r="C201" s="171">
        <v>42779</v>
      </c>
      <c r="D201" s="178"/>
      <c r="E201" s="157" t="s">
        <v>465</v>
      </c>
      <c r="F201" s="223" t="s">
        <v>305</v>
      </c>
      <c r="G201" s="223"/>
      <c r="H201" s="224" t="s">
        <v>306</v>
      </c>
      <c r="I201" s="157"/>
      <c r="J201" s="172"/>
      <c r="K201" s="157"/>
      <c r="L201" s="223" t="s">
        <v>296</v>
      </c>
      <c r="M201" s="173"/>
      <c r="N201" s="173"/>
      <c r="O201" s="157" t="s">
        <v>307</v>
      </c>
      <c r="P201" s="158"/>
      <c r="Q201" s="185"/>
      <c r="R201" s="175"/>
      <c r="S201" s="174">
        <f t="shared" si="7"/>
        <v>0</v>
      </c>
      <c r="T201" s="157"/>
      <c r="U201" s="177">
        <v>-4</v>
      </c>
      <c r="V201" s="157"/>
      <c r="W201" s="157"/>
      <c r="X201" s="176">
        <f t="shared" si="8"/>
        <v>-4</v>
      </c>
      <c r="Y201" s="184"/>
      <c r="Z201" s="179"/>
      <c r="AA201" s="157"/>
      <c r="AB201" s="157"/>
      <c r="AC201" s="157"/>
    </row>
    <row r="202" spans="1:29" ht="12" customHeight="1" outlineLevel="1">
      <c r="A202" s="170" t="s">
        <v>302</v>
      </c>
      <c r="B202" s="157" t="s">
        <v>303</v>
      </c>
      <c r="C202" s="171">
        <v>42779</v>
      </c>
      <c r="D202" s="178"/>
      <c r="E202" s="157" t="s">
        <v>465</v>
      </c>
      <c r="F202" s="223" t="s">
        <v>305</v>
      </c>
      <c r="G202" s="223"/>
      <c r="H202" s="224" t="s">
        <v>306</v>
      </c>
      <c r="I202" s="157"/>
      <c r="J202" s="172"/>
      <c r="K202" s="157"/>
      <c r="L202" s="223" t="s">
        <v>296</v>
      </c>
      <c r="M202" s="173"/>
      <c r="N202" s="173"/>
      <c r="O202" s="157" t="s">
        <v>307</v>
      </c>
      <c r="P202" s="158"/>
      <c r="Q202" s="185"/>
      <c r="R202" s="175"/>
      <c r="S202" s="174">
        <f t="shared" si="7"/>
        <v>0</v>
      </c>
      <c r="T202" s="157"/>
      <c r="U202" s="177">
        <v>-8.6999999999999993</v>
      </c>
      <c r="V202" s="157"/>
      <c r="W202" s="157"/>
      <c r="X202" s="176">
        <f t="shared" si="8"/>
        <v>-8.6999999999999993</v>
      </c>
      <c r="Y202" s="184"/>
      <c r="Z202" s="179"/>
      <c r="AA202" s="157"/>
      <c r="AB202" s="157"/>
      <c r="AC202" s="157"/>
    </row>
    <row r="203" spans="1:29" ht="12" customHeight="1" outlineLevel="1">
      <c r="A203" s="170" t="s">
        <v>302</v>
      </c>
      <c r="B203" s="157" t="s">
        <v>303</v>
      </c>
      <c r="C203" s="171">
        <v>42779</v>
      </c>
      <c r="D203" s="178"/>
      <c r="E203" s="157" t="s">
        <v>466</v>
      </c>
      <c r="F203" s="223" t="s">
        <v>305</v>
      </c>
      <c r="G203" s="223"/>
      <c r="H203" s="224" t="s">
        <v>306</v>
      </c>
      <c r="I203" s="157" t="s">
        <v>1009</v>
      </c>
      <c r="J203" s="157" t="s">
        <v>1009</v>
      </c>
      <c r="K203" s="157" t="s">
        <v>1009</v>
      </c>
      <c r="L203" s="223" t="s">
        <v>296</v>
      </c>
      <c r="M203" s="173"/>
      <c r="N203" s="173"/>
      <c r="O203" s="157" t="s">
        <v>271</v>
      </c>
      <c r="P203" s="158">
        <v>1871.5</v>
      </c>
      <c r="Q203" s="185"/>
      <c r="R203" s="175"/>
      <c r="S203" s="174">
        <f t="shared" si="7"/>
        <v>1871.5</v>
      </c>
      <c r="T203" s="157"/>
      <c r="U203" s="177"/>
      <c r="V203" s="157"/>
      <c r="W203" s="157"/>
      <c r="X203" s="176">
        <f t="shared" si="8"/>
        <v>0</v>
      </c>
      <c r="Y203" s="184"/>
      <c r="Z203" s="179"/>
      <c r="AA203" s="157"/>
      <c r="AB203" s="157"/>
      <c r="AC203" s="157"/>
    </row>
    <row r="204" spans="1:29" ht="12" customHeight="1" outlineLevel="1">
      <c r="A204" s="170" t="s">
        <v>302</v>
      </c>
      <c r="B204" s="157" t="s">
        <v>303</v>
      </c>
      <c r="C204" s="171">
        <v>42779</v>
      </c>
      <c r="D204" s="178"/>
      <c r="E204" s="157" t="s">
        <v>467</v>
      </c>
      <c r="F204" s="223" t="s">
        <v>305</v>
      </c>
      <c r="G204" s="223"/>
      <c r="H204" s="224" t="s">
        <v>306</v>
      </c>
      <c r="I204" s="157" t="s">
        <v>1009</v>
      </c>
      <c r="J204" s="157" t="s">
        <v>1009</v>
      </c>
      <c r="K204" s="157" t="s">
        <v>1009</v>
      </c>
      <c r="L204" s="223" t="s">
        <v>296</v>
      </c>
      <c r="M204" s="173"/>
      <c r="N204" s="173"/>
      <c r="O204" s="157" t="s">
        <v>271</v>
      </c>
      <c r="P204" s="158">
        <v>1768.71</v>
      </c>
      <c r="Q204" s="185"/>
      <c r="R204" s="175"/>
      <c r="S204" s="174">
        <f t="shared" si="7"/>
        <v>1768.71</v>
      </c>
      <c r="T204" s="157"/>
      <c r="U204" s="177"/>
      <c r="V204" s="157"/>
      <c r="W204" s="157"/>
      <c r="X204" s="176">
        <f t="shared" si="8"/>
        <v>0</v>
      </c>
      <c r="Y204" s="184"/>
      <c r="Z204" s="179"/>
      <c r="AA204" s="157"/>
      <c r="AB204" s="157"/>
      <c r="AC204" s="157"/>
    </row>
    <row r="205" spans="1:29" ht="12" customHeight="1" outlineLevel="1">
      <c r="A205" s="170" t="s">
        <v>302</v>
      </c>
      <c r="B205" s="157" t="s">
        <v>303</v>
      </c>
      <c r="C205" s="171">
        <v>42779</v>
      </c>
      <c r="D205" s="178"/>
      <c r="E205" s="157" t="s">
        <v>468</v>
      </c>
      <c r="F205" s="223" t="s">
        <v>305</v>
      </c>
      <c r="G205" s="223"/>
      <c r="H205" s="224" t="s">
        <v>306</v>
      </c>
      <c r="I205" s="157" t="s">
        <v>1009</v>
      </c>
      <c r="J205" s="157" t="s">
        <v>1009</v>
      </c>
      <c r="K205" s="157" t="s">
        <v>1009</v>
      </c>
      <c r="L205" s="223" t="s">
        <v>296</v>
      </c>
      <c r="M205" s="173"/>
      <c r="N205" s="173"/>
      <c r="O205" s="157" t="s">
        <v>271</v>
      </c>
      <c r="P205" s="158">
        <v>1095.78</v>
      </c>
      <c r="Q205" s="185"/>
      <c r="R205" s="175"/>
      <c r="S205" s="174">
        <f t="shared" si="7"/>
        <v>1095.78</v>
      </c>
      <c r="T205" s="157"/>
      <c r="U205" s="177"/>
      <c r="V205" s="157"/>
      <c r="W205" s="157"/>
      <c r="X205" s="176">
        <f t="shared" si="8"/>
        <v>0</v>
      </c>
      <c r="Y205" s="184"/>
      <c r="Z205" s="179"/>
      <c r="AA205" s="157"/>
      <c r="AB205" s="157"/>
      <c r="AC205" s="157"/>
    </row>
    <row r="206" spans="1:29" ht="12" customHeight="1" outlineLevel="1">
      <c r="A206" s="170" t="s">
        <v>302</v>
      </c>
      <c r="B206" s="157" t="s">
        <v>303</v>
      </c>
      <c r="C206" s="171">
        <v>42780</v>
      </c>
      <c r="D206" s="178"/>
      <c r="E206" s="157" t="s">
        <v>304</v>
      </c>
      <c r="F206" s="223" t="s">
        <v>305</v>
      </c>
      <c r="G206" s="223"/>
      <c r="H206" s="224" t="s">
        <v>306</v>
      </c>
      <c r="I206" s="157"/>
      <c r="J206" s="172"/>
      <c r="K206" s="157"/>
      <c r="L206" s="223" t="s">
        <v>296</v>
      </c>
      <c r="M206" s="173"/>
      <c r="N206" s="173"/>
      <c r="O206" s="157" t="s">
        <v>308</v>
      </c>
      <c r="P206" s="158"/>
      <c r="Q206" s="185"/>
      <c r="R206" s="175"/>
      <c r="S206" s="174">
        <f t="shared" si="7"/>
        <v>0</v>
      </c>
      <c r="T206" s="157"/>
      <c r="U206" s="177">
        <v>-473</v>
      </c>
      <c r="V206" s="157"/>
      <c r="W206" s="157"/>
      <c r="X206" s="176">
        <f t="shared" si="8"/>
        <v>-473</v>
      </c>
      <c r="Y206" s="184"/>
      <c r="Z206" s="179"/>
      <c r="AA206" s="157"/>
      <c r="AB206" s="157"/>
      <c r="AC206" s="157"/>
    </row>
    <row r="207" spans="1:29" ht="12" customHeight="1" outlineLevel="1">
      <c r="A207" s="170" t="s">
        <v>302</v>
      </c>
      <c r="B207" s="157" t="s">
        <v>303</v>
      </c>
      <c r="C207" s="171">
        <v>42780</v>
      </c>
      <c r="D207" s="178"/>
      <c r="E207" s="157" t="s">
        <v>304</v>
      </c>
      <c r="F207" s="223" t="s">
        <v>305</v>
      </c>
      <c r="G207" s="223"/>
      <c r="H207" s="224" t="s">
        <v>306</v>
      </c>
      <c r="I207" s="157"/>
      <c r="J207" s="172"/>
      <c r="K207" s="157"/>
      <c r="L207" s="223" t="s">
        <v>296</v>
      </c>
      <c r="M207" s="173"/>
      <c r="N207" s="173"/>
      <c r="O207" s="157" t="s">
        <v>308</v>
      </c>
      <c r="P207" s="158"/>
      <c r="Q207" s="185"/>
      <c r="R207" s="175"/>
      <c r="S207" s="174">
        <f t="shared" ref="S207:S270" si="9">P207</f>
        <v>0</v>
      </c>
      <c r="T207" s="157"/>
      <c r="U207" s="177">
        <v>-422.5</v>
      </c>
      <c r="V207" s="157"/>
      <c r="W207" s="157"/>
      <c r="X207" s="176">
        <f t="shared" si="8"/>
        <v>-422.5</v>
      </c>
      <c r="Y207" s="184"/>
      <c r="Z207" s="179"/>
      <c r="AA207" s="157"/>
      <c r="AB207" s="157"/>
      <c r="AC207" s="157"/>
    </row>
    <row r="208" spans="1:29" ht="12" customHeight="1" outlineLevel="1">
      <c r="A208" s="170" t="s">
        <v>302</v>
      </c>
      <c r="B208" s="157" t="s">
        <v>303</v>
      </c>
      <c r="C208" s="171">
        <v>42780</v>
      </c>
      <c r="D208" s="178"/>
      <c r="E208" s="157" t="s">
        <v>304</v>
      </c>
      <c r="F208" s="223" t="s">
        <v>305</v>
      </c>
      <c r="G208" s="223"/>
      <c r="H208" s="224" t="s">
        <v>306</v>
      </c>
      <c r="I208" s="157"/>
      <c r="J208" s="172"/>
      <c r="K208" s="157"/>
      <c r="L208" s="223" t="s">
        <v>296</v>
      </c>
      <c r="M208" s="173"/>
      <c r="N208" s="173"/>
      <c r="O208" s="157" t="s">
        <v>307</v>
      </c>
      <c r="P208" s="158"/>
      <c r="Q208" s="185"/>
      <c r="R208" s="175"/>
      <c r="S208" s="174">
        <f t="shared" si="9"/>
        <v>0</v>
      </c>
      <c r="T208" s="157"/>
      <c r="U208" s="177">
        <v>-2900.8</v>
      </c>
      <c r="V208" s="157"/>
      <c r="W208" s="157"/>
      <c r="X208" s="176">
        <f t="shared" si="8"/>
        <v>-2900.8</v>
      </c>
      <c r="Y208" s="184"/>
      <c r="Z208" s="179"/>
      <c r="AA208" s="157"/>
      <c r="AB208" s="157"/>
      <c r="AC208" s="157"/>
    </row>
    <row r="209" spans="1:29" ht="12" customHeight="1" outlineLevel="1">
      <c r="A209" s="170" t="s">
        <v>302</v>
      </c>
      <c r="B209" s="157" t="s">
        <v>303</v>
      </c>
      <c r="C209" s="171">
        <v>42780</v>
      </c>
      <c r="D209" s="178"/>
      <c r="E209" s="157" t="s">
        <v>469</v>
      </c>
      <c r="F209" s="223" t="s">
        <v>305</v>
      </c>
      <c r="G209" s="223"/>
      <c r="H209" s="224" t="s">
        <v>306</v>
      </c>
      <c r="I209" s="157"/>
      <c r="J209" s="172"/>
      <c r="K209" s="157"/>
      <c r="L209" s="223" t="s">
        <v>296</v>
      </c>
      <c r="M209" s="173"/>
      <c r="N209" s="173"/>
      <c r="O209" s="157" t="s">
        <v>307</v>
      </c>
      <c r="P209" s="158"/>
      <c r="Q209" s="185"/>
      <c r="R209" s="175"/>
      <c r="S209" s="174">
        <f t="shared" si="9"/>
        <v>0</v>
      </c>
      <c r="T209" s="157"/>
      <c r="U209" s="177">
        <v>-19.100000000000001</v>
      </c>
      <c r="V209" s="157"/>
      <c r="W209" s="157"/>
      <c r="X209" s="176">
        <f t="shared" si="8"/>
        <v>-19.100000000000001</v>
      </c>
      <c r="Y209" s="184"/>
      <c r="Z209" s="179"/>
      <c r="AA209" s="157"/>
      <c r="AB209" s="157"/>
      <c r="AC209" s="157"/>
    </row>
    <row r="210" spans="1:29" ht="12" customHeight="1" outlineLevel="1">
      <c r="A210" s="170" t="s">
        <v>302</v>
      </c>
      <c r="B210" s="157" t="s">
        <v>303</v>
      </c>
      <c r="C210" s="171">
        <v>42780</v>
      </c>
      <c r="D210" s="178"/>
      <c r="E210" s="157" t="s">
        <v>470</v>
      </c>
      <c r="F210" s="223" t="s">
        <v>305</v>
      </c>
      <c r="G210" s="223"/>
      <c r="H210" s="224" t="s">
        <v>306</v>
      </c>
      <c r="I210" s="157"/>
      <c r="J210" s="172"/>
      <c r="K210" s="157"/>
      <c r="L210" s="223" t="s">
        <v>296</v>
      </c>
      <c r="M210" s="173"/>
      <c r="N210" s="173"/>
      <c r="O210" s="157" t="s">
        <v>307</v>
      </c>
      <c r="P210" s="158"/>
      <c r="Q210" s="185"/>
      <c r="R210" s="175"/>
      <c r="S210" s="174">
        <f t="shared" si="9"/>
        <v>0</v>
      </c>
      <c r="T210" s="157"/>
      <c r="U210" s="177">
        <v>-17.34</v>
      </c>
      <c r="V210" s="157"/>
      <c r="W210" s="157"/>
      <c r="X210" s="176">
        <f t="shared" si="8"/>
        <v>-17.34</v>
      </c>
      <c r="Y210" s="184"/>
      <c r="Z210" s="179"/>
      <c r="AA210" s="157"/>
      <c r="AB210" s="157"/>
      <c r="AC210" s="157"/>
    </row>
    <row r="211" spans="1:29" ht="12" customHeight="1" outlineLevel="1">
      <c r="A211" s="170" t="s">
        <v>302</v>
      </c>
      <c r="B211" s="157" t="s">
        <v>303</v>
      </c>
      <c r="C211" s="171">
        <v>42780</v>
      </c>
      <c r="D211" s="178"/>
      <c r="E211" s="157" t="s">
        <v>471</v>
      </c>
      <c r="F211" s="223" t="s">
        <v>305</v>
      </c>
      <c r="G211" s="223"/>
      <c r="H211" s="224" t="s">
        <v>306</v>
      </c>
      <c r="I211" s="157"/>
      <c r="J211" s="172"/>
      <c r="K211" s="157"/>
      <c r="L211" s="223" t="s">
        <v>296</v>
      </c>
      <c r="M211" s="173"/>
      <c r="N211" s="173"/>
      <c r="O211" s="157" t="s">
        <v>307</v>
      </c>
      <c r="P211" s="158"/>
      <c r="Q211" s="185"/>
      <c r="R211" s="175"/>
      <c r="S211" s="174">
        <f t="shared" si="9"/>
        <v>0</v>
      </c>
      <c r="T211" s="157"/>
      <c r="U211" s="177">
        <v>-19.77</v>
      </c>
      <c r="V211" s="157"/>
      <c r="W211" s="157"/>
      <c r="X211" s="176">
        <f t="shared" si="8"/>
        <v>-19.77</v>
      </c>
      <c r="Y211" s="184"/>
      <c r="Z211" s="179"/>
      <c r="AA211" s="157"/>
      <c r="AB211" s="157"/>
      <c r="AC211" s="157"/>
    </row>
    <row r="212" spans="1:29" ht="12" customHeight="1" outlineLevel="1">
      <c r="A212" s="170" t="s">
        <v>302</v>
      </c>
      <c r="B212" s="157" t="s">
        <v>303</v>
      </c>
      <c r="C212" s="171">
        <v>42780</v>
      </c>
      <c r="D212" s="178"/>
      <c r="E212" s="157" t="s">
        <v>472</v>
      </c>
      <c r="F212" s="223" t="s">
        <v>305</v>
      </c>
      <c r="G212" s="223"/>
      <c r="H212" s="224" t="s">
        <v>306</v>
      </c>
      <c r="I212" s="157" t="s">
        <v>1009</v>
      </c>
      <c r="J212" s="157" t="s">
        <v>1009</v>
      </c>
      <c r="K212" s="157" t="s">
        <v>1009</v>
      </c>
      <c r="L212" s="223" t="s">
        <v>296</v>
      </c>
      <c r="M212" s="173"/>
      <c r="N212" s="173"/>
      <c r="O212" s="157" t="s">
        <v>271</v>
      </c>
      <c r="P212" s="158">
        <v>1058.42</v>
      </c>
      <c r="Q212" s="185"/>
      <c r="R212" s="175"/>
      <c r="S212" s="174">
        <f t="shared" si="9"/>
        <v>1058.42</v>
      </c>
      <c r="T212" s="157"/>
      <c r="U212" s="177"/>
      <c r="V212" s="157"/>
      <c r="W212" s="157"/>
      <c r="X212" s="176">
        <f t="shared" si="8"/>
        <v>0</v>
      </c>
      <c r="Y212" s="184"/>
      <c r="Z212" s="179"/>
      <c r="AA212" s="157"/>
      <c r="AB212" s="157"/>
      <c r="AC212" s="157"/>
    </row>
    <row r="213" spans="1:29" ht="12" customHeight="1" outlineLevel="1">
      <c r="A213" s="170" t="s">
        <v>302</v>
      </c>
      <c r="B213" s="157" t="s">
        <v>303</v>
      </c>
      <c r="C213" s="171">
        <v>42781</v>
      </c>
      <c r="D213" s="178"/>
      <c r="E213" s="157" t="s">
        <v>473</v>
      </c>
      <c r="F213" s="223" t="s">
        <v>305</v>
      </c>
      <c r="G213" s="223"/>
      <c r="H213" s="224" t="s">
        <v>306</v>
      </c>
      <c r="I213" s="157"/>
      <c r="J213" s="172"/>
      <c r="K213" s="157"/>
      <c r="L213" s="223" t="s">
        <v>296</v>
      </c>
      <c r="M213" s="173"/>
      <c r="N213" s="173"/>
      <c r="O213" s="157" t="s">
        <v>307</v>
      </c>
      <c r="P213" s="158"/>
      <c r="Q213" s="185"/>
      <c r="R213" s="175"/>
      <c r="S213" s="174">
        <f t="shared" si="9"/>
        <v>0</v>
      </c>
      <c r="T213" s="157"/>
      <c r="U213" s="177">
        <v>-33.299999999999997</v>
      </c>
      <c r="V213" s="157"/>
      <c r="W213" s="157"/>
      <c r="X213" s="176">
        <f t="shared" si="8"/>
        <v>-33.299999999999997</v>
      </c>
      <c r="Y213" s="184"/>
      <c r="Z213" s="179"/>
      <c r="AA213" s="157"/>
      <c r="AB213" s="157"/>
      <c r="AC213" s="157"/>
    </row>
    <row r="214" spans="1:29" ht="12" customHeight="1" outlineLevel="1">
      <c r="A214" s="170" t="s">
        <v>302</v>
      </c>
      <c r="B214" s="157" t="s">
        <v>303</v>
      </c>
      <c r="C214" s="171">
        <v>42781</v>
      </c>
      <c r="D214" s="178"/>
      <c r="E214" s="157" t="s">
        <v>474</v>
      </c>
      <c r="F214" s="223" t="s">
        <v>305</v>
      </c>
      <c r="G214" s="223"/>
      <c r="H214" s="224" t="s">
        <v>306</v>
      </c>
      <c r="I214" s="157"/>
      <c r="J214" s="172"/>
      <c r="K214" s="157"/>
      <c r="L214" s="223" t="s">
        <v>296</v>
      </c>
      <c r="M214" s="173"/>
      <c r="N214" s="173"/>
      <c r="O214" s="157" t="s">
        <v>307</v>
      </c>
      <c r="P214" s="158"/>
      <c r="Q214" s="185"/>
      <c r="R214" s="175"/>
      <c r="S214" s="174">
        <f t="shared" si="9"/>
        <v>0</v>
      </c>
      <c r="T214" s="157"/>
      <c r="U214" s="177">
        <v>-40</v>
      </c>
      <c r="V214" s="157"/>
      <c r="W214" s="157"/>
      <c r="X214" s="176">
        <f t="shared" si="8"/>
        <v>-40</v>
      </c>
      <c r="Y214" s="184"/>
      <c r="Z214" s="179"/>
      <c r="AA214" s="157"/>
      <c r="AB214" s="157"/>
      <c r="AC214" s="157"/>
    </row>
    <row r="215" spans="1:29" ht="12" customHeight="1" outlineLevel="1">
      <c r="A215" s="170" t="s">
        <v>302</v>
      </c>
      <c r="B215" s="157" t="s">
        <v>303</v>
      </c>
      <c r="C215" s="171">
        <v>42781</v>
      </c>
      <c r="D215" s="178"/>
      <c r="E215" s="157" t="s">
        <v>475</v>
      </c>
      <c r="F215" s="223" t="s">
        <v>305</v>
      </c>
      <c r="G215" s="223"/>
      <c r="H215" s="224" t="s">
        <v>306</v>
      </c>
      <c r="I215" s="157"/>
      <c r="J215" s="172"/>
      <c r="K215" s="157"/>
      <c r="L215" s="223" t="s">
        <v>296</v>
      </c>
      <c r="M215" s="173"/>
      <c r="N215" s="173"/>
      <c r="O215" s="157" t="s">
        <v>307</v>
      </c>
      <c r="P215" s="158"/>
      <c r="Q215" s="185"/>
      <c r="R215" s="175"/>
      <c r="S215" s="174">
        <f t="shared" si="9"/>
        <v>0</v>
      </c>
      <c r="T215" s="157"/>
      <c r="U215" s="177">
        <v>-12.44</v>
      </c>
      <c r="V215" s="157"/>
      <c r="W215" s="157"/>
      <c r="X215" s="176">
        <f t="shared" si="8"/>
        <v>-12.44</v>
      </c>
      <c r="Y215" s="184"/>
      <c r="Z215" s="179"/>
      <c r="AA215" s="157"/>
      <c r="AB215" s="157"/>
      <c r="AC215" s="157"/>
    </row>
    <row r="216" spans="1:29" ht="12" customHeight="1" outlineLevel="1">
      <c r="A216" s="170" t="s">
        <v>302</v>
      </c>
      <c r="B216" s="157" t="s">
        <v>303</v>
      </c>
      <c r="C216" s="171">
        <v>42781</v>
      </c>
      <c r="D216" s="178"/>
      <c r="E216" s="157" t="s">
        <v>476</v>
      </c>
      <c r="F216" s="223" t="s">
        <v>305</v>
      </c>
      <c r="G216" s="223"/>
      <c r="H216" s="224" t="s">
        <v>306</v>
      </c>
      <c r="I216" s="157"/>
      <c r="J216" s="172"/>
      <c r="K216" s="157"/>
      <c r="L216" s="223" t="s">
        <v>296</v>
      </c>
      <c r="M216" s="173"/>
      <c r="N216" s="173"/>
      <c r="O216" s="157" t="s">
        <v>307</v>
      </c>
      <c r="P216" s="158"/>
      <c r="Q216" s="185"/>
      <c r="R216" s="175"/>
      <c r="S216" s="174">
        <f t="shared" si="9"/>
        <v>0</v>
      </c>
      <c r="T216" s="157"/>
      <c r="U216" s="177">
        <v>-21.6</v>
      </c>
      <c r="V216" s="157"/>
      <c r="W216" s="157"/>
      <c r="X216" s="176">
        <f t="shared" si="8"/>
        <v>-21.6</v>
      </c>
      <c r="Y216" s="184"/>
      <c r="Z216" s="179"/>
      <c r="AA216" s="157"/>
      <c r="AB216" s="157"/>
      <c r="AC216" s="157"/>
    </row>
    <row r="217" spans="1:29" ht="12" customHeight="1" outlineLevel="1">
      <c r="A217" s="170" t="s">
        <v>302</v>
      </c>
      <c r="B217" s="157" t="s">
        <v>303</v>
      </c>
      <c r="C217" s="171">
        <v>42781</v>
      </c>
      <c r="D217" s="178"/>
      <c r="E217" s="157" t="s">
        <v>477</v>
      </c>
      <c r="F217" s="223" t="s">
        <v>305</v>
      </c>
      <c r="G217" s="223"/>
      <c r="H217" s="224" t="s">
        <v>306</v>
      </c>
      <c r="I217" s="157"/>
      <c r="J217" s="172"/>
      <c r="K217" s="157"/>
      <c r="L217" s="223" t="s">
        <v>296</v>
      </c>
      <c r="M217" s="173"/>
      <c r="N217" s="173"/>
      <c r="O217" s="157" t="s">
        <v>307</v>
      </c>
      <c r="P217" s="158"/>
      <c r="Q217" s="185"/>
      <c r="R217" s="175"/>
      <c r="S217" s="174">
        <f t="shared" si="9"/>
        <v>0</v>
      </c>
      <c r="T217" s="157"/>
      <c r="U217" s="177">
        <v>-186.85</v>
      </c>
      <c r="V217" s="157"/>
      <c r="W217" s="157"/>
      <c r="X217" s="176">
        <f t="shared" si="8"/>
        <v>-186.85</v>
      </c>
      <c r="Y217" s="184"/>
      <c r="Z217" s="179"/>
      <c r="AA217" s="157"/>
      <c r="AB217" s="157"/>
      <c r="AC217" s="157"/>
    </row>
    <row r="218" spans="1:29" ht="12" customHeight="1" outlineLevel="1">
      <c r="A218" s="170" t="s">
        <v>302</v>
      </c>
      <c r="B218" s="157" t="s">
        <v>303</v>
      </c>
      <c r="C218" s="171">
        <v>42781</v>
      </c>
      <c r="D218" s="178"/>
      <c r="E218" s="157" t="s">
        <v>478</v>
      </c>
      <c r="F218" s="223" t="s">
        <v>305</v>
      </c>
      <c r="G218" s="223"/>
      <c r="H218" s="224" t="s">
        <v>306</v>
      </c>
      <c r="I218" s="157" t="s">
        <v>1009</v>
      </c>
      <c r="J218" s="157" t="s">
        <v>1009</v>
      </c>
      <c r="K218" s="157" t="s">
        <v>1009</v>
      </c>
      <c r="L218" s="223" t="s">
        <v>296</v>
      </c>
      <c r="M218" s="173"/>
      <c r="N218" s="173"/>
      <c r="O218" s="157" t="s">
        <v>271</v>
      </c>
      <c r="P218" s="158">
        <v>1177.3399999999999</v>
      </c>
      <c r="Q218" s="185"/>
      <c r="R218" s="175"/>
      <c r="S218" s="174">
        <f t="shared" si="9"/>
        <v>1177.3399999999999</v>
      </c>
      <c r="T218" s="157"/>
      <c r="U218" s="177"/>
      <c r="V218" s="157"/>
      <c r="W218" s="157"/>
      <c r="X218" s="176">
        <f t="shared" si="8"/>
        <v>0</v>
      </c>
      <c r="Y218" s="184"/>
      <c r="Z218" s="179"/>
      <c r="AA218" s="157"/>
      <c r="AB218" s="157"/>
      <c r="AC218" s="157"/>
    </row>
    <row r="219" spans="1:29" ht="12" customHeight="1" outlineLevel="1">
      <c r="A219" s="170" t="s">
        <v>302</v>
      </c>
      <c r="B219" s="157" t="s">
        <v>303</v>
      </c>
      <c r="C219" s="171">
        <v>42781</v>
      </c>
      <c r="D219" s="178"/>
      <c r="E219" s="157" t="s">
        <v>479</v>
      </c>
      <c r="F219" s="223" t="s">
        <v>305</v>
      </c>
      <c r="G219" s="223"/>
      <c r="H219" s="224" t="s">
        <v>306</v>
      </c>
      <c r="I219" s="157" t="s">
        <v>1009</v>
      </c>
      <c r="J219" s="157" t="s">
        <v>1009</v>
      </c>
      <c r="K219" s="157" t="s">
        <v>1009</v>
      </c>
      <c r="L219" s="223" t="s">
        <v>296</v>
      </c>
      <c r="M219" s="173"/>
      <c r="N219" s="173"/>
      <c r="O219" s="157" t="s">
        <v>271</v>
      </c>
      <c r="P219" s="158">
        <v>895.36</v>
      </c>
      <c r="Q219" s="185"/>
      <c r="R219" s="175"/>
      <c r="S219" s="174">
        <f t="shared" si="9"/>
        <v>895.36</v>
      </c>
      <c r="T219" s="157"/>
      <c r="U219" s="177"/>
      <c r="V219" s="157"/>
      <c r="W219" s="157"/>
      <c r="X219" s="176">
        <f t="shared" si="8"/>
        <v>0</v>
      </c>
      <c r="Y219" s="184"/>
      <c r="Z219" s="179"/>
      <c r="AA219" s="157"/>
      <c r="AB219" s="157"/>
      <c r="AC219" s="157"/>
    </row>
    <row r="220" spans="1:29" ht="12" customHeight="1" outlineLevel="1">
      <c r="A220" s="170" t="s">
        <v>302</v>
      </c>
      <c r="B220" s="157" t="s">
        <v>303</v>
      </c>
      <c r="C220" s="171">
        <v>42782</v>
      </c>
      <c r="D220" s="178"/>
      <c r="E220" s="157" t="s">
        <v>480</v>
      </c>
      <c r="F220" s="223" t="s">
        <v>305</v>
      </c>
      <c r="G220" s="223"/>
      <c r="H220" s="224" t="s">
        <v>306</v>
      </c>
      <c r="I220" s="157"/>
      <c r="J220" s="172"/>
      <c r="K220" s="157"/>
      <c r="L220" s="223" t="s">
        <v>296</v>
      </c>
      <c r="M220" s="173"/>
      <c r="N220" s="173"/>
      <c r="O220" s="157" t="s">
        <v>307</v>
      </c>
      <c r="P220" s="158"/>
      <c r="Q220" s="185"/>
      <c r="R220" s="175"/>
      <c r="S220" s="174">
        <f t="shared" si="9"/>
        <v>0</v>
      </c>
      <c r="T220" s="157"/>
      <c r="U220" s="177">
        <v>-45.96</v>
      </c>
      <c r="V220" s="157"/>
      <c r="W220" s="157"/>
      <c r="X220" s="176">
        <f t="shared" si="8"/>
        <v>-45.96</v>
      </c>
      <c r="Y220" s="184"/>
      <c r="Z220" s="179"/>
      <c r="AA220" s="157"/>
      <c r="AB220" s="157"/>
      <c r="AC220" s="157"/>
    </row>
    <row r="221" spans="1:29" ht="12" customHeight="1" outlineLevel="1">
      <c r="A221" s="170" t="s">
        <v>302</v>
      </c>
      <c r="B221" s="157" t="s">
        <v>303</v>
      </c>
      <c r="C221" s="171">
        <v>42782</v>
      </c>
      <c r="D221" s="178"/>
      <c r="E221" s="157" t="s">
        <v>481</v>
      </c>
      <c r="F221" s="223" t="s">
        <v>305</v>
      </c>
      <c r="G221" s="223"/>
      <c r="H221" s="224" t="s">
        <v>306</v>
      </c>
      <c r="I221" s="157"/>
      <c r="J221" s="172"/>
      <c r="K221" s="157"/>
      <c r="L221" s="223" t="s">
        <v>296</v>
      </c>
      <c r="M221" s="173"/>
      <c r="N221" s="173"/>
      <c r="O221" s="157" t="s">
        <v>307</v>
      </c>
      <c r="P221" s="158"/>
      <c r="Q221" s="185"/>
      <c r="R221" s="175"/>
      <c r="S221" s="174">
        <f t="shared" si="9"/>
        <v>0</v>
      </c>
      <c r="T221" s="157"/>
      <c r="U221" s="177">
        <v>-0.01</v>
      </c>
      <c r="V221" s="157"/>
      <c r="W221" s="157"/>
      <c r="X221" s="176">
        <f t="shared" si="8"/>
        <v>-0.01</v>
      </c>
      <c r="Y221" s="184"/>
      <c r="Z221" s="179"/>
      <c r="AA221" s="157"/>
      <c r="AB221" s="157"/>
      <c r="AC221" s="157"/>
    </row>
    <row r="222" spans="1:29" ht="12" customHeight="1" outlineLevel="1">
      <c r="A222" s="170" t="s">
        <v>302</v>
      </c>
      <c r="B222" s="157" t="s">
        <v>303</v>
      </c>
      <c r="C222" s="171">
        <v>42782</v>
      </c>
      <c r="D222" s="178"/>
      <c r="E222" s="157" t="s">
        <v>482</v>
      </c>
      <c r="F222" s="223" t="s">
        <v>305</v>
      </c>
      <c r="G222" s="223"/>
      <c r="H222" s="224" t="s">
        <v>306</v>
      </c>
      <c r="I222" s="157"/>
      <c r="J222" s="172"/>
      <c r="K222" s="157"/>
      <c r="L222" s="223" t="s">
        <v>296</v>
      </c>
      <c r="M222" s="173"/>
      <c r="N222" s="173"/>
      <c r="O222" s="157" t="s">
        <v>307</v>
      </c>
      <c r="P222" s="158"/>
      <c r="Q222" s="185"/>
      <c r="R222" s="175"/>
      <c r="S222" s="174">
        <f t="shared" si="9"/>
        <v>0</v>
      </c>
      <c r="T222" s="157"/>
      <c r="U222" s="177">
        <v>-104.14</v>
      </c>
      <c r="V222" s="157"/>
      <c r="W222" s="157"/>
      <c r="X222" s="176">
        <f t="shared" si="8"/>
        <v>-104.14</v>
      </c>
      <c r="Y222" s="184"/>
      <c r="Z222" s="179"/>
      <c r="AA222" s="157"/>
      <c r="AB222" s="157"/>
      <c r="AC222" s="157"/>
    </row>
    <row r="223" spans="1:29" ht="12" customHeight="1" outlineLevel="1">
      <c r="A223" s="170" t="s">
        <v>302</v>
      </c>
      <c r="B223" s="157" t="s">
        <v>303</v>
      </c>
      <c r="C223" s="171">
        <v>42782</v>
      </c>
      <c r="D223" s="178"/>
      <c r="E223" s="157" t="s">
        <v>483</v>
      </c>
      <c r="F223" s="223" t="s">
        <v>305</v>
      </c>
      <c r="G223" s="223"/>
      <c r="H223" s="224" t="s">
        <v>306</v>
      </c>
      <c r="I223" s="157"/>
      <c r="J223" s="172"/>
      <c r="K223" s="157"/>
      <c r="L223" s="223" t="s">
        <v>296</v>
      </c>
      <c r="M223" s="173"/>
      <c r="N223" s="173"/>
      <c r="O223" s="157" t="s">
        <v>307</v>
      </c>
      <c r="P223" s="158"/>
      <c r="Q223" s="185"/>
      <c r="R223" s="175"/>
      <c r="S223" s="174">
        <f t="shared" si="9"/>
        <v>0</v>
      </c>
      <c r="T223" s="157"/>
      <c r="U223" s="177">
        <v>-39</v>
      </c>
      <c r="V223" s="157"/>
      <c r="W223" s="157"/>
      <c r="X223" s="176">
        <f t="shared" si="8"/>
        <v>-39</v>
      </c>
      <c r="Y223" s="184"/>
      <c r="Z223" s="179"/>
      <c r="AA223" s="157"/>
      <c r="AB223" s="157"/>
      <c r="AC223" s="157"/>
    </row>
    <row r="224" spans="1:29" ht="12" customHeight="1" outlineLevel="1">
      <c r="A224" s="170" t="s">
        <v>302</v>
      </c>
      <c r="B224" s="157" t="s">
        <v>303</v>
      </c>
      <c r="C224" s="171">
        <v>42782</v>
      </c>
      <c r="D224" s="178"/>
      <c r="E224" s="157" t="s">
        <v>484</v>
      </c>
      <c r="F224" s="223" t="s">
        <v>305</v>
      </c>
      <c r="G224" s="223"/>
      <c r="H224" s="224" t="s">
        <v>306</v>
      </c>
      <c r="I224" s="157" t="s">
        <v>1009</v>
      </c>
      <c r="J224" s="157" t="s">
        <v>1009</v>
      </c>
      <c r="K224" s="157" t="s">
        <v>1009</v>
      </c>
      <c r="L224" s="223" t="s">
        <v>296</v>
      </c>
      <c r="M224" s="173"/>
      <c r="N224" s="173"/>
      <c r="O224" s="157" t="s">
        <v>271</v>
      </c>
      <c r="P224" s="158">
        <v>1555.91</v>
      </c>
      <c r="Q224" s="185"/>
      <c r="R224" s="175"/>
      <c r="S224" s="174">
        <f t="shared" si="9"/>
        <v>1555.91</v>
      </c>
      <c r="T224" s="157"/>
      <c r="U224" s="177"/>
      <c r="V224" s="157"/>
      <c r="W224" s="157"/>
      <c r="X224" s="176">
        <f t="shared" si="8"/>
        <v>0</v>
      </c>
      <c r="Y224" s="184"/>
      <c r="Z224" s="179"/>
      <c r="AA224" s="157"/>
      <c r="AB224" s="157"/>
      <c r="AC224" s="157"/>
    </row>
    <row r="225" spans="1:29" ht="12" customHeight="1" outlineLevel="1">
      <c r="A225" s="170" t="s">
        <v>302</v>
      </c>
      <c r="B225" s="157" t="s">
        <v>303</v>
      </c>
      <c r="C225" s="171">
        <v>42783</v>
      </c>
      <c r="D225" s="178"/>
      <c r="E225" s="157" t="s">
        <v>304</v>
      </c>
      <c r="F225" s="223" t="s">
        <v>305</v>
      </c>
      <c r="G225" s="223"/>
      <c r="H225" s="224" t="s">
        <v>306</v>
      </c>
      <c r="I225" s="157"/>
      <c r="J225" s="172"/>
      <c r="K225" s="157"/>
      <c r="L225" s="223" t="s">
        <v>296</v>
      </c>
      <c r="M225" s="173"/>
      <c r="N225" s="173"/>
      <c r="O225" s="157" t="s">
        <v>307</v>
      </c>
      <c r="P225" s="158"/>
      <c r="Q225" s="185"/>
      <c r="R225" s="175"/>
      <c r="S225" s="174">
        <f t="shared" si="9"/>
        <v>0</v>
      </c>
      <c r="T225" s="157"/>
      <c r="U225" s="177">
        <v>-778.52</v>
      </c>
      <c r="V225" s="157"/>
      <c r="W225" s="157"/>
      <c r="X225" s="176">
        <f t="shared" si="8"/>
        <v>-778.52</v>
      </c>
      <c r="Y225" s="184"/>
      <c r="Z225" s="179"/>
      <c r="AA225" s="157"/>
      <c r="AB225" s="157"/>
      <c r="AC225" s="157"/>
    </row>
    <row r="226" spans="1:29" ht="12" customHeight="1" outlineLevel="1">
      <c r="A226" s="170" t="s">
        <v>302</v>
      </c>
      <c r="B226" s="157" t="s">
        <v>303</v>
      </c>
      <c r="C226" s="171">
        <v>42783</v>
      </c>
      <c r="D226" s="178"/>
      <c r="E226" s="157" t="s">
        <v>485</v>
      </c>
      <c r="F226" s="223" t="s">
        <v>305</v>
      </c>
      <c r="G226" s="223"/>
      <c r="H226" s="224" t="s">
        <v>306</v>
      </c>
      <c r="I226" s="157"/>
      <c r="J226" s="172"/>
      <c r="K226" s="157"/>
      <c r="L226" s="223" t="s">
        <v>296</v>
      </c>
      <c r="M226" s="173"/>
      <c r="N226" s="173"/>
      <c r="O226" s="157" t="s">
        <v>307</v>
      </c>
      <c r="P226" s="158"/>
      <c r="Q226" s="185"/>
      <c r="R226" s="175"/>
      <c r="S226" s="174">
        <f t="shared" si="9"/>
        <v>0</v>
      </c>
      <c r="T226" s="157"/>
      <c r="U226" s="177">
        <v>-68.88</v>
      </c>
      <c r="V226" s="157"/>
      <c r="W226" s="157"/>
      <c r="X226" s="176">
        <f t="shared" si="8"/>
        <v>-68.88</v>
      </c>
      <c r="Y226" s="184"/>
      <c r="Z226" s="179"/>
      <c r="AA226" s="157"/>
      <c r="AB226" s="157"/>
      <c r="AC226" s="157"/>
    </row>
    <row r="227" spans="1:29" ht="12" customHeight="1" outlineLevel="1">
      <c r="A227" s="170" t="s">
        <v>302</v>
      </c>
      <c r="B227" s="157" t="s">
        <v>303</v>
      </c>
      <c r="C227" s="171">
        <v>42783</v>
      </c>
      <c r="D227" s="178"/>
      <c r="E227" s="157" t="s">
        <v>486</v>
      </c>
      <c r="F227" s="223" t="s">
        <v>305</v>
      </c>
      <c r="G227" s="223"/>
      <c r="H227" s="224" t="s">
        <v>306</v>
      </c>
      <c r="I227" s="157"/>
      <c r="J227" s="172"/>
      <c r="K227" s="157"/>
      <c r="L227" s="223" t="s">
        <v>296</v>
      </c>
      <c r="M227" s="173"/>
      <c r="N227" s="173"/>
      <c r="O227" s="157" t="s">
        <v>307</v>
      </c>
      <c r="P227" s="158"/>
      <c r="Q227" s="185"/>
      <c r="R227" s="175"/>
      <c r="S227" s="174">
        <f t="shared" si="9"/>
        <v>0</v>
      </c>
      <c r="T227" s="157"/>
      <c r="U227" s="177">
        <v>-33.840000000000003</v>
      </c>
      <c r="V227" s="157"/>
      <c r="W227" s="157"/>
      <c r="X227" s="176">
        <f t="shared" si="8"/>
        <v>-33.840000000000003</v>
      </c>
      <c r="Y227" s="184"/>
      <c r="Z227" s="179"/>
      <c r="AA227" s="157"/>
      <c r="AB227" s="157"/>
      <c r="AC227" s="157"/>
    </row>
    <row r="228" spans="1:29" ht="12" customHeight="1" outlineLevel="1">
      <c r="A228" s="170" t="s">
        <v>302</v>
      </c>
      <c r="B228" s="157" t="s">
        <v>303</v>
      </c>
      <c r="C228" s="171">
        <v>42783</v>
      </c>
      <c r="D228" s="178"/>
      <c r="E228" s="157" t="s">
        <v>487</v>
      </c>
      <c r="F228" s="223" t="s">
        <v>305</v>
      </c>
      <c r="G228" s="223"/>
      <c r="H228" s="224" t="s">
        <v>306</v>
      </c>
      <c r="I228" s="157"/>
      <c r="J228" s="172"/>
      <c r="K228" s="157"/>
      <c r="L228" s="223" t="s">
        <v>296</v>
      </c>
      <c r="M228" s="173"/>
      <c r="N228" s="173"/>
      <c r="O228" s="157" t="s">
        <v>307</v>
      </c>
      <c r="P228" s="158"/>
      <c r="Q228" s="185"/>
      <c r="R228" s="175"/>
      <c r="S228" s="174">
        <f t="shared" si="9"/>
        <v>0</v>
      </c>
      <c r="T228" s="157"/>
      <c r="U228" s="177">
        <v>-12.22</v>
      </c>
      <c r="V228" s="157"/>
      <c r="W228" s="157"/>
      <c r="X228" s="176">
        <f t="shared" si="8"/>
        <v>-12.22</v>
      </c>
      <c r="Y228" s="184"/>
      <c r="Z228" s="179"/>
      <c r="AA228" s="157"/>
      <c r="AB228" s="157"/>
      <c r="AC228" s="157"/>
    </row>
    <row r="229" spans="1:29" ht="12" customHeight="1" outlineLevel="1">
      <c r="A229" s="170" t="s">
        <v>302</v>
      </c>
      <c r="B229" s="157" t="s">
        <v>303</v>
      </c>
      <c r="C229" s="171">
        <v>42783</v>
      </c>
      <c r="D229" s="178"/>
      <c r="E229" s="157" t="s">
        <v>488</v>
      </c>
      <c r="F229" s="223" t="s">
        <v>305</v>
      </c>
      <c r="G229" s="223"/>
      <c r="H229" s="224" t="s">
        <v>306</v>
      </c>
      <c r="I229" s="157" t="s">
        <v>1009</v>
      </c>
      <c r="J229" s="157" t="s">
        <v>1009</v>
      </c>
      <c r="K229" s="157" t="s">
        <v>1009</v>
      </c>
      <c r="L229" s="223" t="s">
        <v>296</v>
      </c>
      <c r="M229" s="173"/>
      <c r="N229" s="173"/>
      <c r="O229" s="157" t="s">
        <v>271</v>
      </c>
      <c r="P229" s="158">
        <v>776.06</v>
      </c>
      <c r="Q229" s="185"/>
      <c r="R229" s="175"/>
      <c r="S229" s="174">
        <f t="shared" si="9"/>
        <v>776.06</v>
      </c>
      <c r="T229" s="157"/>
      <c r="U229" s="177"/>
      <c r="V229" s="157"/>
      <c r="W229" s="157"/>
      <c r="X229" s="176">
        <f t="shared" si="8"/>
        <v>0</v>
      </c>
      <c r="Y229" s="184"/>
      <c r="Z229" s="179"/>
      <c r="AA229" s="157"/>
      <c r="AB229" s="157"/>
      <c r="AC229" s="157"/>
    </row>
    <row r="230" spans="1:29" ht="12" customHeight="1" outlineLevel="1">
      <c r="A230" s="170" t="s">
        <v>302</v>
      </c>
      <c r="B230" s="157" t="s">
        <v>303</v>
      </c>
      <c r="C230" s="171">
        <v>42787</v>
      </c>
      <c r="D230" s="178"/>
      <c r="E230" s="157" t="s">
        <v>304</v>
      </c>
      <c r="F230" s="223" t="s">
        <v>305</v>
      </c>
      <c r="G230" s="223"/>
      <c r="H230" s="224" t="s">
        <v>306</v>
      </c>
      <c r="I230" s="157"/>
      <c r="J230" s="172"/>
      <c r="K230" s="157"/>
      <c r="L230" s="223" t="s">
        <v>296</v>
      </c>
      <c r="M230" s="173"/>
      <c r="N230" s="173"/>
      <c r="O230" s="157" t="s">
        <v>308</v>
      </c>
      <c r="P230" s="158"/>
      <c r="Q230" s="185"/>
      <c r="R230" s="175"/>
      <c r="S230" s="174">
        <f t="shared" si="9"/>
        <v>0</v>
      </c>
      <c r="T230" s="157"/>
      <c r="U230" s="177">
        <v>-462</v>
      </c>
      <c r="V230" s="157"/>
      <c r="W230" s="157"/>
      <c r="X230" s="176">
        <f t="shared" si="8"/>
        <v>-462</v>
      </c>
      <c r="Y230" s="184"/>
      <c r="Z230" s="179"/>
      <c r="AA230" s="157"/>
      <c r="AB230" s="157"/>
      <c r="AC230" s="157"/>
    </row>
    <row r="231" spans="1:29" ht="12" customHeight="1" outlineLevel="1">
      <c r="A231" s="170" t="s">
        <v>302</v>
      </c>
      <c r="B231" s="157" t="s">
        <v>303</v>
      </c>
      <c r="C231" s="171">
        <v>42787</v>
      </c>
      <c r="D231" s="178"/>
      <c r="E231" s="157" t="s">
        <v>304</v>
      </c>
      <c r="F231" s="223" t="s">
        <v>305</v>
      </c>
      <c r="G231" s="223"/>
      <c r="H231" s="224" t="s">
        <v>306</v>
      </c>
      <c r="I231" s="157"/>
      <c r="J231" s="172"/>
      <c r="K231" s="157"/>
      <c r="L231" s="223" t="s">
        <v>296</v>
      </c>
      <c r="M231" s="173"/>
      <c r="N231" s="173"/>
      <c r="O231" s="157" t="s">
        <v>308</v>
      </c>
      <c r="P231" s="158"/>
      <c r="Q231" s="185"/>
      <c r="R231" s="175"/>
      <c r="S231" s="174">
        <f t="shared" si="9"/>
        <v>0</v>
      </c>
      <c r="T231" s="157"/>
      <c r="U231" s="177">
        <v>-685.5</v>
      </c>
      <c r="V231" s="157"/>
      <c r="W231" s="157"/>
      <c r="X231" s="176">
        <f t="shared" si="8"/>
        <v>-685.5</v>
      </c>
      <c r="Y231" s="184"/>
      <c r="Z231" s="179"/>
      <c r="AA231" s="157"/>
      <c r="AB231" s="157"/>
      <c r="AC231" s="157"/>
    </row>
    <row r="232" spans="1:29" ht="12" customHeight="1" outlineLevel="1">
      <c r="A232" s="170" t="s">
        <v>302</v>
      </c>
      <c r="B232" s="157" t="s">
        <v>303</v>
      </c>
      <c r="C232" s="171">
        <v>42787</v>
      </c>
      <c r="D232" s="178"/>
      <c r="E232" s="157" t="s">
        <v>489</v>
      </c>
      <c r="F232" s="223" t="s">
        <v>305</v>
      </c>
      <c r="G232" s="223"/>
      <c r="H232" s="224" t="s">
        <v>306</v>
      </c>
      <c r="I232" s="157"/>
      <c r="J232" s="172"/>
      <c r="K232" s="157"/>
      <c r="L232" s="223" t="s">
        <v>296</v>
      </c>
      <c r="M232" s="173"/>
      <c r="N232" s="173"/>
      <c r="O232" s="157" t="s">
        <v>307</v>
      </c>
      <c r="P232" s="158"/>
      <c r="Q232" s="185"/>
      <c r="R232" s="175"/>
      <c r="S232" s="174">
        <f t="shared" si="9"/>
        <v>0</v>
      </c>
      <c r="T232" s="157"/>
      <c r="U232" s="177">
        <v>-383.65</v>
      </c>
      <c r="V232" s="157"/>
      <c r="W232" s="157"/>
      <c r="X232" s="176">
        <f t="shared" si="8"/>
        <v>-383.65</v>
      </c>
      <c r="Y232" s="184"/>
      <c r="Z232" s="179"/>
      <c r="AA232" s="157"/>
      <c r="AB232" s="157"/>
      <c r="AC232" s="157"/>
    </row>
    <row r="233" spans="1:29" ht="12" customHeight="1" outlineLevel="1">
      <c r="A233" s="170" t="s">
        <v>302</v>
      </c>
      <c r="B233" s="157" t="s">
        <v>303</v>
      </c>
      <c r="C233" s="171">
        <v>42787</v>
      </c>
      <c r="D233" s="178"/>
      <c r="E233" s="157" t="s">
        <v>490</v>
      </c>
      <c r="F233" s="223" t="s">
        <v>305</v>
      </c>
      <c r="G233" s="223"/>
      <c r="H233" s="224" t="s">
        <v>306</v>
      </c>
      <c r="I233" s="157"/>
      <c r="J233" s="172"/>
      <c r="K233" s="157"/>
      <c r="L233" s="223" t="s">
        <v>296</v>
      </c>
      <c r="M233" s="173"/>
      <c r="N233" s="173"/>
      <c r="O233" s="157" t="s">
        <v>307</v>
      </c>
      <c r="P233" s="158"/>
      <c r="Q233" s="185"/>
      <c r="R233" s="175"/>
      <c r="S233" s="174">
        <f t="shared" si="9"/>
        <v>0</v>
      </c>
      <c r="T233" s="157"/>
      <c r="U233" s="177">
        <v>-58.87</v>
      </c>
      <c r="V233" s="157"/>
      <c r="W233" s="157"/>
      <c r="X233" s="176">
        <f t="shared" si="8"/>
        <v>-58.87</v>
      </c>
      <c r="Y233" s="184"/>
      <c r="Z233" s="179"/>
      <c r="AA233" s="157"/>
      <c r="AB233" s="157"/>
      <c r="AC233" s="157"/>
    </row>
    <row r="234" spans="1:29" ht="12" customHeight="1" outlineLevel="1">
      <c r="A234" s="170" t="s">
        <v>302</v>
      </c>
      <c r="B234" s="157" t="s">
        <v>303</v>
      </c>
      <c r="C234" s="171">
        <v>42787</v>
      </c>
      <c r="D234" s="178"/>
      <c r="E234" s="157" t="s">
        <v>491</v>
      </c>
      <c r="F234" s="223" t="s">
        <v>305</v>
      </c>
      <c r="G234" s="223"/>
      <c r="H234" s="224" t="s">
        <v>306</v>
      </c>
      <c r="I234" s="157"/>
      <c r="J234" s="172"/>
      <c r="K234" s="157"/>
      <c r="L234" s="223" t="s">
        <v>296</v>
      </c>
      <c r="M234" s="173"/>
      <c r="N234" s="173"/>
      <c r="O234" s="157" t="s">
        <v>307</v>
      </c>
      <c r="P234" s="158"/>
      <c r="Q234" s="185"/>
      <c r="R234" s="175"/>
      <c r="S234" s="174">
        <f t="shared" si="9"/>
        <v>0</v>
      </c>
      <c r="T234" s="157"/>
      <c r="U234" s="177">
        <v>-145.34</v>
      </c>
      <c r="V234" s="157"/>
      <c r="W234" s="157"/>
      <c r="X234" s="176">
        <f t="shared" si="8"/>
        <v>-145.34</v>
      </c>
      <c r="Y234" s="184"/>
      <c r="Z234" s="179"/>
      <c r="AA234" s="157"/>
      <c r="AB234" s="157"/>
      <c r="AC234" s="157"/>
    </row>
    <row r="235" spans="1:29" ht="12" customHeight="1" outlineLevel="1">
      <c r="A235" s="170" t="s">
        <v>302</v>
      </c>
      <c r="B235" s="157" t="s">
        <v>303</v>
      </c>
      <c r="C235" s="171">
        <v>42787</v>
      </c>
      <c r="D235" s="178"/>
      <c r="E235" s="157" t="s">
        <v>492</v>
      </c>
      <c r="F235" s="223" t="s">
        <v>305</v>
      </c>
      <c r="G235" s="223"/>
      <c r="H235" s="224" t="s">
        <v>306</v>
      </c>
      <c r="I235" s="157"/>
      <c r="J235" s="172"/>
      <c r="K235" s="157"/>
      <c r="L235" s="223" t="s">
        <v>296</v>
      </c>
      <c r="M235" s="173"/>
      <c r="N235" s="173"/>
      <c r="O235" s="157" t="s">
        <v>307</v>
      </c>
      <c r="P235" s="158"/>
      <c r="Q235" s="185"/>
      <c r="R235" s="175"/>
      <c r="S235" s="174">
        <f t="shared" si="9"/>
        <v>0</v>
      </c>
      <c r="T235" s="157"/>
      <c r="U235" s="177">
        <v>-78.349999999999994</v>
      </c>
      <c r="V235" s="157"/>
      <c r="W235" s="157"/>
      <c r="X235" s="176">
        <f t="shared" si="8"/>
        <v>-78.349999999999994</v>
      </c>
      <c r="Y235" s="184"/>
      <c r="Z235" s="179"/>
      <c r="AA235" s="157"/>
      <c r="AB235" s="157"/>
      <c r="AC235" s="157"/>
    </row>
    <row r="236" spans="1:29" ht="12" customHeight="1" outlineLevel="1">
      <c r="A236" s="170" t="s">
        <v>302</v>
      </c>
      <c r="B236" s="157" t="s">
        <v>303</v>
      </c>
      <c r="C236" s="171">
        <v>42787</v>
      </c>
      <c r="D236" s="178"/>
      <c r="E236" s="157" t="s">
        <v>493</v>
      </c>
      <c r="F236" s="223" t="s">
        <v>305</v>
      </c>
      <c r="G236" s="223"/>
      <c r="H236" s="224" t="s">
        <v>306</v>
      </c>
      <c r="I236" s="157"/>
      <c r="J236" s="172"/>
      <c r="K236" s="157"/>
      <c r="L236" s="223" t="s">
        <v>296</v>
      </c>
      <c r="M236" s="173"/>
      <c r="N236" s="173"/>
      <c r="O236" s="157" t="s">
        <v>307</v>
      </c>
      <c r="P236" s="158"/>
      <c r="Q236" s="185"/>
      <c r="R236" s="175"/>
      <c r="S236" s="174">
        <f t="shared" si="9"/>
        <v>0</v>
      </c>
      <c r="T236" s="157"/>
      <c r="U236" s="177">
        <v>-33.82</v>
      </c>
      <c r="V236" s="157"/>
      <c r="W236" s="157"/>
      <c r="X236" s="176">
        <f t="shared" si="8"/>
        <v>-33.82</v>
      </c>
      <c r="Y236" s="184"/>
      <c r="Z236" s="179"/>
      <c r="AA236" s="157"/>
      <c r="AB236" s="157"/>
      <c r="AC236" s="157"/>
    </row>
    <row r="237" spans="1:29" ht="12" customHeight="1" outlineLevel="1">
      <c r="A237" s="170" t="s">
        <v>302</v>
      </c>
      <c r="B237" s="157" t="s">
        <v>303</v>
      </c>
      <c r="C237" s="171">
        <v>42787</v>
      </c>
      <c r="D237" s="178"/>
      <c r="E237" s="157" t="s">
        <v>494</v>
      </c>
      <c r="F237" s="223" t="s">
        <v>305</v>
      </c>
      <c r="G237" s="223"/>
      <c r="H237" s="224" t="s">
        <v>306</v>
      </c>
      <c r="I237" s="157"/>
      <c r="J237" s="172"/>
      <c r="K237" s="157"/>
      <c r="L237" s="223" t="s">
        <v>296</v>
      </c>
      <c r="M237" s="173"/>
      <c r="N237" s="173"/>
      <c r="O237" s="157" t="s">
        <v>307</v>
      </c>
      <c r="P237" s="158"/>
      <c r="Q237" s="185"/>
      <c r="R237" s="175"/>
      <c r="S237" s="174">
        <f t="shared" si="9"/>
        <v>0</v>
      </c>
      <c r="T237" s="157"/>
      <c r="U237" s="177">
        <v>-445.14</v>
      </c>
      <c r="V237" s="157"/>
      <c r="W237" s="157"/>
      <c r="X237" s="176">
        <f t="shared" si="8"/>
        <v>-445.14</v>
      </c>
      <c r="Y237" s="184"/>
      <c r="Z237" s="179"/>
      <c r="AA237" s="157"/>
      <c r="AB237" s="157"/>
      <c r="AC237" s="157"/>
    </row>
    <row r="238" spans="1:29" ht="12" customHeight="1" outlineLevel="1">
      <c r="A238" s="170" t="s">
        <v>302</v>
      </c>
      <c r="B238" s="157" t="s">
        <v>303</v>
      </c>
      <c r="C238" s="171">
        <v>42787</v>
      </c>
      <c r="D238" s="178"/>
      <c r="E238" s="157" t="s">
        <v>495</v>
      </c>
      <c r="F238" s="223" t="s">
        <v>305</v>
      </c>
      <c r="G238" s="223"/>
      <c r="H238" s="224" t="s">
        <v>306</v>
      </c>
      <c r="I238" s="157"/>
      <c r="J238" s="172"/>
      <c r="K238" s="157"/>
      <c r="L238" s="223" t="s">
        <v>296</v>
      </c>
      <c r="M238" s="173"/>
      <c r="N238" s="173"/>
      <c r="O238" s="157" t="s">
        <v>307</v>
      </c>
      <c r="P238" s="158"/>
      <c r="Q238" s="185"/>
      <c r="R238" s="175"/>
      <c r="S238" s="174">
        <f t="shared" si="9"/>
        <v>0</v>
      </c>
      <c r="T238" s="157"/>
      <c r="U238" s="177">
        <v>-37.82</v>
      </c>
      <c r="V238" s="157"/>
      <c r="W238" s="157"/>
      <c r="X238" s="176">
        <f t="shared" si="8"/>
        <v>-37.82</v>
      </c>
      <c r="Y238" s="184"/>
      <c r="Z238" s="179"/>
      <c r="AA238" s="157"/>
      <c r="AB238" s="157"/>
      <c r="AC238" s="157"/>
    </row>
    <row r="239" spans="1:29" ht="12" customHeight="1" outlineLevel="1">
      <c r="A239" s="170" t="s">
        <v>302</v>
      </c>
      <c r="B239" s="157" t="s">
        <v>303</v>
      </c>
      <c r="C239" s="171">
        <v>42787</v>
      </c>
      <c r="D239" s="178"/>
      <c r="E239" s="157" t="s">
        <v>496</v>
      </c>
      <c r="F239" s="223" t="s">
        <v>305</v>
      </c>
      <c r="G239" s="223"/>
      <c r="H239" s="224" t="s">
        <v>306</v>
      </c>
      <c r="I239" s="157"/>
      <c r="J239" s="172"/>
      <c r="K239" s="157"/>
      <c r="L239" s="223" t="s">
        <v>296</v>
      </c>
      <c r="M239" s="173"/>
      <c r="N239" s="173"/>
      <c r="O239" s="157" t="s">
        <v>307</v>
      </c>
      <c r="P239" s="158"/>
      <c r="Q239" s="185"/>
      <c r="R239" s="175"/>
      <c r="S239" s="174">
        <f t="shared" si="9"/>
        <v>0</v>
      </c>
      <c r="T239" s="157"/>
      <c r="U239" s="177">
        <v>-73.260000000000005</v>
      </c>
      <c r="V239" s="157"/>
      <c r="W239" s="157"/>
      <c r="X239" s="176">
        <f t="shared" si="8"/>
        <v>-73.260000000000005</v>
      </c>
      <c r="Y239" s="184"/>
      <c r="Z239" s="179"/>
      <c r="AA239" s="157"/>
      <c r="AB239" s="157"/>
      <c r="AC239" s="157"/>
    </row>
    <row r="240" spans="1:29" ht="12" customHeight="1" outlineLevel="1">
      <c r="A240" s="170" t="s">
        <v>302</v>
      </c>
      <c r="B240" s="157" t="s">
        <v>303</v>
      </c>
      <c r="C240" s="171">
        <v>42787</v>
      </c>
      <c r="D240" s="178"/>
      <c r="E240" s="157" t="s">
        <v>497</v>
      </c>
      <c r="F240" s="223" t="s">
        <v>305</v>
      </c>
      <c r="G240" s="223"/>
      <c r="H240" s="224" t="s">
        <v>306</v>
      </c>
      <c r="I240" s="157"/>
      <c r="J240" s="172"/>
      <c r="K240" s="157"/>
      <c r="L240" s="223" t="s">
        <v>296</v>
      </c>
      <c r="M240" s="173"/>
      <c r="N240" s="173"/>
      <c r="O240" s="157" t="s">
        <v>307</v>
      </c>
      <c r="P240" s="158"/>
      <c r="Q240" s="185"/>
      <c r="R240" s="175"/>
      <c r="S240" s="174">
        <f t="shared" si="9"/>
        <v>0</v>
      </c>
      <c r="T240" s="157"/>
      <c r="U240" s="177">
        <v>-9.86</v>
      </c>
      <c r="V240" s="157"/>
      <c r="W240" s="157"/>
      <c r="X240" s="176">
        <f t="shared" si="8"/>
        <v>-9.86</v>
      </c>
      <c r="Y240" s="184"/>
      <c r="Z240" s="179"/>
      <c r="AA240" s="157"/>
      <c r="AB240" s="157"/>
      <c r="AC240" s="157"/>
    </row>
    <row r="241" spans="1:29" ht="12" customHeight="1" outlineLevel="1">
      <c r="A241" s="170" t="s">
        <v>302</v>
      </c>
      <c r="B241" s="157" t="s">
        <v>303</v>
      </c>
      <c r="C241" s="171">
        <v>42787</v>
      </c>
      <c r="D241" s="178"/>
      <c r="E241" s="157" t="s">
        <v>498</v>
      </c>
      <c r="F241" s="223" t="s">
        <v>305</v>
      </c>
      <c r="G241" s="223"/>
      <c r="H241" s="224" t="s">
        <v>306</v>
      </c>
      <c r="I241" s="157"/>
      <c r="J241" s="172"/>
      <c r="K241" s="157"/>
      <c r="L241" s="223" t="s">
        <v>296</v>
      </c>
      <c r="M241" s="173"/>
      <c r="N241" s="173"/>
      <c r="O241" s="157" t="s">
        <v>307</v>
      </c>
      <c r="P241" s="158"/>
      <c r="Q241" s="185"/>
      <c r="R241" s="175"/>
      <c r="S241" s="174">
        <f t="shared" si="9"/>
        <v>0</v>
      </c>
      <c r="T241" s="157"/>
      <c r="U241" s="177">
        <v>-202.72</v>
      </c>
      <c r="V241" s="157"/>
      <c r="W241" s="157"/>
      <c r="X241" s="176">
        <f t="shared" si="8"/>
        <v>-202.72</v>
      </c>
      <c r="Y241" s="184"/>
      <c r="Z241" s="179"/>
      <c r="AA241" s="157"/>
      <c r="AB241" s="157"/>
      <c r="AC241" s="157"/>
    </row>
    <row r="242" spans="1:29" ht="12" customHeight="1" outlineLevel="1">
      <c r="A242" s="170" t="s">
        <v>302</v>
      </c>
      <c r="B242" s="157" t="s">
        <v>303</v>
      </c>
      <c r="C242" s="171">
        <v>42787</v>
      </c>
      <c r="D242" s="178"/>
      <c r="E242" s="157" t="s">
        <v>499</v>
      </c>
      <c r="F242" s="223" t="s">
        <v>305</v>
      </c>
      <c r="G242" s="223"/>
      <c r="H242" s="224" t="s">
        <v>306</v>
      </c>
      <c r="I242" s="157" t="s">
        <v>1009</v>
      </c>
      <c r="J242" s="157" t="s">
        <v>1009</v>
      </c>
      <c r="K242" s="157" t="s">
        <v>1009</v>
      </c>
      <c r="L242" s="223" t="s">
        <v>296</v>
      </c>
      <c r="M242" s="173"/>
      <c r="N242" s="173"/>
      <c r="O242" s="157" t="s">
        <v>271</v>
      </c>
      <c r="P242" s="158">
        <v>2528.1</v>
      </c>
      <c r="Q242" s="185"/>
      <c r="R242" s="175"/>
      <c r="S242" s="174">
        <f t="shared" si="9"/>
        <v>2528.1</v>
      </c>
      <c r="T242" s="157"/>
      <c r="U242" s="177"/>
      <c r="V242" s="157"/>
      <c r="W242" s="157"/>
      <c r="X242" s="176">
        <f t="shared" si="8"/>
        <v>0</v>
      </c>
      <c r="Y242" s="184"/>
      <c r="Z242" s="179"/>
      <c r="AA242" s="157"/>
      <c r="AB242" s="157"/>
      <c r="AC242" s="157"/>
    </row>
    <row r="243" spans="1:29" ht="12" customHeight="1" outlineLevel="1">
      <c r="A243" s="170" t="s">
        <v>302</v>
      </c>
      <c r="B243" s="157" t="s">
        <v>303</v>
      </c>
      <c r="C243" s="171">
        <v>42787</v>
      </c>
      <c r="D243" s="178"/>
      <c r="E243" s="157" t="s">
        <v>500</v>
      </c>
      <c r="F243" s="223" t="s">
        <v>305</v>
      </c>
      <c r="G243" s="223"/>
      <c r="H243" s="224" t="s">
        <v>306</v>
      </c>
      <c r="I243" s="157" t="s">
        <v>1009</v>
      </c>
      <c r="J243" s="157" t="s">
        <v>1009</v>
      </c>
      <c r="K243" s="157" t="s">
        <v>1009</v>
      </c>
      <c r="L243" s="223" t="s">
        <v>296</v>
      </c>
      <c r="M243" s="173"/>
      <c r="N243" s="173"/>
      <c r="O243" s="157" t="s">
        <v>271</v>
      </c>
      <c r="P243" s="158">
        <v>1921.06</v>
      </c>
      <c r="Q243" s="185"/>
      <c r="R243" s="175"/>
      <c r="S243" s="174">
        <f t="shared" si="9"/>
        <v>1921.06</v>
      </c>
      <c r="T243" s="157"/>
      <c r="U243" s="177"/>
      <c r="V243" s="157"/>
      <c r="W243" s="157"/>
      <c r="X243" s="176">
        <f t="shared" si="8"/>
        <v>0</v>
      </c>
      <c r="Y243" s="184"/>
      <c r="Z243" s="179"/>
      <c r="AA243" s="157"/>
      <c r="AB243" s="157"/>
      <c r="AC243" s="157"/>
    </row>
    <row r="244" spans="1:29" ht="12" customHeight="1" outlineLevel="1">
      <c r="A244" s="170" t="s">
        <v>302</v>
      </c>
      <c r="B244" s="157" t="s">
        <v>303</v>
      </c>
      <c r="C244" s="171">
        <v>42787</v>
      </c>
      <c r="D244" s="178"/>
      <c r="E244" s="157" t="s">
        <v>501</v>
      </c>
      <c r="F244" s="223" t="s">
        <v>305</v>
      </c>
      <c r="G244" s="223"/>
      <c r="H244" s="224" t="s">
        <v>306</v>
      </c>
      <c r="I244" s="157" t="s">
        <v>1009</v>
      </c>
      <c r="J244" s="157" t="s">
        <v>1009</v>
      </c>
      <c r="K244" s="157" t="s">
        <v>1009</v>
      </c>
      <c r="L244" s="223" t="s">
        <v>296</v>
      </c>
      <c r="M244" s="173"/>
      <c r="N244" s="173"/>
      <c r="O244" s="157" t="s">
        <v>271</v>
      </c>
      <c r="P244" s="158">
        <v>1530.46</v>
      </c>
      <c r="Q244" s="185"/>
      <c r="R244" s="175"/>
      <c r="S244" s="174">
        <f t="shared" si="9"/>
        <v>1530.46</v>
      </c>
      <c r="T244" s="157"/>
      <c r="U244" s="177"/>
      <c r="V244" s="157"/>
      <c r="W244" s="157"/>
      <c r="X244" s="176">
        <f t="shared" si="8"/>
        <v>0</v>
      </c>
      <c r="Y244" s="184"/>
      <c r="Z244" s="179"/>
      <c r="AA244" s="157"/>
      <c r="AB244" s="157"/>
      <c r="AC244" s="157"/>
    </row>
    <row r="245" spans="1:29" ht="12" customHeight="1" outlineLevel="1">
      <c r="A245" s="170" t="s">
        <v>302</v>
      </c>
      <c r="B245" s="157" t="s">
        <v>303</v>
      </c>
      <c r="C245" s="171">
        <v>42787</v>
      </c>
      <c r="D245" s="178"/>
      <c r="E245" s="157" t="s">
        <v>502</v>
      </c>
      <c r="F245" s="223" t="s">
        <v>305</v>
      </c>
      <c r="G245" s="223"/>
      <c r="H245" s="224" t="s">
        <v>306</v>
      </c>
      <c r="I245" s="157" t="s">
        <v>1009</v>
      </c>
      <c r="J245" s="157" t="s">
        <v>1009</v>
      </c>
      <c r="K245" s="157" t="s">
        <v>1009</v>
      </c>
      <c r="L245" s="223" t="s">
        <v>296</v>
      </c>
      <c r="M245" s="173"/>
      <c r="N245" s="173"/>
      <c r="O245" s="157" t="s">
        <v>271</v>
      </c>
      <c r="P245" s="158">
        <v>658.25</v>
      </c>
      <c r="Q245" s="185"/>
      <c r="R245" s="175"/>
      <c r="S245" s="174">
        <f t="shared" si="9"/>
        <v>658.25</v>
      </c>
      <c r="T245" s="157"/>
      <c r="U245" s="177"/>
      <c r="V245" s="157"/>
      <c r="W245" s="157"/>
      <c r="X245" s="176">
        <f t="shared" si="8"/>
        <v>0</v>
      </c>
      <c r="Y245" s="184"/>
      <c r="Z245" s="179"/>
      <c r="AA245" s="157"/>
      <c r="AB245" s="157"/>
      <c r="AC245" s="157"/>
    </row>
    <row r="246" spans="1:29" ht="12" customHeight="1" outlineLevel="1">
      <c r="A246" s="170" t="s">
        <v>302</v>
      </c>
      <c r="B246" s="157" t="s">
        <v>303</v>
      </c>
      <c r="C246" s="171">
        <v>42788</v>
      </c>
      <c r="D246" s="178"/>
      <c r="E246" s="157" t="s">
        <v>503</v>
      </c>
      <c r="F246" s="223" t="s">
        <v>305</v>
      </c>
      <c r="G246" s="223"/>
      <c r="H246" s="224" t="s">
        <v>306</v>
      </c>
      <c r="I246" s="157"/>
      <c r="J246" s="172"/>
      <c r="K246" s="157"/>
      <c r="L246" s="223" t="s">
        <v>296</v>
      </c>
      <c r="M246" s="173"/>
      <c r="N246" s="173"/>
      <c r="O246" s="157" t="s">
        <v>307</v>
      </c>
      <c r="P246" s="158"/>
      <c r="Q246" s="185"/>
      <c r="R246" s="175"/>
      <c r="S246" s="174">
        <f t="shared" si="9"/>
        <v>0</v>
      </c>
      <c r="T246" s="157"/>
      <c r="U246" s="177">
        <v>-66.33</v>
      </c>
      <c r="V246" s="157"/>
      <c r="W246" s="157"/>
      <c r="X246" s="176">
        <f t="shared" si="8"/>
        <v>-66.33</v>
      </c>
      <c r="Y246" s="184"/>
      <c r="Z246" s="179"/>
      <c r="AA246" s="157"/>
      <c r="AB246" s="157"/>
      <c r="AC246" s="157"/>
    </row>
    <row r="247" spans="1:29" ht="12" customHeight="1" outlineLevel="1">
      <c r="A247" s="170" t="s">
        <v>302</v>
      </c>
      <c r="B247" s="157" t="s">
        <v>303</v>
      </c>
      <c r="C247" s="171">
        <v>42788</v>
      </c>
      <c r="D247" s="178"/>
      <c r="E247" s="157" t="s">
        <v>304</v>
      </c>
      <c r="F247" s="223" t="s">
        <v>305</v>
      </c>
      <c r="G247" s="223"/>
      <c r="H247" s="224" t="s">
        <v>306</v>
      </c>
      <c r="I247" s="157"/>
      <c r="J247" s="172"/>
      <c r="K247" s="157"/>
      <c r="L247" s="223" t="s">
        <v>296</v>
      </c>
      <c r="M247" s="173"/>
      <c r="N247" s="173"/>
      <c r="O247" s="157" t="s">
        <v>308</v>
      </c>
      <c r="P247" s="158"/>
      <c r="Q247" s="185"/>
      <c r="R247" s="175"/>
      <c r="S247" s="174">
        <f t="shared" si="9"/>
        <v>0</v>
      </c>
      <c r="T247" s="157"/>
      <c r="U247" s="177">
        <v>-458.5</v>
      </c>
      <c r="V247" s="157"/>
      <c r="W247" s="157"/>
      <c r="X247" s="176">
        <f t="shared" si="8"/>
        <v>-458.5</v>
      </c>
      <c r="Y247" s="184"/>
      <c r="Z247" s="179"/>
      <c r="AA247" s="157"/>
      <c r="AB247" s="157"/>
      <c r="AC247" s="157"/>
    </row>
    <row r="248" spans="1:29" ht="12" customHeight="1" outlineLevel="1">
      <c r="A248" s="170" t="s">
        <v>302</v>
      </c>
      <c r="B248" s="157" t="s">
        <v>303</v>
      </c>
      <c r="C248" s="171">
        <v>42788</v>
      </c>
      <c r="D248" s="178"/>
      <c r="E248" s="157" t="s">
        <v>504</v>
      </c>
      <c r="F248" s="223" t="s">
        <v>305</v>
      </c>
      <c r="G248" s="223"/>
      <c r="H248" s="224" t="s">
        <v>306</v>
      </c>
      <c r="I248" s="157"/>
      <c r="J248" s="172"/>
      <c r="K248" s="157"/>
      <c r="L248" s="223" t="s">
        <v>296</v>
      </c>
      <c r="M248" s="173"/>
      <c r="N248" s="173"/>
      <c r="O248" s="157" t="s">
        <v>307</v>
      </c>
      <c r="P248" s="158"/>
      <c r="Q248" s="185"/>
      <c r="R248" s="175"/>
      <c r="S248" s="174">
        <f t="shared" si="9"/>
        <v>0</v>
      </c>
      <c r="T248" s="157"/>
      <c r="U248" s="177">
        <v>-69</v>
      </c>
      <c r="V248" s="157"/>
      <c r="W248" s="157"/>
      <c r="X248" s="176">
        <f t="shared" si="8"/>
        <v>-69</v>
      </c>
      <c r="Y248" s="184"/>
      <c r="Z248" s="179"/>
      <c r="AA248" s="157"/>
      <c r="AB248" s="157"/>
      <c r="AC248" s="157"/>
    </row>
    <row r="249" spans="1:29" ht="12" customHeight="1" outlineLevel="1">
      <c r="A249" s="170" t="s">
        <v>302</v>
      </c>
      <c r="B249" s="157" t="s">
        <v>303</v>
      </c>
      <c r="C249" s="171">
        <v>42788</v>
      </c>
      <c r="D249" s="178"/>
      <c r="E249" s="157" t="s">
        <v>505</v>
      </c>
      <c r="F249" s="223" t="s">
        <v>305</v>
      </c>
      <c r="G249" s="223"/>
      <c r="H249" s="224" t="s">
        <v>306</v>
      </c>
      <c r="I249" s="157" t="s">
        <v>1009</v>
      </c>
      <c r="J249" s="157" t="s">
        <v>1009</v>
      </c>
      <c r="K249" s="157" t="s">
        <v>1009</v>
      </c>
      <c r="L249" s="223" t="s">
        <v>296</v>
      </c>
      <c r="M249" s="173"/>
      <c r="N249" s="173"/>
      <c r="O249" s="157" t="s">
        <v>271</v>
      </c>
      <c r="P249" s="158">
        <v>1475.93</v>
      </c>
      <c r="Q249" s="185"/>
      <c r="R249" s="175"/>
      <c r="S249" s="174">
        <f t="shared" si="9"/>
        <v>1475.93</v>
      </c>
      <c r="T249" s="157"/>
      <c r="U249" s="177"/>
      <c r="V249" s="157"/>
      <c r="W249" s="157"/>
      <c r="X249" s="176">
        <f t="shared" si="8"/>
        <v>0</v>
      </c>
      <c r="Y249" s="184"/>
      <c r="Z249" s="179"/>
      <c r="AA249" s="157"/>
      <c r="AB249" s="157"/>
      <c r="AC249" s="157"/>
    </row>
    <row r="250" spans="1:29" ht="12" customHeight="1" outlineLevel="1">
      <c r="A250" s="170" t="s">
        <v>302</v>
      </c>
      <c r="B250" s="157" t="s">
        <v>303</v>
      </c>
      <c r="C250" s="171">
        <v>42788</v>
      </c>
      <c r="D250" s="178"/>
      <c r="E250" s="157" t="s">
        <v>506</v>
      </c>
      <c r="F250" s="223" t="s">
        <v>305</v>
      </c>
      <c r="G250" s="223"/>
      <c r="H250" s="224" t="s">
        <v>306</v>
      </c>
      <c r="I250" s="157" t="s">
        <v>1009</v>
      </c>
      <c r="J250" s="157" t="s">
        <v>1009</v>
      </c>
      <c r="K250" s="157" t="s">
        <v>1009</v>
      </c>
      <c r="L250" s="223" t="s">
        <v>296</v>
      </c>
      <c r="M250" s="173"/>
      <c r="N250" s="173"/>
      <c r="O250" s="157" t="s">
        <v>271</v>
      </c>
      <c r="P250" s="158">
        <v>867.64</v>
      </c>
      <c r="Q250" s="185"/>
      <c r="R250" s="175"/>
      <c r="S250" s="174">
        <f t="shared" si="9"/>
        <v>867.64</v>
      </c>
      <c r="T250" s="157"/>
      <c r="U250" s="177"/>
      <c r="V250" s="157"/>
      <c r="W250" s="157"/>
      <c r="X250" s="176">
        <f t="shared" si="8"/>
        <v>0</v>
      </c>
      <c r="Y250" s="184"/>
      <c r="Z250" s="179"/>
      <c r="AA250" s="157"/>
      <c r="AB250" s="157"/>
      <c r="AC250" s="157"/>
    </row>
    <row r="251" spans="1:29" ht="12" customHeight="1" outlineLevel="1">
      <c r="A251" s="170" t="s">
        <v>302</v>
      </c>
      <c r="B251" s="157" t="s">
        <v>303</v>
      </c>
      <c r="C251" s="171">
        <v>42789</v>
      </c>
      <c r="D251" s="178"/>
      <c r="E251" s="157" t="s">
        <v>507</v>
      </c>
      <c r="F251" s="223" t="s">
        <v>305</v>
      </c>
      <c r="G251" s="223"/>
      <c r="H251" s="224" t="s">
        <v>306</v>
      </c>
      <c r="I251" s="157"/>
      <c r="J251" s="172"/>
      <c r="K251" s="157"/>
      <c r="L251" s="223" t="s">
        <v>296</v>
      </c>
      <c r="M251" s="173"/>
      <c r="N251" s="173"/>
      <c r="O251" s="157" t="s">
        <v>307</v>
      </c>
      <c r="P251" s="158"/>
      <c r="Q251" s="185"/>
      <c r="R251" s="175"/>
      <c r="S251" s="174">
        <f t="shared" si="9"/>
        <v>0</v>
      </c>
      <c r="T251" s="157"/>
      <c r="U251" s="177">
        <v>-208.6</v>
      </c>
      <c r="V251" s="157"/>
      <c r="W251" s="157"/>
      <c r="X251" s="176">
        <f t="shared" si="8"/>
        <v>-208.6</v>
      </c>
      <c r="Y251" s="184"/>
      <c r="Z251" s="179"/>
      <c r="AA251" s="157"/>
      <c r="AB251" s="157"/>
      <c r="AC251" s="157"/>
    </row>
    <row r="252" spans="1:29" ht="12" customHeight="1" outlineLevel="1">
      <c r="A252" s="170" t="s">
        <v>302</v>
      </c>
      <c r="B252" s="157" t="s">
        <v>303</v>
      </c>
      <c r="C252" s="171">
        <v>42789</v>
      </c>
      <c r="D252" s="178"/>
      <c r="E252" s="157" t="s">
        <v>508</v>
      </c>
      <c r="F252" s="223" t="s">
        <v>305</v>
      </c>
      <c r="G252" s="223"/>
      <c r="H252" s="224" t="s">
        <v>306</v>
      </c>
      <c r="I252" s="157"/>
      <c r="J252" s="172"/>
      <c r="K252" s="157"/>
      <c r="L252" s="223" t="s">
        <v>296</v>
      </c>
      <c r="M252" s="173"/>
      <c r="N252" s="173"/>
      <c r="O252" s="157" t="s">
        <v>307</v>
      </c>
      <c r="P252" s="158"/>
      <c r="Q252" s="185"/>
      <c r="R252" s="175"/>
      <c r="S252" s="174">
        <f t="shared" si="9"/>
        <v>0</v>
      </c>
      <c r="T252" s="157"/>
      <c r="U252" s="177">
        <v>-69.010000000000005</v>
      </c>
      <c r="V252" s="157"/>
      <c r="W252" s="157"/>
      <c r="X252" s="176">
        <f t="shared" si="8"/>
        <v>-69.010000000000005</v>
      </c>
      <c r="Y252" s="184"/>
      <c r="Z252" s="179"/>
      <c r="AA252" s="157"/>
      <c r="AB252" s="157"/>
      <c r="AC252" s="157"/>
    </row>
    <row r="253" spans="1:29" ht="12" customHeight="1" outlineLevel="1">
      <c r="A253" s="170" t="s">
        <v>302</v>
      </c>
      <c r="B253" s="157" t="s">
        <v>303</v>
      </c>
      <c r="C253" s="171">
        <v>42789</v>
      </c>
      <c r="D253" s="178"/>
      <c r="E253" s="157" t="s">
        <v>304</v>
      </c>
      <c r="F253" s="223" t="s">
        <v>305</v>
      </c>
      <c r="G253" s="223"/>
      <c r="H253" s="224" t="s">
        <v>306</v>
      </c>
      <c r="I253" s="157"/>
      <c r="J253" s="172"/>
      <c r="K253" s="157"/>
      <c r="L253" s="223" t="s">
        <v>296</v>
      </c>
      <c r="M253" s="173"/>
      <c r="N253" s="173"/>
      <c r="O253" s="157" t="s">
        <v>307</v>
      </c>
      <c r="P253" s="158"/>
      <c r="Q253" s="185"/>
      <c r="R253" s="175"/>
      <c r="S253" s="174">
        <f t="shared" si="9"/>
        <v>0</v>
      </c>
      <c r="T253" s="157"/>
      <c r="U253" s="177">
        <v>-306.08999999999997</v>
      </c>
      <c r="V253" s="157"/>
      <c r="W253" s="157"/>
      <c r="X253" s="176">
        <f t="shared" si="8"/>
        <v>-306.08999999999997</v>
      </c>
      <c r="Y253" s="184"/>
      <c r="Z253" s="179"/>
      <c r="AA253" s="157"/>
      <c r="AB253" s="157"/>
      <c r="AC253" s="157"/>
    </row>
    <row r="254" spans="1:29" ht="12" customHeight="1" outlineLevel="1">
      <c r="A254" s="170" t="s">
        <v>302</v>
      </c>
      <c r="B254" s="157" t="s">
        <v>303</v>
      </c>
      <c r="C254" s="171">
        <v>42789</v>
      </c>
      <c r="D254" s="178"/>
      <c r="E254" s="157" t="s">
        <v>509</v>
      </c>
      <c r="F254" s="223" t="s">
        <v>305</v>
      </c>
      <c r="G254" s="223"/>
      <c r="H254" s="224" t="s">
        <v>306</v>
      </c>
      <c r="I254" s="157"/>
      <c r="J254" s="172"/>
      <c r="K254" s="157"/>
      <c r="L254" s="223" t="s">
        <v>296</v>
      </c>
      <c r="M254" s="173"/>
      <c r="N254" s="173"/>
      <c r="O254" s="157" t="s">
        <v>307</v>
      </c>
      <c r="P254" s="158"/>
      <c r="Q254" s="185"/>
      <c r="R254" s="175"/>
      <c r="S254" s="174">
        <f t="shared" si="9"/>
        <v>0</v>
      </c>
      <c r="T254" s="157"/>
      <c r="U254" s="177">
        <v>-40.49</v>
      </c>
      <c r="V254" s="157"/>
      <c r="W254" s="157"/>
      <c r="X254" s="176">
        <f t="shared" si="8"/>
        <v>-40.49</v>
      </c>
      <c r="Y254" s="184"/>
      <c r="Z254" s="179"/>
      <c r="AA254" s="157"/>
      <c r="AB254" s="157"/>
      <c r="AC254" s="157"/>
    </row>
    <row r="255" spans="1:29" ht="12" customHeight="1" outlineLevel="1">
      <c r="A255" s="170" t="s">
        <v>302</v>
      </c>
      <c r="B255" s="157" t="s">
        <v>303</v>
      </c>
      <c r="C255" s="171">
        <v>42789</v>
      </c>
      <c r="D255" s="178"/>
      <c r="E255" s="157" t="s">
        <v>510</v>
      </c>
      <c r="F255" s="223" t="s">
        <v>305</v>
      </c>
      <c r="G255" s="223"/>
      <c r="H255" s="224" t="s">
        <v>306</v>
      </c>
      <c r="I255" s="157"/>
      <c r="J255" s="172"/>
      <c r="K255" s="157"/>
      <c r="L255" s="223" t="s">
        <v>296</v>
      </c>
      <c r="M255" s="173"/>
      <c r="N255" s="173"/>
      <c r="O255" s="157" t="s">
        <v>307</v>
      </c>
      <c r="P255" s="158"/>
      <c r="Q255" s="185"/>
      <c r="R255" s="175"/>
      <c r="S255" s="174">
        <f t="shared" si="9"/>
        <v>0</v>
      </c>
      <c r="T255" s="157"/>
      <c r="U255" s="177">
        <v>-121.96</v>
      </c>
      <c r="V255" s="157"/>
      <c r="W255" s="157"/>
      <c r="X255" s="176">
        <f t="shared" si="8"/>
        <v>-121.96</v>
      </c>
      <c r="Y255" s="184"/>
      <c r="Z255" s="179"/>
      <c r="AA255" s="157"/>
      <c r="AB255" s="157"/>
      <c r="AC255" s="157"/>
    </row>
    <row r="256" spans="1:29" ht="12" customHeight="1" outlineLevel="1">
      <c r="A256" s="170" t="s">
        <v>302</v>
      </c>
      <c r="B256" s="157" t="s">
        <v>303</v>
      </c>
      <c r="C256" s="171">
        <v>42789</v>
      </c>
      <c r="D256" s="178"/>
      <c r="E256" s="157" t="s">
        <v>511</v>
      </c>
      <c r="F256" s="223" t="s">
        <v>305</v>
      </c>
      <c r="G256" s="223"/>
      <c r="H256" s="224" t="s">
        <v>306</v>
      </c>
      <c r="I256" s="157"/>
      <c r="J256" s="172"/>
      <c r="K256" s="157"/>
      <c r="L256" s="223" t="s">
        <v>296</v>
      </c>
      <c r="M256" s="173"/>
      <c r="N256" s="173"/>
      <c r="O256" s="157" t="s">
        <v>307</v>
      </c>
      <c r="P256" s="158"/>
      <c r="Q256" s="185"/>
      <c r="R256" s="175"/>
      <c r="S256" s="174">
        <f t="shared" si="9"/>
        <v>0</v>
      </c>
      <c r="T256" s="157"/>
      <c r="U256" s="177">
        <v>-169</v>
      </c>
      <c r="V256" s="157"/>
      <c r="W256" s="157"/>
      <c r="X256" s="176">
        <f t="shared" si="8"/>
        <v>-169</v>
      </c>
      <c r="Y256" s="184"/>
      <c r="Z256" s="179"/>
      <c r="AA256" s="157"/>
      <c r="AB256" s="157"/>
      <c r="AC256" s="157"/>
    </row>
    <row r="257" spans="1:29" ht="12" customHeight="1" outlineLevel="1">
      <c r="A257" s="170" t="s">
        <v>302</v>
      </c>
      <c r="B257" s="157" t="s">
        <v>303</v>
      </c>
      <c r="C257" s="171">
        <v>42789</v>
      </c>
      <c r="D257" s="178"/>
      <c r="E257" s="157" t="s">
        <v>512</v>
      </c>
      <c r="F257" s="223" t="s">
        <v>305</v>
      </c>
      <c r="G257" s="223"/>
      <c r="H257" s="224" t="s">
        <v>306</v>
      </c>
      <c r="I257" s="157" t="s">
        <v>1009</v>
      </c>
      <c r="J257" s="157" t="s">
        <v>1009</v>
      </c>
      <c r="K257" s="157" t="s">
        <v>1009</v>
      </c>
      <c r="L257" s="223" t="s">
        <v>296</v>
      </c>
      <c r="M257" s="173"/>
      <c r="N257" s="173"/>
      <c r="O257" s="157" t="s">
        <v>271</v>
      </c>
      <c r="P257" s="158">
        <v>1115.55</v>
      </c>
      <c r="Q257" s="185"/>
      <c r="R257" s="175"/>
      <c r="S257" s="174">
        <f t="shared" si="9"/>
        <v>1115.55</v>
      </c>
      <c r="T257" s="157"/>
      <c r="U257" s="177"/>
      <c r="V257" s="157"/>
      <c r="W257" s="157"/>
      <c r="X257" s="176">
        <f t="shared" si="8"/>
        <v>0</v>
      </c>
      <c r="Y257" s="184"/>
      <c r="Z257" s="179"/>
      <c r="AA257" s="157"/>
      <c r="AB257" s="157"/>
      <c r="AC257" s="157"/>
    </row>
    <row r="258" spans="1:29" ht="12" customHeight="1" outlineLevel="1">
      <c r="A258" s="170" t="s">
        <v>302</v>
      </c>
      <c r="B258" s="157" t="s">
        <v>303</v>
      </c>
      <c r="C258" s="171">
        <v>42790</v>
      </c>
      <c r="D258" s="178"/>
      <c r="E258" s="157" t="s">
        <v>304</v>
      </c>
      <c r="F258" s="223" t="s">
        <v>305</v>
      </c>
      <c r="G258" s="223"/>
      <c r="H258" s="224" t="s">
        <v>306</v>
      </c>
      <c r="I258" s="157"/>
      <c r="J258" s="172"/>
      <c r="K258" s="157"/>
      <c r="L258" s="223" t="s">
        <v>296</v>
      </c>
      <c r="M258" s="173"/>
      <c r="N258" s="173"/>
      <c r="O258" s="157" t="s">
        <v>308</v>
      </c>
      <c r="P258" s="158"/>
      <c r="Q258" s="185"/>
      <c r="R258" s="175"/>
      <c r="S258" s="174">
        <f t="shared" si="9"/>
        <v>0</v>
      </c>
      <c r="T258" s="157"/>
      <c r="U258" s="177">
        <v>-700</v>
      </c>
      <c r="V258" s="157"/>
      <c r="W258" s="157"/>
      <c r="X258" s="176">
        <f t="shared" si="8"/>
        <v>-700</v>
      </c>
      <c r="Y258" s="184"/>
      <c r="Z258" s="179"/>
      <c r="AA258" s="157"/>
      <c r="AB258" s="157"/>
      <c r="AC258" s="157"/>
    </row>
    <row r="259" spans="1:29" ht="12" customHeight="1" outlineLevel="1">
      <c r="A259" s="170" t="s">
        <v>302</v>
      </c>
      <c r="B259" s="157" t="s">
        <v>303</v>
      </c>
      <c r="C259" s="171">
        <v>42790</v>
      </c>
      <c r="D259" s="178"/>
      <c r="E259" s="157" t="s">
        <v>513</v>
      </c>
      <c r="F259" s="223" t="s">
        <v>305</v>
      </c>
      <c r="G259" s="223"/>
      <c r="H259" s="224" t="s">
        <v>306</v>
      </c>
      <c r="I259" s="157"/>
      <c r="J259" s="172"/>
      <c r="K259" s="157"/>
      <c r="L259" s="223" t="s">
        <v>296</v>
      </c>
      <c r="M259" s="173"/>
      <c r="N259" s="173"/>
      <c r="O259" s="157" t="s">
        <v>307</v>
      </c>
      <c r="P259" s="158"/>
      <c r="Q259" s="185"/>
      <c r="R259" s="175"/>
      <c r="S259" s="174">
        <f t="shared" si="9"/>
        <v>0</v>
      </c>
      <c r="T259" s="157"/>
      <c r="U259" s="177">
        <v>-14.47</v>
      </c>
      <c r="V259" s="157"/>
      <c r="W259" s="157"/>
      <c r="X259" s="176">
        <f t="shared" ref="X259:X320" si="10">U259</f>
        <v>-14.47</v>
      </c>
      <c r="Y259" s="184"/>
      <c r="Z259" s="179"/>
      <c r="AA259" s="157"/>
      <c r="AB259" s="157"/>
      <c r="AC259" s="157"/>
    </row>
    <row r="260" spans="1:29" ht="12" customHeight="1" outlineLevel="1">
      <c r="A260" s="170" t="s">
        <v>302</v>
      </c>
      <c r="B260" s="157" t="s">
        <v>303</v>
      </c>
      <c r="C260" s="171">
        <v>42790</v>
      </c>
      <c r="D260" s="178"/>
      <c r="E260" s="157" t="s">
        <v>514</v>
      </c>
      <c r="F260" s="223" t="s">
        <v>305</v>
      </c>
      <c r="G260" s="223"/>
      <c r="H260" s="224" t="s">
        <v>306</v>
      </c>
      <c r="I260" s="157"/>
      <c r="J260" s="172"/>
      <c r="K260" s="157"/>
      <c r="L260" s="223" t="s">
        <v>296</v>
      </c>
      <c r="M260" s="173"/>
      <c r="N260" s="173"/>
      <c r="O260" s="157" t="s">
        <v>307</v>
      </c>
      <c r="P260" s="158"/>
      <c r="Q260" s="185"/>
      <c r="R260" s="175"/>
      <c r="S260" s="174">
        <f t="shared" si="9"/>
        <v>0</v>
      </c>
      <c r="T260" s="157"/>
      <c r="U260" s="177">
        <v>-26.42</v>
      </c>
      <c r="V260" s="157"/>
      <c r="W260" s="157"/>
      <c r="X260" s="176">
        <f t="shared" si="10"/>
        <v>-26.42</v>
      </c>
      <c r="Y260" s="184"/>
      <c r="Z260" s="179"/>
      <c r="AA260" s="157"/>
      <c r="AB260" s="157"/>
      <c r="AC260" s="157"/>
    </row>
    <row r="261" spans="1:29" ht="12" customHeight="1" outlineLevel="1">
      <c r="A261" s="170" t="s">
        <v>302</v>
      </c>
      <c r="B261" s="157" t="s">
        <v>303</v>
      </c>
      <c r="C261" s="171">
        <v>42790</v>
      </c>
      <c r="D261" s="178"/>
      <c r="E261" s="157" t="s">
        <v>515</v>
      </c>
      <c r="F261" s="223" t="s">
        <v>305</v>
      </c>
      <c r="G261" s="223"/>
      <c r="H261" s="224" t="s">
        <v>306</v>
      </c>
      <c r="I261" s="157"/>
      <c r="J261" s="172"/>
      <c r="K261" s="157"/>
      <c r="L261" s="223" t="s">
        <v>296</v>
      </c>
      <c r="M261" s="173"/>
      <c r="N261" s="173"/>
      <c r="O261" s="157" t="s">
        <v>307</v>
      </c>
      <c r="P261" s="158"/>
      <c r="Q261" s="185"/>
      <c r="R261" s="175"/>
      <c r="S261" s="174">
        <f t="shared" si="9"/>
        <v>0</v>
      </c>
      <c r="T261" s="157"/>
      <c r="U261" s="177">
        <v>-386.67</v>
      </c>
      <c r="V261" s="157"/>
      <c r="W261" s="157"/>
      <c r="X261" s="176">
        <f t="shared" si="10"/>
        <v>-386.67</v>
      </c>
      <c r="Y261" s="184"/>
      <c r="Z261" s="179"/>
      <c r="AA261" s="157"/>
      <c r="AB261" s="157"/>
      <c r="AC261" s="157"/>
    </row>
    <row r="262" spans="1:29" ht="12" customHeight="1" outlineLevel="1">
      <c r="A262" s="170" t="s">
        <v>302</v>
      </c>
      <c r="B262" s="157" t="s">
        <v>303</v>
      </c>
      <c r="C262" s="171">
        <v>42790</v>
      </c>
      <c r="D262" s="178"/>
      <c r="E262" s="157" t="s">
        <v>516</v>
      </c>
      <c r="F262" s="223" t="s">
        <v>305</v>
      </c>
      <c r="G262" s="223"/>
      <c r="H262" s="224" t="s">
        <v>306</v>
      </c>
      <c r="I262" s="157" t="s">
        <v>1009</v>
      </c>
      <c r="J262" s="157" t="s">
        <v>1009</v>
      </c>
      <c r="K262" s="157" t="s">
        <v>1009</v>
      </c>
      <c r="L262" s="223" t="s">
        <v>296</v>
      </c>
      <c r="M262" s="173"/>
      <c r="N262" s="173"/>
      <c r="O262" s="157" t="s">
        <v>271</v>
      </c>
      <c r="P262" s="158">
        <v>924.97</v>
      </c>
      <c r="Q262" s="185"/>
      <c r="R262" s="175"/>
      <c r="S262" s="174">
        <f t="shared" si="9"/>
        <v>924.97</v>
      </c>
      <c r="T262" s="157"/>
      <c r="U262" s="177"/>
      <c r="V262" s="157"/>
      <c r="W262" s="157"/>
      <c r="X262" s="176">
        <f t="shared" si="10"/>
        <v>0</v>
      </c>
      <c r="Y262" s="184"/>
      <c r="Z262" s="179"/>
      <c r="AA262" s="157"/>
      <c r="AB262" s="157"/>
      <c r="AC262" s="157"/>
    </row>
    <row r="263" spans="1:29" ht="12" customHeight="1" outlineLevel="1">
      <c r="A263" s="170" t="s">
        <v>302</v>
      </c>
      <c r="B263" s="157" t="s">
        <v>303</v>
      </c>
      <c r="C263" s="171">
        <v>42793</v>
      </c>
      <c r="D263" s="178"/>
      <c r="E263" s="157" t="s">
        <v>304</v>
      </c>
      <c r="F263" s="223" t="s">
        <v>305</v>
      </c>
      <c r="G263" s="223"/>
      <c r="H263" s="224" t="s">
        <v>306</v>
      </c>
      <c r="I263" s="157"/>
      <c r="J263" s="172"/>
      <c r="K263" s="157"/>
      <c r="L263" s="223" t="s">
        <v>296</v>
      </c>
      <c r="M263" s="173"/>
      <c r="N263" s="173"/>
      <c r="O263" s="157" t="s">
        <v>308</v>
      </c>
      <c r="P263" s="158"/>
      <c r="Q263" s="185"/>
      <c r="R263" s="175"/>
      <c r="S263" s="174">
        <f t="shared" si="9"/>
        <v>0</v>
      </c>
      <c r="T263" s="157"/>
      <c r="U263" s="177">
        <v>-388</v>
      </c>
      <c r="V263" s="157"/>
      <c r="W263" s="157"/>
      <c r="X263" s="176">
        <f t="shared" si="10"/>
        <v>-388</v>
      </c>
      <c r="Y263" s="184"/>
      <c r="Z263" s="179"/>
      <c r="AA263" s="157"/>
      <c r="AB263" s="157"/>
      <c r="AC263" s="157"/>
    </row>
    <row r="264" spans="1:29" ht="12" customHeight="1" outlineLevel="1">
      <c r="A264" s="170" t="s">
        <v>302</v>
      </c>
      <c r="B264" s="157" t="s">
        <v>303</v>
      </c>
      <c r="C264" s="171">
        <v>42793</v>
      </c>
      <c r="D264" s="178"/>
      <c r="E264" s="157" t="s">
        <v>304</v>
      </c>
      <c r="F264" s="223" t="s">
        <v>305</v>
      </c>
      <c r="G264" s="223"/>
      <c r="H264" s="224" t="s">
        <v>306</v>
      </c>
      <c r="I264" s="157"/>
      <c r="J264" s="172"/>
      <c r="K264" s="157"/>
      <c r="L264" s="223" t="s">
        <v>296</v>
      </c>
      <c r="M264" s="173"/>
      <c r="N264" s="173"/>
      <c r="O264" s="157" t="s">
        <v>308</v>
      </c>
      <c r="P264" s="158"/>
      <c r="Q264" s="185"/>
      <c r="R264" s="175"/>
      <c r="S264" s="174">
        <f t="shared" si="9"/>
        <v>0</v>
      </c>
      <c r="T264" s="157"/>
      <c r="U264" s="177">
        <v>-630</v>
      </c>
      <c r="V264" s="157"/>
      <c r="W264" s="157"/>
      <c r="X264" s="176">
        <f t="shared" si="10"/>
        <v>-630</v>
      </c>
      <c r="Y264" s="184"/>
      <c r="Z264" s="179"/>
      <c r="AA264" s="157"/>
      <c r="AB264" s="157"/>
      <c r="AC264" s="157"/>
    </row>
    <row r="265" spans="1:29" ht="12" customHeight="1" outlineLevel="1">
      <c r="A265" s="170" t="s">
        <v>302</v>
      </c>
      <c r="B265" s="157" t="s">
        <v>303</v>
      </c>
      <c r="C265" s="171">
        <v>42793</v>
      </c>
      <c r="D265" s="178"/>
      <c r="E265" s="157" t="s">
        <v>517</v>
      </c>
      <c r="F265" s="223" t="s">
        <v>305</v>
      </c>
      <c r="G265" s="223"/>
      <c r="H265" s="224" t="s">
        <v>306</v>
      </c>
      <c r="I265" s="157"/>
      <c r="J265" s="172"/>
      <c r="K265" s="157"/>
      <c r="L265" s="223" t="s">
        <v>296</v>
      </c>
      <c r="M265" s="173"/>
      <c r="N265" s="173"/>
      <c r="O265" s="157" t="s">
        <v>307</v>
      </c>
      <c r="P265" s="158"/>
      <c r="Q265" s="185"/>
      <c r="R265" s="175"/>
      <c r="S265" s="174">
        <f t="shared" si="9"/>
        <v>0</v>
      </c>
      <c r="T265" s="157"/>
      <c r="U265" s="177">
        <v>-223.65</v>
      </c>
      <c r="V265" s="157"/>
      <c r="W265" s="157"/>
      <c r="X265" s="176">
        <f t="shared" si="10"/>
        <v>-223.65</v>
      </c>
      <c r="Y265" s="184"/>
      <c r="Z265" s="179"/>
      <c r="AA265" s="157"/>
      <c r="AB265" s="157"/>
      <c r="AC265" s="157"/>
    </row>
    <row r="266" spans="1:29" ht="12" customHeight="1" outlineLevel="1">
      <c r="A266" s="170" t="s">
        <v>302</v>
      </c>
      <c r="B266" s="157" t="s">
        <v>303</v>
      </c>
      <c r="C266" s="171">
        <v>42793</v>
      </c>
      <c r="D266" s="178"/>
      <c r="E266" s="157" t="s">
        <v>518</v>
      </c>
      <c r="F266" s="223" t="s">
        <v>305</v>
      </c>
      <c r="G266" s="223"/>
      <c r="H266" s="224" t="s">
        <v>306</v>
      </c>
      <c r="I266" s="157"/>
      <c r="J266" s="172"/>
      <c r="K266" s="157"/>
      <c r="L266" s="223" t="s">
        <v>296</v>
      </c>
      <c r="M266" s="173"/>
      <c r="N266" s="173"/>
      <c r="O266" s="157" t="s">
        <v>307</v>
      </c>
      <c r="P266" s="158"/>
      <c r="Q266" s="185"/>
      <c r="R266" s="175"/>
      <c r="S266" s="174">
        <f t="shared" si="9"/>
        <v>0</v>
      </c>
      <c r="T266" s="157"/>
      <c r="U266" s="177">
        <v>-40</v>
      </c>
      <c r="V266" s="157"/>
      <c r="W266" s="157"/>
      <c r="X266" s="176">
        <f t="shared" si="10"/>
        <v>-40</v>
      </c>
      <c r="Y266" s="184"/>
      <c r="Z266" s="179"/>
      <c r="AA266" s="157"/>
      <c r="AB266" s="157"/>
      <c r="AC266" s="157"/>
    </row>
    <row r="267" spans="1:29" ht="12" customHeight="1" outlineLevel="1">
      <c r="A267" s="170" t="s">
        <v>302</v>
      </c>
      <c r="B267" s="157" t="s">
        <v>303</v>
      </c>
      <c r="C267" s="171">
        <v>42793</v>
      </c>
      <c r="D267" s="178"/>
      <c r="E267" s="157" t="s">
        <v>519</v>
      </c>
      <c r="F267" s="223" t="s">
        <v>305</v>
      </c>
      <c r="G267" s="223"/>
      <c r="H267" s="224" t="s">
        <v>306</v>
      </c>
      <c r="I267" s="157"/>
      <c r="J267" s="172"/>
      <c r="K267" s="157"/>
      <c r="L267" s="223" t="s">
        <v>296</v>
      </c>
      <c r="M267" s="173"/>
      <c r="N267" s="173"/>
      <c r="O267" s="157" t="s">
        <v>307</v>
      </c>
      <c r="P267" s="158"/>
      <c r="Q267" s="185"/>
      <c r="R267" s="175"/>
      <c r="S267" s="174">
        <f t="shared" si="9"/>
        <v>0</v>
      </c>
      <c r="T267" s="157"/>
      <c r="U267" s="177">
        <v>-10.15</v>
      </c>
      <c r="V267" s="157"/>
      <c r="W267" s="157"/>
      <c r="X267" s="176">
        <f t="shared" si="10"/>
        <v>-10.15</v>
      </c>
      <c r="Y267" s="184"/>
      <c r="Z267" s="179"/>
      <c r="AA267" s="157"/>
      <c r="AB267" s="157"/>
      <c r="AC267" s="157"/>
    </row>
    <row r="268" spans="1:29" ht="12" customHeight="1" outlineLevel="1">
      <c r="A268" s="170" t="s">
        <v>302</v>
      </c>
      <c r="B268" s="157" t="s">
        <v>303</v>
      </c>
      <c r="C268" s="171">
        <v>42793</v>
      </c>
      <c r="D268" s="178"/>
      <c r="E268" s="157" t="s">
        <v>520</v>
      </c>
      <c r="F268" s="223" t="s">
        <v>305</v>
      </c>
      <c r="G268" s="223"/>
      <c r="H268" s="224" t="s">
        <v>306</v>
      </c>
      <c r="I268" s="157"/>
      <c r="J268" s="172"/>
      <c r="K268" s="157"/>
      <c r="L268" s="223" t="s">
        <v>296</v>
      </c>
      <c r="M268" s="173"/>
      <c r="N268" s="173"/>
      <c r="O268" s="157" t="s">
        <v>307</v>
      </c>
      <c r="P268" s="158"/>
      <c r="Q268" s="185"/>
      <c r="R268" s="175"/>
      <c r="S268" s="174">
        <f t="shared" si="9"/>
        <v>0</v>
      </c>
      <c r="T268" s="157"/>
      <c r="U268" s="177">
        <v>-97.88</v>
      </c>
      <c r="V268" s="157"/>
      <c r="W268" s="157"/>
      <c r="X268" s="176">
        <f t="shared" si="10"/>
        <v>-97.88</v>
      </c>
      <c r="Y268" s="184"/>
      <c r="Z268" s="179"/>
      <c r="AA268" s="157"/>
      <c r="AB268" s="157"/>
      <c r="AC268" s="157"/>
    </row>
    <row r="269" spans="1:29" ht="12" customHeight="1" outlineLevel="1">
      <c r="A269" s="170" t="s">
        <v>302</v>
      </c>
      <c r="B269" s="157" t="s">
        <v>303</v>
      </c>
      <c r="C269" s="171">
        <v>42793</v>
      </c>
      <c r="D269" s="178"/>
      <c r="E269" s="157" t="s">
        <v>521</v>
      </c>
      <c r="F269" s="223" t="s">
        <v>305</v>
      </c>
      <c r="G269" s="223"/>
      <c r="H269" s="224" t="s">
        <v>306</v>
      </c>
      <c r="I269" s="157" t="s">
        <v>1009</v>
      </c>
      <c r="J269" s="157" t="s">
        <v>1009</v>
      </c>
      <c r="K269" s="157" t="s">
        <v>1009</v>
      </c>
      <c r="L269" s="223" t="s">
        <v>296</v>
      </c>
      <c r="M269" s="173"/>
      <c r="N269" s="173"/>
      <c r="O269" s="157" t="s">
        <v>271</v>
      </c>
      <c r="P269" s="158">
        <v>2159.23</v>
      </c>
      <c r="Q269" s="185"/>
      <c r="R269" s="175"/>
      <c r="S269" s="174">
        <f t="shared" si="9"/>
        <v>2159.23</v>
      </c>
      <c r="T269" s="157"/>
      <c r="U269" s="177"/>
      <c r="V269" s="157"/>
      <c r="W269" s="157"/>
      <c r="X269" s="176">
        <f t="shared" si="10"/>
        <v>0</v>
      </c>
      <c r="Y269" s="184"/>
      <c r="Z269" s="179"/>
      <c r="AA269" s="157"/>
      <c r="AB269" s="157"/>
      <c r="AC269" s="157"/>
    </row>
    <row r="270" spans="1:29" ht="12" customHeight="1" outlineLevel="1">
      <c r="A270" s="170" t="s">
        <v>302</v>
      </c>
      <c r="B270" s="157" t="s">
        <v>303</v>
      </c>
      <c r="C270" s="171">
        <v>42793</v>
      </c>
      <c r="D270" s="178"/>
      <c r="E270" s="157" t="s">
        <v>522</v>
      </c>
      <c r="F270" s="223" t="s">
        <v>305</v>
      </c>
      <c r="G270" s="223"/>
      <c r="H270" s="224" t="s">
        <v>306</v>
      </c>
      <c r="I270" s="157" t="s">
        <v>1009</v>
      </c>
      <c r="J270" s="157" t="s">
        <v>1009</v>
      </c>
      <c r="K270" s="157" t="s">
        <v>1009</v>
      </c>
      <c r="L270" s="223" t="s">
        <v>296</v>
      </c>
      <c r="M270" s="173"/>
      <c r="N270" s="173"/>
      <c r="O270" s="157" t="s">
        <v>271</v>
      </c>
      <c r="P270" s="158">
        <v>1396.97</v>
      </c>
      <c r="Q270" s="185"/>
      <c r="R270" s="175"/>
      <c r="S270" s="174">
        <f t="shared" si="9"/>
        <v>1396.97</v>
      </c>
      <c r="T270" s="157"/>
      <c r="U270" s="177"/>
      <c r="V270" s="157"/>
      <c r="W270" s="157"/>
      <c r="X270" s="176">
        <f t="shared" si="10"/>
        <v>0</v>
      </c>
      <c r="Y270" s="184"/>
      <c r="Z270" s="179"/>
      <c r="AA270" s="157"/>
      <c r="AB270" s="157"/>
      <c r="AC270" s="157"/>
    </row>
    <row r="271" spans="1:29" ht="12" customHeight="1" outlineLevel="1">
      <c r="A271" s="170" t="s">
        <v>302</v>
      </c>
      <c r="B271" s="157" t="s">
        <v>303</v>
      </c>
      <c r="C271" s="171">
        <v>42793</v>
      </c>
      <c r="D271" s="178"/>
      <c r="E271" s="157" t="s">
        <v>523</v>
      </c>
      <c r="F271" s="223" t="s">
        <v>305</v>
      </c>
      <c r="G271" s="223"/>
      <c r="H271" s="224" t="s">
        <v>306</v>
      </c>
      <c r="I271" s="157" t="s">
        <v>1009</v>
      </c>
      <c r="J271" s="157" t="s">
        <v>1009</v>
      </c>
      <c r="K271" s="157" t="s">
        <v>1009</v>
      </c>
      <c r="L271" s="223" t="s">
        <v>296</v>
      </c>
      <c r="M271" s="173"/>
      <c r="N271" s="173"/>
      <c r="O271" s="157" t="s">
        <v>271</v>
      </c>
      <c r="P271" s="158">
        <v>1395.31</v>
      </c>
      <c r="Q271" s="185"/>
      <c r="R271" s="175"/>
      <c r="S271" s="174">
        <f t="shared" ref="S271:S273" si="11">P271</f>
        <v>1395.31</v>
      </c>
      <c r="T271" s="157"/>
      <c r="U271" s="177"/>
      <c r="V271" s="157"/>
      <c r="W271" s="157"/>
      <c r="X271" s="176">
        <f t="shared" si="10"/>
        <v>0</v>
      </c>
      <c r="Y271" s="184"/>
      <c r="Z271" s="179"/>
      <c r="AA271" s="157"/>
      <c r="AB271" s="157"/>
      <c r="AC271" s="157"/>
    </row>
    <row r="272" spans="1:29" ht="12" customHeight="1" outlineLevel="1">
      <c r="A272" s="170" t="s">
        <v>302</v>
      </c>
      <c r="B272" s="157" t="s">
        <v>303</v>
      </c>
      <c r="C272" s="171">
        <v>42794</v>
      </c>
      <c r="D272" s="178"/>
      <c r="E272" s="157" t="s">
        <v>524</v>
      </c>
      <c r="F272" s="223" t="s">
        <v>305</v>
      </c>
      <c r="G272" s="223"/>
      <c r="H272" s="224" t="s">
        <v>306</v>
      </c>
      <c r="I272" s="157"/>
      <c r="J272" s="172"/>
      <c r="K272" s="157"/>
      <c r="L272" s="223" t="s">
        <v>296</v>
      </c>
      <c r="M272" s="173"/>
      <c r="N272" s="173"/>
      <c r="O272" s="157" t="s">
        <v>307</v>
      </c>
      <c r="P272" s="158"/>
      <c r="Q272" s="185"/>
      <c r="R272" s="175"/>
      <c r="S272" s="174">
        <f t="shared" si="11"/>
        <v>0</v>
      </c>
      <c r="T272" s="157"/>
      <c r="U272" s="177">
        <v>-142.38999999999999</v>
      </c>
      <c r="V272" s="157"/>
      <c r="W272" s="157"/>
      <c r="X272" s="176">
        <f t="shared" si="10"/>
        <v>-142.38999999999999</v>
      </c>
      <c r="Y272" s="184"/>
      <c r="Z272" s="179"/>
      <c r="AA272" s="157"/>
      <c r="AB272" s="157"/>
      <c r="AC272" s="157"/>
    </row>
    <row r="273" spans="1:29" ht="12" customHeight="1">
      <c r="A273" s="170" t="s">
        <v>302</v>
      </c>
      <c r="B273" s="157" t="s">
        <v>303</v>
      </c>
      <c r="C273" s="171">
        <v>42794</v>
      </c>
      <c r="D273" s="178"/>
      <c r="E273" s="157" t="s">
        <v>525</v>
      </c>
      <c r="F273" s="223" t="s">
        <v>305</v>
      </c>
      <c r="G273" s="223"/>
      <c r="H273" s="224" t="s">
        <v>306</v>
      </c>
      <c r="I273" s="157" t="s">
        <v>1009</v>
      </c>
      <c r="J273" s="157" t="s">
        <v>1009</v>
      </c>
      <c r="K273" s="157" t="s">
        <v>1009</v>
      </c>
      <c r="L273" s="223" t="s">
        <v>296</v>
      </c>
      <c r="M273" s="173"/>
      <c r="N273" s="173"/>
      <c r="O273" s="157" t="s">
        <v>271</v>
      </c>
      <c r="P273" s="158">
        <v>623.57000000000005</v>
      </c>
      <c r="Q273" s="185"/>
      <c r="R273" s="175"/>
      <c r="S273" s="174">
        <f t="shared" si="11"/>
        <v>623.57000000000005</v>
      </c>
      <c r="T273" s="157"/>
      <c r="U273" s="177"/>
      <c r="V273" s="157"/>
      <c r="W273" s="157"/>
      <c r="X273" s="176">
        <f t="shared" si="10"/>
        <v>0</v>
      </c>
      <c r="Y273" s="184"/>
      <c r="Z273" s="179"/>
      <c r="AA273" s="157"/>
      <c r="AB273" s="157"/>
      <c r="AC273" s="157"/>
    </row>
    <row r="274" spans="1:29" ht="12" customHeight="1" thickBot="1">
      <c r="A274" s="170"/>
      <c r="B274" s="157"/>
      <c r="C274" s="171"/>
      <c r="D274" s="178"/>
      <c r="E274" s="157"/>
      <c r="F274" s="223"/>
      <c r="G274" s="223"/>
      <c r="I274" s="157"/>
      <c r="J274" s="172"/>
      <c r="K274" s="157"/>
      <c r="L274" s="223"/>
      <c r="M274" s="173"/>
      <c r="N274" s="173"/>
      <c r="O274" s="157"/>
      <c r="P274" s="297">
        <f>SUM(P144:P273)</f>
        <v>40372.010000000009</v>
      </c>
      <c r="Q274" s="297">
        <f t="shared" ref="Q274:X274" si="12">SUM(Q144:Q273)</f>
        <v>0</v>
      </c>
      <c r="R274" s="297">
        <f t="shared" si="12"/>
        <v>0</v>
      </c>
      <c r="S274" s="297">
        <f t="shared" si="12"/>
        <v>40372.010000000009</v>
      </c>
      <c r="T274" s="297">
        <f t="shared" si="12"/>
        <v>0</v>
      </c>
      <c r="U274" s="297">
        <f t="shared" si="12"/>
        <v>-22272.59</v>
      </c>
      <c r="V274" s="297">
        <f t="shared" si="12"/>
        <v>0</v>
      </c>
      <c r="W274" s="297">
        <f t="shared" si="12"/>
        <v>0</v>
      </c>
      <c r="X274" s="297">
        <f t="shared" si="12"/>
        <v>-22272.59</v>
      </c>
      <c r="Y274" s="298">
        <f>X274+S274</f>
        <v>18099.420000000009</v>
      </c>
      <c r="Z274" s="299">
        <f>Y274/S274</f>
        <v>0.4483160486683721</v>
      </c>
      <c r="AA274" s="157"/>
      <c r="AB274" s="157"/>
      <c r="AC274" s="157"/>
    </row>
    <row r="275" spans="1:29" ht="15.75" outlineLevel="1" thickTop="1">
      <c r="A275" s="170" t="s">
        <v>302</v>
      </c>
      <c r="B275" s="157" t="s">
        <v>303</v>
      </c>
      <c r="C275" s="171">
        <v>42795</v>
      </c>
      <c r="D275" s="178"/>
      <c r="E275" s="157" t="s">
        <v>526</v>
      </c>
      <c r="F275" s="223" t="s">
        <v>305</v>
      </c>
      <c r="G275" s="223"/>
      <c r="H275" s="224" t="s">
        <v>306</v>
      </c>
      <c r="I275" s="157"/>
      <c r="J275" s="172"/>
      <c r="K275" s="157"/>
      <c r="L275" s="223" t="s">
        <v>296</v>
      </c>
      <c r="M275" s="173"/>
      <c r="N275" s="173"/>
      <c r="O275" s="157" t="s">
        <v>307</v>
      </c>
      <c r="P275" s="158"/>
      <c r="Q275" s="185"/>
      <c r="R275" s="175"/>
      <c r="S275" s="174">
        <f t="shared" ref="S275:S338" si="13">P275</f>
        <v>0</v>
      </c>
      <c r="T275" s="157"/>
      <c r="U275" s="177">
        <v>-27.35</v>
      </c>
      <c r="V275" s="157"/>
      <c r="W275" s="157"/>
      <c r="X275" s="176">
        <f t="shared" si="10"/>
        <v>-27.35</v>
      </c>
      <c r="Y275" s="228"/>
      <c r="Z275" s="311"/>
      <c r="AA275" s="157"/>
      <c r="AB275" s="157"/>
      <c r="AC275" s="157"/>
    </row>
    <row r="276" spans="1:29" outlineLevel="1">
      <c r="A276" s="170" t="s">
        <v>302</v>
      </c>
      <c r="B276" s="157" t="s">
        <v>303</v>
      </c>
      <c r="C276" s="171">
        <v>42795</v>
      </c>
      <c r="D276" s="178"/>
      <c r="E276" s="157" t="s">
        <v>527</v>
      </c>
      <c r="F276" s="223" t="s">
        <v>305</v>
      </c>
      <c r="G276" s="223"/>
      <c r="H276" s="224" t="s">
        <v>306</v>
      </c>
      <c r="I276" s="157"/>
      <c r="J276" s="172"/>
      <c r="K276" s="157"/>
      <c r="L276" s="223" t="s">
        <v>296</v>
      </c>
      <c r="M276" s="173"/>
      <c r="N276" s="173"/>
      <c r="O276" s="157" t="s">
        <v>307</v>
      </c>
      <c r="P276" s="158"/>
      <c r="Q276" s="185"/>
      <c r="R276" s="175"/>
      <c r="S276" s="174">
        <f t="shared" si="13"/>
        <v>0</v>
      </c>
      <c r="T276" s="157"/>
      <c r="U276" s="177">
        <v>-10</v>
      </c>
      <c r="V276" s="157"/>
      <c r="W276" s="157"/>
      <c r="X276" s="176">
        <f t="shared" si="10"/>
        <v>-10</v>
      </c>
      <c r="Y276" s="228"/>
      <c r="Z276" s="311"/>
      <c r="AA276" s="157"/>
      <c r="AB276" s="157"/>
      <c r="AC276" s="157"/>
    </row>
    <row r="277" spans="1:29" outlineLevel="1">
      <c r="A277" s="170" t="s">
        <v>302</v>
      </c>
      <c r="B277" s="157" t="s">
        <v>303</v>
      </c>
      <c r="C277" s="171">
        <v>42795</v>
      </c>
      <c r="D277" s="178"/>
      <c r="E277" s="157" t="s">
        <v>528</v>
      </c>
      <c r="F277" s="223" t="s">
        <v>305</v>
      </c>
      <c r="G277" s="223"/>
      <c r="H277" s="224" t="s">
        <v>306</v>
      </c>
      <c r="I277" s="157"/>
      <c r="J277" s="172"/>
      <c r="K277" s="157"/>
      <c r="L277" s="223" t="s">
        <v>296</v>
      </c>
      <c r="M277" s="173"/>
      <c r="N277" s="173"/>
      <c r="O277" s="157" t="s">
        <v>307</v>
      </c>
      <c r="P277" s="158"/>
      <c r="Q277" s="185"/>
      <c r="R277" s="175"/>
      <c r="S277" s="174">
        <f t="shared" si="13"/>
        <v>0</v>
      </c>
      <c r="T277" s="157"/>
      <c r="U277" s="177">
        <v>-37.130000000000003</v>
      </c>
      <c r="V277" s="157"/>
      <c r="W277" s="157"/>
      <c r="X277" s="176">
        <f t="shared" si="10"/>
        <v>-37.130000000000003</v>
      </c>
      <c r="Y277" s="228"/>
      <c r="Z277" s="311"/>
      <c r="AA277" s="157"/>
      <c r="AB277" s="157"/>
      <c r="AC277" s="157"/>
    </row>
    <row r="278" spans="1:29" outlineLevel="1">
      <c r="A278" s="170" t="s">
        <v>302</v>
      </c>
      <c r="B278" s="157" t="s">
        <v>303</v>
      </c>
      <c r="C278" s="171">
        <v>42795</v>
      </c>
      <c r="D278" s="178"/>
      <c r="E278" s="157" t="s">
        <v>529</v>
      </c>
      <c r="F278" s="223" t="s">
        <v>305</v>
      </c>
      <c r="G278" s="223"/>
      <c r="H278" s="224" t="s">
        <v>306</v>
      </c>
      <c r="I278" s="157" t="s">
        <v>1009</v>
      </c>
      <c r="J278" s="157" t="s">
        <v>1009</v>
      </c>
      <c r="K278" s="157" t="s">
        <v>1009</v>
      </c>
      <c r="L278" s="223" t="s">
        <v>296</v>
      </c>
      <c r="M278" s="173"/>
      <c r="N278" s="173"/>
      <c r="O278" s="157" t="s">
        <v>271</v>
      </c>
      <c r="P278" s="158">
        <v>1345.98</v>
      </c>
      <c r="Q278" s="185"/>
      <c r="R278" s="175"/>
      <c r="S278" s="174">
        <f t="shared" si="13"/>
        <v>1345.98</v>
      </c>
      <c r="T278" s="157"/>
      <c r="U278" s="177"/>
      <c r="V278" s="157"/>
      <c r="W278" s="157"/>
      <c r="X278" s="176">
        <f t="shared" si="10"/>
        <v>0</v>
      </c>
      <c r="Y278" s="228"/>
      <c r="Z278" s="311"/>
      <c r="AA278" s="157"/>
      <c r="AB278" s="157"/>
      <c r="AC278" s="157"/>
    </row>
    <row r="279" spans="1:29" outlineLevel="1">
      <c r="A279" s="170" t="s">
        <v>302</v>
      </c>
      <c r="B279" s="157" t="s">
        <v>303</v>
      </c>
      <c r="C279" s="171">
        <v>42795</v>
      </c>
      <c r="D279" s="178"/>
      <c r="E279" s="157" t="s">
        <v>530</v>
      </c>
      <c r="F279" s="223" t="s">
        <v>305</v>
      </c>
      <c r="G279" s="223"/>
      <c r="H279" s="224" t="s">
        <v>306</v>
      </c>
      <c r="I279" s="157" t="s">
        <v>1009</v>
      </c>
      <c r="J279" s="157" t="s">
        <v>1009</v>
      </c>
      <c r="K279" s="157" t="s">
        <v>1009</v>
      </c>
      <c r="L279" s="223" t="s">
        <v>296</v>
      </c>
      <c r="M279" s="173"/>
      <c r="N279" s="173"/>
      <c r="O279" s="157" t="s">
        <v>271</v>
      </c>
      <c r="P279" s="158">
        <v>1203.82</v>
      </c>
      <c r="Q279" s="185"/>
      <c r="R279" s="175"/>
      <c r="S279" s="174">
        <f t="shared" si="13"/>
        <v>1203.82</v>
      </c>
      <c r="T279" s="157"/>
      <c r="U279" s="177"/>
      <c r="V279" s="157"/>
      <c r="W279" s="157"/>
      <c r="X279" s="176">
        <f t="shared" si="10"/>
        <v>0</v>
      </c>
      <c r="Y279" s="228"/>
      <c r="Z279" s="311"/>
      <c r="AA279" s="157"/>
      <c r="AB279" s="157"/>
      <c r="AC279" s="157"/>
    </row>
    <row r="280" spans="1:29" outlineLevel="1">
      <c r="A280" s="170" t="s">
        <v>302</v>
      </c>
      <c r="B280" s="157" t="s">
        <v>303</v>
      </c>
      <c r="C280" s="171">
        <v>42796</v>
      </c>
      <c r="D280" s="178"/>
      <c r="E280" s="157" t="s">
        <v>304</v>
      </c>
      <c r="F280" s="223" t="s">
        <v>305</v>
      </c>
      <c r="G280" s="223"/>
      <c r="H280" s="224" t="s">
        <v>306</v>
      </c>
      <c r="I280" s="157"/>
      <c r="J280" s="172"/>
      <c r="K280" s="157"/>
      <c r="L280" s="223" t="s">
        <v>296</v>
      </c>
      <c r="M280" s="173"/>
      <c r="N280" s="173"/>
      <c r="O280" s="157" t="s">
        <v>307</v>
      </c>
      <c r="P280" s="158"/>
      <c r="Q280" s="185"/>
      <c r="R280" s="175"/>
      <c r="S280" s="174">
        <f t="shared" si="13"/>
        <v>0</v>
      </c>
      <c r="T280" s="157"/>
      <c r="U280" s="177">
        <v>-3273.73</v>
      </c>
      <c r="V280" s="157"/>
      <c r="W280" s="157"/>
      <c r="X280" s="176">
        <f t="shared" si="10"/>
        <v>-3273.73</v>
      </c>
      <c r="Y280" s="228"/>
      <c r="Z280" s="311"/>
      <c r="AA280" s="157"/>
      <c r="AB280" s="157"/>
      <c r="AC280" s="157"/>
    </row>
    <row r="281" spans="1:29" outlineLevel="1">
      <c r="A281" s="170" t="s">
        <v>302</v>
      </c>
      <c r="B281" s="157" t="s">
        <v>303</v>
      </c>
      <c r="C281" s="171">
        <v>42796</v>
      </c>
      <c r="D281" s="178"/>
      <c r="E281" s="157" t="s">
        <v>531</v>
      </c>
      <c r="F281" s="223" t="s">
        <v>305</v>
      </c>
      <c r="G281" s="223"/>
      <c r="H281" s="224" t="s">
        <v>306</v>
      </c>
      <c r="I281" s="157"/>
      <c r="J281" s="172"/>
      <c r="K281" s="157"/>
      <c r="L281" s="223" t="s">
        <v>296</v>
      </c>
      <c r="M281" s="173"/>
      <c r="N281" s="173"/>
      <c r="O281" s="157" t="s">
        <v>307</v>
      </c>
      <c r="P281" s="158"/>
      <c r="Q281" s="185"/>
      <c r="R281" s="175"/>
      <c r="S281" s="174">
        <f t="shared" si="13"/>
        <v>0</v>
      </c>
      <c r="T281" s="157"/>
      <c r="U281" s="177">
        <v>-46.79</v>
      </c>
      <c r="V281" s="157"/>
      <c r="W281" s="157"/>
      <c r="X281" s="176">
        <f t="shared" si="10"/>
        <v>-46.79</v>
      </c>
      <c r="Y281" s="228"/>
      <c r="Z281" s="311"/>
      <c r="AA281" s="157"/>
      <c r="AB281" s="157"/>
      <c r="AC281" s="157"/>
    </row>
    <row r="282" spans="1:29" outlineLevel="1">
      <c r="A282" s="170" t="s">
        <v>302</v>
      </c>
      <c r="B282" s="157" t="s">
        <v>303</v>
      </c>
      <c r="C282" s="171">
        <v>42796</v>
      </c>
      <c r="D282" s="178"/>
      <c r="E282" s="157" t="s">
        <v>532</v>
      </c>
      <c r="F282" s="223" t="s">
        <v>305</v>
      </c>
      <c r="G282" s="223"/>
      <c r="H282" s="224" t="s">
        <v>306</v>
      </c>
      <c r="I282" s="157"/>
      <c r="J282" s="172"/>
      <c r="K282" s="157"/>
      <c r="L282" s="223" t="s">
        <v>296</v>
      </c>
      <c r="M282" s="173"/>
      <c r="N282" s="173"/>
      <c r="O282" s="157" t="s">
        <v>307</v>
      </c>
      <c r="P282" s="158"/>
      <c r="Q282" s="185"/>
      <c r="R282" s="175"/>
      <c r="S282" s="174">
        <f t="shared" si="13"/>
        <v>0</v>
      </c>
      <c r="T282" s="157"/>
      <c r="U282" s="177">
        <v>-103.72</v>
      </c>
      <c r="V282" s="157"/>
      <c r="W282" s="157"/>
      <c r="X282" s="176">
        <f t="shared" si="10"/>
        <v>-103.72</v>
      </c>
      <c r="Y282" s="228"/>
      <c r="Z282" s="311"/>
      <c r="AA282" s="157"/>
      <c r="AB282" s="157"/>
      <c r="AC282" s="157"/>
    </row>
    <row r="283" spans="1:29" outlineLevel="1">
      <c r="A283" s="170" t="s">
        <v>302</v>
      </c>
      <c r="B283" s="157" t="s">
        <v>303</v>
      </c>
      <c r="C283" s="171">
        <v>42796</v>
      </c>
      <c r="D283" s="178"/>
      <c r="E283" s="157" t="s">
        <v>533</v>
      </c>
      <c r="F283" s="223" t="s">
        <v>305</v>
      </c>
      <c r="G283" s="223"/>
      <c r="H283" s="224" t="s">
        <v>306</v>
      </c>
      <c r="I283" s="157"/>
      <c r="J283" s="172"/>
      <c r="K283" s="157"/>
      <c r="L283" s="223" t="s">
        <v>296</v>
      </c>
      <c r="M283" s="173"/>
      <c r="N283" s="173"/>
      <c r="O283" s="157" t="s">
        <v>307</v>
      </c>
      <c r="P283" s="158"/>
      <c r="Q283" s="185"/>
      <c r="R283" s="175"/>
      <c r="S283" s="174">
        <f t="shared" si="13"/>
        <v>0</v>
      </c>
      <c r="T283" s="157"/>
      <c r="U283" s="177">
        <v>-325</v>
      </c>
      <c r="V283" s="157"/>
      <c r="W283" s="157"/>
      <c r="X283" s="176">
        <f t="shared" si="10"/>
        <v>-325</v>
      </c>
      <c r="Y283" s="228"/>
      <c r="Z283" s="311"/>
      <c r="AA283" s="157"/>
      <c r="AB283" s="157"/>
      <c r="AC283" s="157"/>
    </row>
    <row r="284" spans="1:29" outlineLevel="1">
      <c r="A284" s="170" t="s">
        <v>302</v>
      </c>
      <c r="B284" s="157" t="s">
        <v>303</v>
      </c>
      <c r="C284" s="171">
        <v>42796</v>
      </c>
      <c r="D284" s="178"/>
      <c r="E284" s="157" t="s">
        <v>534</v>
      </c>
      <c r="F284" s="223" t="s">
        <v>305</v>
      </c>
      <c r="G284" s="223"/>
      <c r="H284" s="224" t="s">
        <v>306</v>
      </c>
      <c r="I284" s="157" t="s">
        <v>1009</v>
      </c>
      <c r="J284" s="157" t="s">
        <v>1009</v>
      </c>
      <c r="K284" s="157" t="s">
        <v>1009</v>
      </c>
      <c r="L284" s="223" t="s">
        <v>296</v>
      </c>
      <c r="M284" s="173"/>
      <c r="N284" s="173"/>
      <c r="O284" s="157" t="s">
        <v>271</v>
      </c>
      <c r="P284" s="158">
        <v>1025.25</v>
      </c>
      <c r="Q284" s="185"/>
      <c r="R284" s="175"/>
      <c r="S284" s="174">
        <f t="shared" si="13"/>
        <v>1025.25</v>
      </c>
      <c r="T284" s="157"/>
      <c r="U284" s="177"/>
      <c r="V284" s="157"/>
      <c r="W284" s="157"/>
      <c r="X284" s="176">
        <f t="shared" si="10"/>
        <v>0</v>
      </c>
      <c r="Y284" s="228"/>
      <c r="Z284" s="311"/>
      <c r="AA284" s="157"/>
      <c r="AB284" s="157"/>
      <c r="AC284" s="157"/>
    </row>
    <row r="285" spans="1:29" outlineLevel="1">
      <c r="A285" s="170" t="s">
        <v>302</v>
      </c>
      <c r="B285" s="157" t="s">
        <v>303</v>
      </c>
      <c r="C285" s="171">
        <v>42797</v>
      </c>
      <c r="D285" s="178"/>
      <c r="E285" s="157" t="s">
        <v>535</v>
      </c>
      <c r="F285" s="223" t="s">
        <v>305</v>
      </c>
      <c r="G285" s="223"/>
      <c r="H285" s="224" t="s">
        <v>306</v>
      </c>
      <c r="I285" s="157"/>
      <c r="J285" s="172"/>
      <c r="K285" s="157"/>
      <c r="L285" s="223" t="s">
        <v>296</v>
      </c>
      <c r="M285" s="173"/>
      <c r="N285" s="173"/>
      <c r="O285" s="157" t="s">
        <v>307</v>
      </c>
      <c r="P285" s="158"/>
      <c r="Q285" s="185"/>
      <c r="R285" s="175"/>
      <c r="S285" s="174">
        <f t="shared" si="13"/>
        <v>0</v>
      </c>
      <c r="T285" s="157"/>
      <c r="U285" s="177">
        <v>-157.1</v>
      </c>
      <c r="V285" s="157"/>
      <c r="W285" s="157"/>
      <c r="X285" s="176">
        <f t="shared" si="10"/>
        <v>-157.1</v>
      </c>
      <c r="Y285" s="228"/>
      <c r="Z285" s="311"/>
      <c r="AA285" s="157"/>
      <c r="AB285" s="157"/>
      <c r="AC285" s="157"/>
    </row>
    <row r="286" spans="1:29" outlineLevel="1">
      <c r="A286" s="170" t="s">
        <v>302</v>
      </c>
      <c r="B286" s="157" t="s">
        <v>303</v>
      </c>
      <c r="C286" s="171">
        <v>42797</v>
      </c>
      <c r="D286" s="178"/>
      <c r="E286" s="157" t="s">
        <v>536</v>
      </c>
      <c r="F286" s="223" t="s">
        <v>305</v>
      </c>
      <c r="G286" s="223"/>
      <c r="H286" s="224" t="s">
        <v>306</v>
      </c>
      <c r="I286" s="157" t="s">
        <v>1009</v>
      </c>
      <c r="J286" s="157" t="s">
        <v>1009</v>
      </c>
      <c r="K286" s="157" t="s">
        <v>1009</v>
      </c>
      <c r="L286" s="223" t="s">
        <v>296</v>
      </c>
      <c r="M286" s="173"/>
      <c r="N286" s="173"/>
      <c r="O286" s="157" t="s">
        <v>271</v>
      </c>
      <c r="P286" s="158">
        <v>1279.0999999999999</v>
      </c>
      <c r="Q286" s="185"/>
      <c r="R286" s="175"/>
      <c r="S286" s="174">
        <f t="shared" si="13"/>
        <v>1279.0999999999999</v>
      </c>
      <c r="T286" s="157"/>
      <c r="U286" s="177"/>
      <c r="V286" s="157"/>
      <c r="W286" s="157"/>
      <c r="X286" s="176">
        <f t="shared" si="10"/>
        <v>0</v>
      </c>
      <c r="Y286" s="228"/>
      <c r="Z286" s="311"/>
      <c r="AA286" s="157"/>
      <c r="AB286" s="157"/>
      <c r="AC286" s="157"/>
    </row>
    <row r="287" spans="1:29" outlineLevel="1">
      <c r="A287" s="170" t="s">
        <v>302</v>
      </c>
      <c r="B287" s="157" t="s">
        <v>303</v>
      </c>
      <c r="C287" s="171">
        <v>42800</v>
      </c>
      <c r="D287" s="178"/>
      <c r="E287" s="157" t="s">
        <v>304</v>
      </c>
      <c r="F287" s="223" t="s">
        <v>305</v>
      </c>
      <c r="G287" s="223"/>
      <c r="H287" s="224" t="s">
        <v>306</v>
      </c>
      <c r="I287" s="157"/>
      <c r="J287" s="172"/>
      <c r="K287" s="157"/>
      <c r="L287" s="223" t="s">
        <v>296</v>
      </c>
      <c r="M287" s="173"/>
      <c r="N287" s="173"/>
      <c r="O287" s="157" t="s">
        <v>308</v>
      </c>
      <c r="P287" s="158"/>
      <c r="Q287" s="185"/>
      <c r="R287" s="175"/>
      <c r="S287" s="174">
        <f t="shared" si="13"/>
        <v>0</v>
      </c>
      <c r="T287" s="157"/>
      <c r="U287" s="177">
        <v>-459</v>
      </c>
      <c r="V287" s="157"/>
      <c r="W287" s="157"/>
      <c r="X287" s="176">
        <f t="shared" si="10"/>
        <v>-459</v>
      </c>
      <c r="Y287" s="228"/>
      <c r="Z287" s="311"/>
      <c r="AA287" s="157"/>
      <c r="AB287" s="157"/>
      <c r="AC287" s="157"/>
    </row>
    <row r="288" spans="1:29" outlineLevel="1">
      <c r="A288" s="170" t="s">
        <v>302</v>
      </c>
      <c r="B288" s="157" t="s">
        <v>303</v>
      </c>
      <c r="C288" s="171">
        <v>42800</v>
      </c>
      <c r="D288" s="178"/>
      <c r="E288" s="157" t="s">
        <v>304</v>
      </c>
      <c r="F288" s="223" t="s">
        <v>305</v>
      </c>
      <c r="G288" s="223"/>
      <c r="H288" s="224" t="s">
        <v>306</v>
      </c>
      <c r="I288" s="157"/>
      <c r="J288" s="172"/>
      <c r="K288" s="157"/>
      <c r="L288" s="223" t="s">
        <v>296</v>
      </c>
      <c r="M288" s="173"/>
      <c r="N288" s="173"/>
      <c r="O288" s="157" t="s">
        <v>308</v>
      </c>
      <c r="P288" s="158"/>
      <c r="Q288" s="185"/>
      <c r="R288" s="175"/>
      <c r="S288" s="174">
        <f t="shared" si="13"/>
        <v>0</v>
      </c>
      <c r="T288" s="157"/>
      <c r="U288" s="177">
        <v>-545.5</v>
      </c>
      <c r="V288" s="157"/>
      <c r="W288" s="157"/>
      <c r="X288" s="176">
        <f t="shared" si="10"/>
        <v>-545.5</v>
      </c>
      <c r="Y288" s="228"/>
      <c r="Z288" s="311"/>
      <c r="AA288" s="157"/>
      <c r="AB288" s="157"/>
      <c r="AC288" s="157"/>
    </row>
    <row r="289" spans="1:29" outlineLevel="1">
      <c r="A289" s="170" t="s">
        <v>302</v>
      </c>
      <c r="B289" s="157" t="s">
        <v>303</v>
      </c>
      <c r="C289" s="171">
        <v>42800</v>
      </c>
      <c r="D289" s="178"/>
      <c r="E289" s="157" t="s">
        <v>537</v>
      </c>
      <c r="F289" s="223" t="s">
        <v>305</v>
      </c>
      <c r="G289" s="223"/>
      <c r="H289" s="224" t="s">
        <v>306</v>
      </c>
      <c r="I289" s="157"/>
      <c r="J289" s="172"/>
      <c r="K289" s="157"/>
      <c r="L289" s="223" t="s">
        <v>296</v>
      </c>
      <c r="M289" s="173"/>
      <c r="N289" s="173"/>
      <c r="O289" s="157" t="s">
        <v>307</v>
      </c>
      <c r="P289" s="158"/>
      <c r="Q289" s="185"/>
      <c r="R289" s="175"/>
      <c r="S289" s="174">
        <f t="shared" si="13"/>
        <v>0</v>
      </c>
      <c r="T289" s="157"/>
      <c r="U289" s="177">
        <v>-415.93</v>
      </c>
      <c r="V289" s="157"/>
      <c r="W289" s="157"/>
      <c r="X289" s="176">
        <f t="shared" si="10"/>
        <v>-415.93</v>
      </c>
      <c r="Y289" s="228"/>
      <c r="Z289" s="311"/>
      <c r="AA289" s="157"/>
      <c r="AB289" s="157"/>
      <c r="AC289" s="157"/>
    </row>
    <row r="290" spans="1:29" outlineLevel="1">
      <c r="A290" s="170" t="s">
        <v>302</v>
      </c>
      <c r="B290" s="157" t="s">
        <v>303</v>
      </c>
      <c r="C290" s="171">
        <v>42800</v>
      </c>
      <c r="D290" s="178"/>
      <c r="E290" s="157" t="s">
        <v>538</v>
      </c>
      <c r="F290" s="223" t="s">
        <v>305</v>
      </c>
      <c r="G290" s="223"/>
      <c r="H290" s="224" t="s">
        <v>306</v>
      </c>
      <c r="I290" s="157"/>
      <c r="J290" s="172"/>
      <c r="K290" s="157"/>
      <c r="L290" s="223" t="s">
        <v>296</v>
      </c>
      <c r="M290" s="173"/>
      <c r="N290" s="173"/>
      <c r="O290" s="157" t="s">
        <v>307</v>
      </c>
      <c r="P290" s="158"/>
      <c r="Q290" s="185"/>
      <c r="R290" s="175"/>
      <c r="S290" s="174">
        <f t="shared" si="13"/>
        <v>0</v>
      </c>
      <c r="T290" s="157"/>
      <c r="U290" s="177">
        <v>-10.8</v>
      </c>
      <c r="V290" s="157"/>
      <c r="W290" s="157"/>
      <c r="X290" s="176">
        <f t="shared" si="10"/>
        <v>-10.8</v>
      </c>
      <c r="Y290" s="228"/>
      <c r="Z290" s="311"/>
      <c r="AA290" s="157"/>
      <c r="AB290" s="157"/>
      <c r="AC290" s="157"/>
    </row>
    <row r="291" spans="1:29" outlineLevel="1">
      <c r="A291" s="170" t="s">
        <v>302</v>
      </c>
      <c r="B291" s="157" t="s">
        <v>303</v>
      </c>
      <c r="C291" s="171">
        <v>42800</v>
      </c>
      <c r="D291" s="178"/>
      <c r="E291" s="157" t="s">
        <v>539</v>
      </c>
      <c r="F291" s="223" t="s">
        <v>305</v>
      </c>
      <c r="G291" s="223"/>
      <c r="H291" s="224" t="s">
        <v>306</v>
      </c>
      <c r="I291" s="157"/>
      <c r="J291" s="172"/>
      <c r="K291" s="157"/>
      <c r="L291" s="223" t="s">
        <v>296</v>
      </c>
      <c r="M291" s="173"/>
      <c r="N291" s="173"/>
      <c r="O291" s="157" t="s">
        <v>307</v>
      </c>
      <c r="P291" s="158"/>
      <c r="Q291" s="185"/>
      <c r="R291" s="175"/>
      <c r="S291" s="174">
        <f t="shared" si="13"/>
        <v>0</v>
      </c>
      <c r="T291" s="157"/>
      <c r="U291" s="177">
        <v>-136.84</v>
      </c>
      <c r="V291" s="157"/>
      <c r="W291" s="157"/>
      <c r="X291" s="176">
        <f t="shared" si="10"/>
        <v>-136.84</v>
      </c>
      <c r="Y291" s="228"/>
      <c r="Z291" s="311"/>
      <c r="AA291" s="157"/>
      <c r="AB291" s="157"/>
      <c r="AC291" s="157"/>
    </row>
    <row r="292" spans="1:29" outlineLevel="1">
      <c r="A292" s="170" t="s">
        <v>302</v>
      </c>
      <c r="B292" s="157" t="s">
        <v>303</v>
      </c>
      <c r="C292" s="171">
        <v>42800</v>
      </c>
      <c r="D292" s="178"/>
      <c r="E292" s="157" t="s">
        <v>540</v>
      </c>
      <c r="F292" s="223" t="s">
        <v>305</v>
      </c>
      <c r="G292" s="223"/>
      <c r="H292" s="224" t="s">
        <v>306</v>
      </c>
      <c r="I292" s="157"/>
      <c r="J292" s="172"/>
      <c r="K292" s="157"/>
      <c r="L292" s="223" t="s">
        <v>296</v>
      </c>
      <c r="M292" s="173"/>
      <c r="N292" s="173"/>
      <c r="O292" s="157" t="s">
        <v>307</v>
      </c>
      <c r="P292" s="158"/>
      <c r="Q292" s="185"/>
      <c r="R292" s="175"/>
      <c r="S292" s="174">
        <f t="shared" si="13"/>
        <v>0</v>
      </c>
      <c r="T292" s="157"/>
      <c r="U292" s="177">
        <v>-33.590000000000003</v>
      </c>
      <c r="V292" s="157"/>
      <c r="W292" s="157"/>
      <c r="X292" s="176">
        <f t="shared" si="10"/>
        <v>-33.590000000000003</v>
      </c>
      <c r="Y292" s="228"/>
      <c r="Z292" s="311"/>
      <c r="AA292" s="157"/>
      <c r="AB292" s="157"/>
      <c r="AC292" s="157"/>
    </row>
    <row r="293" spans="1:29" outlineLevel="1">
      <c r="A293" s="170" t="s">
        <v>302</v>
      </c>
      <c r="B293" s="157" t="s">
        <v>303</v>
      </c>
      <c r="C293" s="171">
        <v>42800</v>
      </c>
      <c r="D293" s="178"/>
      <c r="E293" s="157" t="s">
        <v>541</v>
      </c>
      <c r="F293" s="223" t="s">
        <v>305</v>
      </c>
      <c r="G293" s="223"/>
      <c r="H293" s="224" t="s">
        <v>306</v>
      </c>
      <c r="I293" s="157"/>
      <c r="J293" s="172"/>
      <c r="K293" s="157"/>
      <c r="L293" s="223" t="s">
        <v>296</v>
      </c>
      <c r="M293" s="173"/>
      <c r="N293" s="173"/>
      <c r="O293" s="157" t="s">
        <v>307</v>
      </c>
      <c r="P293" s="158"/>
      <c r="Q293" s="185"/>
      <c r="R293" s="175"/>
      <c r="S293" s="174">
        <f t="shared" si="13"/>
        <v>0</v>
      </c>
      <c r="T293" s="157"/>
      <c r="U293" s="177">
        <v>-160.47999999999999</v>
      </c>
      <c r="V293" s="157"/>
      <c r="W293" s="157"/>
      <c r="X293" s="176">
        <f t="shared" si="10"/>
        <v>-160.47999999999999</v>
      </c>
      <c r="Y293" s="228"/>
      <c r="Z293" s="311"/>
      <c r="AA293" s="157"/>
      <c r="AB293" s="157"/>
      <c r="AC293" s="157"/>
    </row>
    <row r="294" spans="1:29" outlineLevel="1">
      <c r="A294" s="170" t="s">
        <v>302</v>
      </c>
      <c r="B294" s="157" t="s">
        <v>303</v>
      </c>
      <c r="C294" s="171">
        <v>42800</v>
      </c>
      <c r="D294" s="178"/>
      <c r="E294" s="157" t="s">
        <v>542</v>
      </c>
      <c r="F294" s="223" t="s">
        <v>305</v>
      </c>
      <c r="G294" s="223"/>
      <c r="H294" s="224" t="s">
        <v>306</v>
      </c>
      <c r="I294" s="157"/>
      <c r="J294" s="172"/>
      <c r="K294" s="157"/>
      <c r="L294" s="223" t="s">
        <v>296</v>
      </c>
      <c r="M294" s="173"/>
      <c r="N294" s="173"/>
      <c r="O294" s="157" t="s">
        <v>307</v>
      </c>
      <c r="P294" s="158"/>
      <c r="Q294" s="185"/>
      <c r="R294" s="175"/>
      <c r="S294" s="174">
        <f t="shared" si="13"/>
        <v>0</v>
      </c>
      <c r="T294" s="157"/>
      <c r="U294" s="177">
        <v>-9.36</v>
      </c>
      <c r="V294" s="157"/>
      <c r="W294" s="157"/>
      <c r="X294" s="176">
        <f t="shared" si="10"/>
        <v>-9.36</v>
      </c>
      <c r="Y294" s="228"/>
      <c r="Z294" s="311"/>
      <c r="AA294" s="157"/>
      <c r="AB294" s="157"/>
      <c r="AC294" s="157"/>
    </row>
    <row r="295" spans="1:29" outlineLevel="1">
      <c r="A295" s="170" t="s">
        <v>302</v>
      </c>
      <c r="B295" s="157" t="s">
        <v>303</v>
      </c>
      <c r="C295" s="171">
        <v>42800</v>
      </c>
      <c r="D295" s="178"/>
      <c r="E295" s="157" t="s">
        <v>543</v>
      </c>
      <c r="F295" s="223" t="s">
        <v>305</v>
      </c>
      <c r="G295" s="223"/>
      <c r="H295" s="224" t="s">
        <v>306</v>
      </c>
      <c r="I295" s="157"/>
      <c r="J295" s="172"/>
      <c r="K295" s="157"/>
      <c r="L295" s="223" t="s">
        <v>296</v>
      </c>
      <c r="M295" s="173"/>
      <c r="N295" s="173"/>
      <c r="O295" s="157" t="s">
        <v>307</v>
      </c>
      <c r="P295" s="158"/>
      <c r="Q295" s="185"/>
      <c r="R295" s="175"/>
      <c r="S295" s="174">
        <f t="shared" si="13"/>
        <v>0</v>
      </c>
      <c r="T295" s="157"/>
      <c r="U295" s="177">
        <v>-61.63</v>
      </c>
      <c r="V295" s="157"/>
      <c r="W295" s="157"/>
      <c r="X295" s="176">
        <f t="shared" si="10"/>
        <v>-61.63</v>
      </c>
      <c r="Y295" s="228"/>
      <c r="Z295" s="311"/>
      <c r="AA295" s="157"/>
      <c r="AB295" s="157"/>
      <c r="AC295" s="157"/>
    </row>
    <row r="296" spans="1:29" outlineLevel="1">
      <c r="A296" s="170" t="s">
        <v>302</v>
      </c>
      <c r="B296" s="157" t="s">
        <v>303</v>
      </c>
      <c r="C296" s="171">
        <v>42800</v>
      </c>
      <c r="D296" s="178"/>
      <c r="E296" s="157" t="s">
        <v>544</v>
      </c>
      <c r="F296" s="223" t="s">
        <v>305</v>
      </c>
      <c r="G296" s="223"/>
      <c r="H296" s="224" t="s">
        <v>306</v>
      </c>
      <c r="I296" s="157" t="s">
        <v>1009</v>
      </c>
      <c r="J296" s="157" t="s">
        <v>1009</v>
      </c>
      <c r="K296" s="157" t="s">
        <v>1009</v>
      </c>
      <c r="L296" s="223" t="s">
        <v>296</v>
      </c>
      <c r="M296" s="173"/>
      <c r="N296" s="173"/>
      <c r="O296" s="157" t="s">
        <v>271</v>
      </c>
      <c r="P296" s="158">
        <v>2325.5100000000002</v>
      </c>
      <c r="Q296" s="185"/>
      <c r="R296" s="175"/>
      <c r="S296" s="174">
        <f t="shared" si="13"/>
        <v>2325.5100000000002</v>
      </c>
      <c r="T296" s="157"/>
      <c r="U296" s="177"/>
      <c r="V296" s="157"/>
      <c r="W296" s="157"/>
      <c r="X296" s="176">
        <f t="shared" si="10"/>
        <v>0</v>
      </c>
      <c r="Y296" s="228"/>
      <c r="Z296" s="311"/>
      <c r="AA296" s="157"/>
      <c r="AB296" s="157"/>
      <c r="AC296" s="157"/>
    </row>
    <row r="297" spans="1:29" outlineLevel="1">
      <c r="A297" s="170" t="s">
        <v>302</v>
      </c>
      <c r="B297" s="157" t="s">
        <v>303</v>
      </c>
      <c r="C297" s="171">
        <v>42800</v>
      </c>
      <c r="D297" s="178"/>
      <c r="E297" s="157" t="s">
        <v>545</v>
      </c>
      <c r="F297" s="223" t="s">
        <v>305</v>
      </c>
      <c r="G297" s="223"/>
      <c r="H297" s="224" t="s">
        <v>306</v>
      </c>
      <c r="I297" s="157" t="s">
        <v>1009</v>
      </c>
      <c r="J297" s="157" t="s">
        <v>1009</v>
      </c>
      <c r="K297" s="157" t="s">
        <v>1009</v>
      </c>
      <c r="L297" s="223" t="s">
        <v>296</v>
      </c>
      <c r="M297" s="173"/>
      <c r="N297" s="173"/>
      <c r="O297" s="157" t="s">
        <v>271</v>
      </c>
      <c r="P297" s="158">
        <v>1504.38</v>
      </c>
      <c r="Q297" s="185"/>
      <c r="R297" s="175"/>
      <c r="S297" s="174">
        <f t="shared" si="13"/>
        <v>1504.38</v>
      </c>
      <c r="T297" s="157"/>
      <c r="U297" s="177"/>
      <c r="V297" s="157"/>
      <c r="W297" s="157"/>
      <c r="X297" s="176">
        <f t="shared" si="10"/>
        <v>0</v>
      </c>
      <c r="Y297" s="228"/>
      <c r="Z297" s="311"/>
      <c r="AA297" s="157"/>
      <c r="AB297" s="157"/>
      <c r="AC297" s="157"/>
    </row>
    <row r="298" spans="1:29" outlineLevel="1">
      <c r="A298" s="170" t="s">
        <v>302</v>
      </c>
      <c r="B298" s="157" t="s">
        <v>303</v>
      </c>
      <c r="C298" s="171">
        <v>42800</v>
      </c>
      <c r="D298" s="178"/>
      <c r="E298" s="157" t="s">
        <v>546</v>
      </c>
      <c r="F298" s="223" t="s">
        <v>305</v>
      </c>
      <c r="G298" s="223"/>
      <c r="H298" s="224" t="s">
        <v>306</v>
      </c>
      <c r="I298" s="157" t="s">
        <v>1009</v>
      </c>
      <c r="J298" s="157" t="s">
        <v>1009</v>
      </c>
      <c r="K298" s="157" t="s">
        <v>1009</v>
      </c>
      <c r="L298" s="223" t="s">
        <v>296</v>
      </c>
      <c r="M298" s="173"/>
      <c r="N298" s="173"/>
      <c r="O298" s="157" t="s">
        <v>271</v>
      </c>
      <c r="P298" s="158">
        <v>1113.49</v>
      </c>
      <c r="Q298" s="185"/>
      <c r="R298" s="175"/>
      <c r="S298" s="174">
        <f t="shared" si="13"/>
        <v>1113.49</v>
      </c>
      <c r="T298" s="157"/>
      <c r="U298" s="177"/>
      <c r="V298" s="157"/>
      <c r="W298" s="157"/>
      <c r="X298" s="176">
        <f t="shared" si="10"/>
        <v>0</v>
      </c>
      <c r="Y298" s="228"/>
      <c r="Z298" s="311"/>
      <c r="AA298" s="157"/>
      <c r="AB298" s="157"/>
      <c r="AC298" s="157"/>
    </row>
    <row r="299" spans="1:29" outlineLevel="1">
      <c r="A299" s="170" t="s">
        <v>302</v>
      </c>
      <c r="B299" s="157" t="s">
        <v>303</v>
      </c>
      <c r="C299" s="171">
        <v>42801</v>
      </c>
      <c r="D299" s="178"/>
      <c r="E299" s="157" t="s">
        <v>304</v>
      </c>
      <c r="F299" s="223" t="s">
        <v>305</v>
      </c>
      <c r="G299" s="223"/>
      <c r="H299" s="224" t="s">
        <v>306</v>
      </c>
      <c r="I299" s="157"/>
      <c r="J299" s="172"/>
      <c r="K299" s="157"/>
      <c r="L299" s="223" t="s">
        <v>296</v>
      </c>
      <c r="M299" s="173"/>
      <c r="N299" s="173"/>
      <c r="O299" s="157" t="s">
        <v>308</v>
      </c>
      <c r="P299" s="158"/>
      <c r="Q299" s="185"/>
      <c r="R299" s="175"/>
      <c r="S299" s="174">
        <f t="shared" si="13"/>
        <v>0</v>
      </c>
      <c r="T299" s="157"/>
      <c r="U299" s="177">
        <v>-441</v>
      </c>
      <c r="V299" s="157"/>
      <c r="W299" s="157"/>
      <c r="X299" s="176">
        <f t="shared" si="10"/>
        <v>-441</v>
      </c>
      <c r="Y299" s="228"/>
      <c r="Z299" s="311"/>
      <c r="AA299" s="157"/>
      <c r="AB299" s="157"/>
      <c r="AC299" s="157"/>
    </row>
    <row r="300" spans="1:29" outlineLevel="1">
      <c r="A300" s="170" t="s">
        <v>302</v>
      </c>
      <c r="B300" s="157" t="s">
        <v>303</v>
      </c>
      <c r="C300" s="171">
        <v>42801</v>
      </c>
      <c r="D300" s="178"/>
      <c r="E300" s="157" t="s">
        <v>304</v>
      </c>
      <c r="F300" s="223" t="s">
        <v>305</v>
      </c>
      <c r="G300" s="223"/>
      <c r="H300" s="224" t="s">
        <v>306</v>
      </c>
      <c r="I300" s="157"/>
      <c r="J300" s="172"/>
      <c r="K300" s="157"/>
      <c r="L300" s="223" t="s">
        <v>296</v>
      </c>
      <c r="M300" s="173"/>
      <c r="N300" s="173"/>
      <c r="O300" s="157" t="s">
        <v>308</v>
      </c>
      <c r="P300" s="158"/>
      <c r="Q300" s="185"/>
      <c r="R300" s="175"/>
      <c r="S300" s="174">
        <f t="shared" si="13"/>
        <v>0</v>
      </c>
      <c r="T300" s="157"/>
      <c r="U300" s="177">
        <v>-475</v>
      </c>
      <c r="V300" s="157"/>
      <c r="W300" s="157"/>
      <c r="X300" s="176">
        <f t="shared" si="10"/>
        <v>-475</v>
      </c>
      <c r="Y300" s="228"/>
      <c r="Z300" s="311"/>
      <c r="AA300" s="157"/>
      <c r="AB300" s="157"/>
      <c r="AC300" s="157"/>
    </row>
    <row r="301" spans="1:29" outlineLevel="1">
      <c r="A301" s="170" t="s">
        <v>302</v>
      </c>
      <c r="B301" s="157" t="s">
        <v>303</v>
      </c>
      <c r="C301" s="171">
        <v>42801</v>
      </c>
      <c r="D301" s="178"/>
      <c r="E301" s="157" t="s">
        <v>547</v>
      </c>
      <c r="F301" s="223" t="s">
        <v>305</v>
      </c>
      <c r="G301" s="223"/>
      <c r="H301" s="224" t="s">
        <v>306</v>
      </c>
      <c r="I301" s="157" t="s">
        <v>1009</v>
      </c>
      <c r="J301" s="157" t="s">
        <v>1009</v>
      </c>
      <c r="K301" s="157" t="s">
        <v>1009</v>
      </c>
      <c r="L301" s="223" t="s">
        <v>296</v>
      </c>
      <c r="M301" s="173"/>
      <c r="N301" s="173"/>
      <c r="O301" s="157" t="s">
        <v>271</v>
      </c>
      <c r="P301" s="158">
        <v>716.71</v>
      </c>
      <c r="Q301" s="185"/>
      <c r="R301" s="175"/>
      <c r="S301" s="174">
        <f t="shared" si="13"/>
        <v>716.71</v>
      </c>
      <c r="T301" s="157"/>
      <c r="U301" s="177"/>
      <c r="V301" s="157"/>
      <c r="W301" s="157"/>
      <c r="X301" s="176">
        <f t="shared" si="10"/>
        <v>0</v>
      </c>
      <c r="Y301" s="228"/>
      <c r="Z301" s="311"/>
      <c r="AA301" s="157"/>
      <c r="AB301" s="157"/>
      <c r="AC301" s="157"/>
    </row>
    <row r="302" spans="1:29" outlineLevel="1">
      <c r="A302" s="170" t="s">
        <v>302</v>
      </c>
      <c r="B302" s="157" t="s">
        <v>303</v>
      </c>
      <c r="C302" s="171">
        <v>42802</v>
      </c>
      <c r="D302" s="178"/>
      <c r="E302" s="157" t="s">
        <v>548</v>
      </c>
      <c r="F302" s="223" t="s">
        <v>305</v>
      </c>
      <c r="G302" s="223"/>
      <c r="H302" s="224" t="s">
        <v>306</v>
      </c>
      <c r="I302" s="157" t="s">
        <v>1009</v>
      </c>
      <c r="J302" s="157" t="s">
        <v>1009</v>
      </c>
      <c r="K302" s="157" t="s">
        <v>1009</v>
      </c>
      <c r="L302" s="223" t="s">
        <v>296</v>
      </c>
      <c r="M302" s="173"/>
      <c r="N302" s="173"/>
      <c r="O302" s="157" t="s">
        <v>271</v>
      </c>
      <c r="P302" s="158">
        <v>999.73</v>
      </c>
      <c r="Q302" s="185"/>
      <c r="R302" s="175"/>
      <c r="S302" s="174">
        <f t="shared" si="13"/>
        <v>999.73</v>
      </c>
      <c r="T302" s="157"/>
      <c r="U302" s="177"/>
      <c r="V302" s="157"/>
      <c r="W302" s="157"/>
      <c r="X302" s="176">
        <f t="shared" si="10"/>
        <v>0</v>
      </c>
      <c r="Y302" s="228"/>
      <c r="Z302" s="311"/>
      <c r="AA302" s="157"/>
      <c r="AB302" s="157"/>
      <c r="AC302" s="157"/>
    </row>
    <row r="303" spans="1:29" outlineLevel="1">
      <c r="A303" s="170" t="s">
        <v>302</v>
      </c>
      <c r="B303" s="157" t="s">
        <v>303</v>
      </c>
      <c r="C303" s="171">
        <v>42802</v>
      </c>
      <c r="D303" s="178"/>
      <c r="E303" s="157" t="s">
        <v>549</v>
      </c>
      <c r="F303" s="223" t="s">
        <v>305</v>
      </c>
      <c r="G303" s="223"/>
      <c r="H303" s="224" t="s">
        <v>306</v>
      </c>
      <c r="I303" s="157" t="s">
        <v>1009</v>
      </c>
      <c r="J303" s="157" t="s">
        <v>1009</v>
      </c>
      <c r="K303" s="157" t="s">
        <v>1009</v>
      </c>
      <c r="L303" s="223" t="s">
        <v>296</v>
      </c>
      <c r="M303" s="173"/>
      <c r="N303" s="173"/>
      <c r="O303" s="157" t="s">
        <v>271</v>
      </c>
      <c r="P303" s="158">
        <v>652.29999999999995</v>
      </c>
      <c r="Q303" s="185"/>
      <c r="R303" s="175"/>
      <c r="S303" s="174">
        <f t="shared" si="13"/>
        <v>652.29999999999995</v>
      </c>
      <c r="T303" s="157"/>
      <c r="U303" s="177"/>
      <c r="V303" s="157"/>
      <c r="W303" s="157"/>
      <c r="X303" s="176">
        <f t="shared" si="10"/>
        <v>0</v>
      </c>
      <c r="Y303" s="228"/>
      <c r="Z303" s="311"/>
      <c r="AA303" s="157"/>
      <c r="AB303" s="157"/>
      <c r="AC303" s="157"/>
    </row>
    <row r="304" spans="1:29" outlineLevel="1">
      <c r="A304" s="170" t="s">
        <v>302</v>
      </c>
      <c r="B304" s="157" t="s">
        <v>303</v>
      </c>
      <c r="C304" s="171">
        <v>42803</v>
      </c>
      <c r="D304" s="178"/>
      <c r="E304" s="157" t="s">
        <v>304</v>
      </c>
      <c r="F304" s="223" t="s">
        <v>305</v>
      </c>
      <c r="G304" s="223"/>
      <c r="H304" s="224" t="s">
        <v>306</v>
      </c>
      <c r="I304" s="157"/>
      <c r="J304" s="172"/>
      <c r="K304" s="157"/>
      <c r="L304" s="223" t="s">
        <v>296</v>
      </c>
      <c r="M304" s="173"/>
      <c r="N304" s="173"/>
      <c r="O304" s="157" t="s">
        <v>307</v>
      </c>
      <c r="P304" s="158"/>
      <c r="Q304" s="185"/>
      <c r="R304" s="175"/>
      <c r="S304" s="174">
        <f t="shared" si="13"/>
        <v>0</v>
      </c>
      <c r="T304" s="157"/>
      <c r="U304" s="177">
        <v>-760.92</v>
      </c>
      <c r="V304" s="157"/>
      <c r="W304" s="157"/>
      <c r="X304" s="176">
        <f t="shared" si="10"/>
        <v>-760.92</v>
      </c>
      <c r="Y304" s="228"/>
      <c r="Z304" s="311"/>
      <c r="AA304" s="157"/>
      <c r="AB304" s="157"/>
      <c r="AC304" s="157"/>
    </row>
    <row r="305" spans="1:29" outlineLevel="1">
      <c r="A305" s="170" t="s">
        <v>302</v>
      </c>
      <c r="B305" s="157" t="s">
        <v>303</v>
      </c>
      <c r="C305" s="171">
        <v>42803</v>
      </c>
      <c r="D305" s="178"/>
      <c r="E305" s="157" t="s">
        <v>550</v>
      </c>
      <c r="F305" s="223" t="s">
        <v>305</v>
      </c>
      <c r="G305" s="223"/>
      <c r="H305" s="224" t="s">
        <v>306</v>
      </c>
      <c r="I305" s="157" t="s">
        <v>1009</v>
      </c>
      <c r="J305" s="157" t="s">
        <v>1009</v>
      </c>
      <c r="K305" s="157" t="s">
        <v>1009</v>
      </c>
      <c r="L305" s="223" t="s">
        <v>296</v>
      </c>
      <c r="M305" s="173"/>
      <c r="N305" s="173"/>
      <c r="O305" s="157" t="s">
        <v>271</v>
      </c>
      <c r="P305" s="158">
        <v>874.4</v>
      </c>
      <c r="Q305" s="185"/>
      <c r="R305" s="175"/>
      <c r="S305" s="174">
        <f t="shared" si="13"/>
        <v>874.4</v>
      </c>
      <c r="T305" s="157"/>
      <c r="U305" s="177"/>
      <c r="V305" s="157"/>
      <c r="W305" s="157"/>
      <c r="X305" s="176">
        <f t="shared" si="10"/>
        <v>0</v>
      </c>
      <c r="Y305" s="228"/>
      <c r="Z305" s="311"/>
      <c r="AA305" s="157"/>
      <c r="AB305" s="157"/>
      <c r="AC305" s="157"/>
    </row>
    <row r="306" spans="1:29" outlineLevel="1">
      <c r="A306" s="170" t="s">
        <v>302</v>
      </c>
      <c r="B306" s="157" t="s">
        <v>303</v>
      </c>
      <c r="C306" s="171">
        <v>42804</v>
      </c>
      <c r="D306" s="178"/>
      <c r="E306" s="157" t="s">
        <v>551</v>
      </c>
      <c r="F306" s="223" t="s">
        <v>305</v>
      </c>
      <c r="G306" s="223"/>
      <c r="H306" s="224" t="s">
        <v>306</v>
      </c>
      <c r="I306" s="157" t="s">
        <v>1009</v>
      </c>
      <c r="J306" s="157" t="s">
        <v>1009</v>
      </c>
      <c r="K306" s="157" t="s">
        <v>1009</v>
      </c>
      <c r="L306" s="223" t="s">
        <v>296</v>
      </c>
      <c r="M306" s="173"/>
      <c r="N306" s="173"/>
      <c r="O306" s="157" t="s">
        <v>271</v>
      </c>
      <c r="P306" s="158">
        <v>1558.07</v>
      </c>
      <c r="Q306" s="185"/>
      <c r="R306" s="175"/>
      <c r="S306" s="174">
        <f t="shared" si="13"/>
        <v>1558.07</v>
      </c>
      <c r="T306" s="157"/>
      <c r="U306" s="177"/>
      <c r="V306" s="157"/>
      <c r="W306" s="157"/>
      <c r="X306" s="176">
        <f t="shared" si="10"/>
        <v>0</v>
      </c>
      <c r="Y306" s="228"/>
      <c r="Z306" s="311"/>
      <c r="AA306" s="157"/>
      <c r="AB306" s="157"/>
      <c r="AC306" s="157"/>
    </row>
    <row r="307" spans="1:29" outlineLevel="1">
      <c r="A307" s="170" t="s">
        <v>302</v>
      </c>
      <c r="B307" s="157" t="s">
        <v>303</v>
      </c>
      <c r="C307" s="171">
        <v>42807</v>
      </c>
      <c r="D307" s="178"/>
      <c r="E307" s="157" t="s">
        <v>304</v>
      </c>
      <c r="F307" s="223" t="s">
        <v>305</v>
      </c>
      <c r="G307" s="223"/>
      <c r="H307" s="224" t="s">
        <v>306</v>
      </c>
      <c r="I307" s="157"/>
      <c r="J307" s="172"/>
      <c r="K307" s="157"/>
      <c r="L307" s="223" t="s">
        <v>296</v>
      </c>
      <c r="M307" s="173"/>
      <c r="N307" s="173"/>
      <c r="O307" s="157" t="s">
        <v>308</v>
      </c>
      <c r="P307" s="158"/>
      <c r="Q307" s="185"/>
      <c r="R307" s="175"/>
      <c r="S307" s="174">
        <f t="shared" si="13"/>
        <v>0</v>
      </c>
      <c r="T307" s="157"/>
      <c r="U307" s="177">
        <v>-403.07</v>
      </c>
      <c r="V307" s="157"/>
      <c r="W307" s="157"/>
      <c r="X307" s="176">
        <f t="shared" si="10"/>
        <v>-403.07</v>
      </c>
      <c r="Y307" s="228"/>
      <c r="Z307" s="311"/>
      <c r="AA307" s="157"/>
      <c r="AB307" s="157"/>
      <c r="AC307" s="157"/>
    </row>
    <row r="308" spans="1:29" outlineLevel="1">
      <c r="A308" s="170" t="s">
        <v>302</v>
      </c>
      <c r="B308" s="157" t="s">
        <v>303</v>
      </c>
      <c r="C308" s="171">
        <v>42807</v>
      </c>
      <c r="D308" s="178"/>
      <c r="E308" s="157" t="s">
        <v>304</v>
      </c>
      <c r="F308" s="223" t="s">
        <v>305</v>
      </c>
      <c r="G308" s="223"/>
      <c r="H308" s="224" t="s">
        <v>306</v>
      </c>
      <c r="I308" s="157"/>
      <c r="J308" s="172"/>
      <c r="K308" s="157"/>
      <c r="L308" s="223" t="s">
        <v>296</v>
      </c>
      <c r="M308" s="173"/>
      <c r="N308" s="173"/>
      <c r="O308" s="157" t="s">
        <v>308</v>
      </c>
      <c r="P308" s="158"/>
      <c r="Q308" s="185"/>
      <c r="R308" s="175"/>
      <c r="S308" s="174">
        <f t="shared" si="13"/>
        <v>0</v>
      </c>
      <c r="T308" s="157"/>
      <c r="U308" s="177">
        <v>-633</v>
      </c>
      <c r="V308" s="157"/>
      <c r="W308" s="157"/>
      <c r="X308" s="176">
        <f t="shared" si="10"/>
        <v>-633</v>
      </c>
      <c r="Y308" s="228"/>
      <c r="Z308" s="311"/>
      <c r="AA308" s="157"/>
      <c r="AB308" s="157"/>
      <c r="AC308" s="157"/>
    </row>
    <row r="309" spans="1:29" outlineLevel="1">
      <c r="A309" s="170" t="s">
        <v>302</v>
      </c>
      <c r="B309" s="157" t="s">
        <v>303</v>
      </c>
      <c r="C309" s="171">
        <v>42807</v>
      </c>
      <c r="D309" s="178"/>
      <c r="E309" s="157" t="s">
        <v>552</v>
      </c>
      <c r="F309" s="223" t="s">
        <v>305</v>
      </c>
      <c r="G309" s="223"/>
      <c r="H309" s="224" t="s">
        <v>306</v>
      </c>
      <c r="I309" s="157" t="s">
        <v>1009</v>
      </c>
      <c r="J309" s="157" t="s">
        <v>1009</v>
      </c>
      <c r="K309" s="157" t="s">
        <v>1009</v>
      </c>
      <c r="L309" s="223" t="s">
        <v>296</v>
      </c>
      <c r="M309" s="173"/>
      <c r="N309" s="173"/>
      <c r="O309" s="157" t="s">
        <v>271</v>
      </c>
      <c r="P309" s="158">
        <v>2250.13</v>
      </c>
      <c r="Q309" s="185"/>
      <c r="R309" s="175"/>
      <c r="S309" s="174">
        <f t="shared" si="13"/>
        <v>2250.13</v>
      </c>
      <c r="T309" s="157"/>
      <c r="U309" s="177"/>
      <c r="V309" s="157"/>
      <c r="W309" s="157"/>
      <c r="X309" s="176">
        <f t="shared" si="10"/>
        <v>0</v>
      </c>
      <c r="Y309" s="228"/>
      <c r="Z309" s="311"/>
      <c r="AA309" s="157"/>
      <c r="AB309" s="157"/>
      <c r="AC309" s="157"/>
    </row>
    <row r="310" spans="1:29" outlineLevel="1">
      <c r="A310" s="170" t="s">
        <v>302</v>
      </c>
      <c r="B310" s="157" t="s">
        <v>303</v>
      </c>
      <c r="C310" s="171">
        <v>42807</v>
      </c>
      <c r="D310" s="178"/>
      <c r="E310" s="157" t="s">
        <v>553</v>
      </c>
      <c r="F310" s="223" t="s">
        <v>305</v>
      </c>
      <c r="G310" s="223"/>
      <c r="H310" s="224" t="s">
        <v>306</v>
      </c>
      <c r="I310" s="157" t="s">
        <v>1009</v>
      </c>
      <c r="J310" s="157" t="s">
        <v>1009</v>
      </c>
      <c r="K310" s="157" t="s">
        <v>1009</v>
      </c>
      <c r="L310" s="223" t="s">
        <v>296</v>
      </c>
      <c r="M310" s="173"/>
      <c r="N310" s="173"/>
      <c r="O310" s="157" t="s">
        <v>271</v>
      </c>
      <c r="P310" s="158">
        <v>1607.66</v>
      </c>
      <c r="Q310" s="185"/>
      <c r="R310" s="175"/>
      <c r="S310" s="174">
        <f t="shared" si="13"/>
        <v>1607.66</v>
      </c>
      <c r="T310" s="157"/>
      <c r="U310" s="177"/>
      <c r="V310" s="157"/>
      <c r="W310" s="157"/>
      <c r="X310" s="176">
        <f t="shared" si="10"/>
        <v>0</v>
      </c>
      <c r="Y310" s="228"/>
      <c r="Z310" s="311"/>
      <c r="AA310" s="157"/>
      <c r="AB310" s="157"/>
      <c r="AC310" s="157"/>
    </row>
    <row r="311" spans="1:29" outlineLevel="1">
      <c r="A311" s="170" t="s">
        <v>302</v>
      </c>
      <c r="B311" s="157" t="s">
        <v>303</v>
      </c>
      <c r="C311" s="171">
        <v>42807</v>
      </c>
      <c r="D311" s="178"/>
      <c r="E311" s="157" t="s">
        <v>554</v>
      </c>
      <c r="F311" s="223" t="s">
        <v>305</v>
      </c>
      <c r="G311" s="223"/>
      <c r="H311" s="224" t="s">
        <v>306</v>
      </c>
      <c r="I311" s="157" t="s">
        <v>1009</v>
      </c>
      <c r="J311" s="157" t="s">
        <v>1009</v>
      </c>
      <c r="K311" s="157" t="s">
        <v>1009</v>
      </c>
      <c r="L311" s="223" t="s">
        <v>296</v>
      </c>
      <c r="M311" s="173"/>
      <c r="N311" s="173"/>
      <c r="O311" s="157" t="s">
        <v>271</v>
      </c>
      <c r="P311" s="158">
        <v>1052.97</v>
      </c>
      <c r="Q311" s="185"/>
      <c r="R311" s="175"/>
      <c r="S311" s="174">
        <f t="shared" si="13"/>
        <v>1052.97</v>
      </c>
      <c r="T311" s="157"/>
      <c r="U311" s="177"/>
      <c r="V311" s="157"/>
      <c r="W311" s="157"/>
      <c r="X311" s="176">
        <f t="shared" si="10"/>
        <v>0</v>
      </c>
      <c r="Y311" s="228"/>
      <c r="Z311" s="311"/>
      <c r="AA311" s="157"/>
      <c r="AB311" s="157"/>
      <c r="AC311" s="157"/>
    </row>
    <row r="312" spans="1:29" outlineLevel="1">
      <c r="A312" s="170" t="s">
        <v>302</v>
      </c>
      <c r="B312" s="157" t="s">
        <v>303</v>
      </c>
      <c r="C312" s="171">
        <v>42808</v>
      </c>
      <c r="D312" s="178"/>
      <c r="E312" s="157" t="s">
        <v>304</v>
      </c>
      <c r="F312" s="223" t="s">
        <v>305</v>
      </c>
      <c r="G312" s="223"/>
      <c r="H312" s="224" t="s">
        <v>306</v>
      </c>
      <c r="I312" s="157"/>
      <c r="J312" s="172"/>
      <c r="K312" s="157"/>
      <c r="L312" s="223" t="s">
        <v>296</v>
      </c>
      <c r="M312" s="173"/>
      <c r="N312" s="173"/>
      <c r="O312" s="157" t="s">
        <v>308</v>
      </c>
      <c r="P312" s="158"/>
      <c r="Q312" s="185"/>
      <c r="R312" s="175"/>
      <c r="S312" s="174">
        <f t="shared" si="13"/>
        <v>0</v>
      </c>
      <c r="T312" s="157"/>
      <c r="U312" s="177">
        <v>-460.2</v>
      </c>
      <c r="V312" s="157"/>
      <c r="W312" s="157"/>
      <c r="X312" s="176">
        <f t="shared" si="10"/>
        <v>-460.2</v>
      </c>
      <c r="Y312" s="228"/>
      <c r="Z312" s="311"/>
      <c r="AA312" s="157"/>
      <c r="AB312" s="157"/>
      <c r="AC312" s="157"/>
    </row>
    <row r="313" spans="1:29" outlineLevel="1">
      <c r="A313" s="170" t="s">
        <v>302</v>
      </c>
      <c r="B313" s="157" t="s">
        <v>303</v>
      </c>
      <c r="C313" s="171">
        <v>42808</v>
      </c>
      <c r="D313" s="178"/>
      <c r="E313" s="157" t="s">
        <v>304</v>
      </c>
      <c r="F313" s="223" t="s">
        <v>305</v>
      </c>
      <c r="G313" s="223"/>
      <c r="H313" s="224" t="s">
        <v>306</v>
      </c>
      <c r="I313" s="157"/>
      <c r="J313" s="172"/>
      <c r="K313" s="157"/>
      <c r="L313" s="223" t="s">
        <v>296</v>
      </c>
      <c r="M313" s="173"/>
      <c r="N313" s="173"/>
      <c r="O313" s="157" t="s">
        <v>308</v>
      </c>
      <c r="P313" s="158"/>
      <c r="Q313" s="185"/>
      <c r="R313" s="175"/>
      <c r="S313" s="174">
        <f t="shared" si="13"/>
        <v>0</v>
      </c>
      <c r="T313" s="157"/>
      <c r="U313" s="177">
        <v>-340</v>
      </c>
      <c r="V313" s="157"/>
      <c r="W313" s="157"/>
      <c r="X313" s="176">
        <f t="shared" si="10"/>
        <v>-340</v>
      </c>
      <c r="Y313" s="228"/>
      <c r="Z313" s="311"/>
      <c r="AA313" s="157"/>
      <c r="AB313" s="157"/>
      <c r="AC313" s="157"/>
    </row>
    <row r="314" spans="1:29" outlineLevel="1">
      <c r="A314" s="170" t="s">
        <v>302</v>
      </c>
      <c r="B314" s="157" t="s">
        <v>303</v>
      </c>
      <c r="C314" s="171">
        <v>42808</v>
      </c>
      <c r="D314" s="178"/>
      <c r="E314" s="157" t="s">
        <v>304</v>
      </c>
      <c r="F314" s="223" t="s">
        <v>305</v>
      </c>
      <c r="G314" s="223"/>
      <c r="H314" s="224" t="s">
        <v>306</v>
      </c>
      <c r="I314" s="157"/>
      <c r="J314" s="172"/>
      <c r="K314" s="157"/>
      <c r="L314" s="223" t="s">
        <v>296</v>
      </c>
      <c r="M314" s="173"/>
      <c r="N314" s="173"/>
      <c r="O314" s="157" t="s">
        <v>308</v>
      </c>
      <c r="P314" s="158"/>
      <c r="Q314" s="185"/>
      <c r="R314" s="175"/>
      <c r="S314" s="174">
        <f t="shared" si="13"/>
        <v>0</v>
      </c>
      <c r="T314" s="157"/>
      <c r="U314" s="177">
        <v>-340</v>
      </c>
      <c r="V314" s="157"/>
      <c r="W314" s="157"/>
      <c r="X314" s="176">
        <f t="shared" si="10"/>
        <v>-340</v>
      </c>
      <c r="Y314" s="228"/>
      <c r="Z314" s="311"/>
      <c r="AA314" s="157"/>
      <c r="AB314" s="157"/>
      <c r="AC314" s="157"/>
    </row>
    <row r="315" spans="1:29" outlineLevel="1">
      <c r="A315" s="170" t="s">
        <v>302</v>
      </c>
      <c r="B315" s="157" t="s">
        <v>303</v>
      </c>
      <c r="C315" s="171">
        <v>42808</v>
      </c>
      <c r="D315" s="178"/>
      <c r="E315" s="157" t="s">
        <v>304</v>
      </c>
      <c r="F315" s="223" t="s">
        <v>305</v>
      </c>
      <c r="G315" s="223"/>
      <c r="H315" s="224" t="s">
        <v>306</v>
      </c>
      <c r="I315" s="157"/>
      <c r="J315" s="172"/>
      <c r="K315" s="157"/>
      <c r="L315" s="223" t="s">
        <v>296</v>
      </c>
      <c r="M315" s="173"/>
      <c r="N315" s="173"/>
      <c r="O315" s="157" t="s">
        <v>308</v>
      </c>
      <c r="P315" s="158"/>
      <c r="Q315" s="185"/>
      <c r="R315" s="175"/>
      <c r="S315" s="174">
        <f t="shared" si="13"/>
        <v>0</v>
      </c>
      <c r="T315" s="157"/>
      <c r="U315" s="177">
        <v>-680</v>
      </c>
      <c r="V315" s="157"/>
      <c r="W315" s="157"/>
      <c r="X315" s="176">
        <f t="shared" si="10"/>
        <v>-680</v>
      </c>
      <c r="Y315" s="228"/>
      <c r="Z315" s="311"/>
      <c r="AA315" s="157"/>
      <c r="AB315" s="157"/>
      <c r="AC315" s="157"/>
    </row>
    <row r="316" spans="1:29" outlineLevel="1">
      <c r="A316" s="170" t="s">
        <v>302</v>
      </c>
      <c r="B316" s="157" t="s">
        <v>303</v>
      </c>
      <c r="C316" s="171">
        <v>42808</v>
      </c>
      <c r="D316" s="178"/>
      <c r="E316" s="157" t="s">
        <v>555</v>
      </c>
      <c r="F316" s="223" t="s">
        <v>305</v>
      </c>
      <c r="G316" s="223"/>
      <c r="H316" s="224" t="s">
        <v>306</v>
      </c>
      <c r="I316" s="157" t="s">
        <v>1009</v>
      </c>
      <c r="J316" s="157" t="s">
        <v>1009</v>
      </c>
      <c r="K316" s="157" t="s">
        <v>1009</v>
      </c>
      <c r="L316" s="223" t="s">
        <v>296</v>
      </c>
      <c r="M316" s="173"/>
      <c r="N316" s="173"/>
      <c r="O316" s="157" t="s">
        <v>271</v>
      </c>
      <c r="P316" s="158">
        <v>516.45000000000005</v>
      </c>
      <c r="Q316" s="185"/>
      <c r="R316" s="175"/>
      <c r="S316" s="174">
        <f t="shared" si="13"/>
        <v>516.45000000000005</v>
      </c>
      <c r="T316" s="157"/>
      <c r="U316" s="177"/>
      <c r="V316" s="157"/>
      <c r="W316" s="157"/>
      <c r="X316" s="176">
        <f t="shared" si="10"/>
        <v>0</v>
      </c>
      <c r="Y316" s="228"/>
      <c r="Z316" s="311"/>
      <c r="AA316" s="157"/>
      <c r="AB316" s="157"/>
      <c r="AC316" s="157"/>
    </row>
    <row r="317" spans="1:29" outlineLevel="1">
      <c r="A317" s="170" t="s">
        <v>302</v>
      </c>
      <c r="B317" s="157" t="s">
        <v>303</v>
      </c>
      <c r="C317" s="171">
        <v>42809</v>
      </c>
      <c r="D317" s="178"/>
      <c r="E317" s="157" t="s">
        <v>556</v>
      </c>
      <c r="F317" s="223" t="s">
        <v>305</v>
      </c>
      <c r="G317" s="223"/>
      <c r="H317" s="224" t="s">
        <v>306</v>
      </c>
      <c r="I317" s="157" t="s">
        <v>1009</v>
      </c>
      <c r="J317" s="157" t="s">
        <v>1009</v>
      </c>
      <c r="K317" s="157" t="s">
        <v>1009</v>
      </c>
      <c r="L317" s="223" t="s">
        <v>296</v>
      </c>
      <c r="M317" s="173"/>
      <c r="N317" s="173"/>
      <c r="O317" s="157" t="s">
        <v>271</v>
      </c>
      <c r="P317" s="158">
        <v>945.91</v>
      </c>
      <c r="Q317" s="185"/>
      <c r="R317" s="175"/>
      <c r="S317" s="174">
        <f t="shared" si="13"/>
        <v>945.91</v>
      </c>
      <c r="T317" s="157"/>
      <c r="U317" s="177"/>
      <c r="V317" s="157"/>
      <c r="W317" s="157"/>
      <c r="X317" s="176">
        <f t="shared" si="10"/>
        <v>0</v>
      </c>
      <c r="Y317" s="228"/>
      <c r="Z317" s="311"/>
      <c r="AA317" s="157"/>
      <c r="AB317" s="157"/>
      <c r="AC317" s="157"/>
    </row>
    <row r="318" spans="1:29" outlineLevel="1">
      <c r="A318" s="170" t="s">
        <v>302</v>
      </c>
      <c r="B318" s="157" t="s">
        <v>303</v>
      </c>
      <c r="C318" s="171">
        <v>42809</v>
      </c>
      <c r="D318" s="178"/>
      <c r="E318" s="157" t="s">
        <v>557</v>
      </c>
      <c r="F318" s="223" t="s">
        <v>305</v>
      </c>
      <c r="G318" s="223"/>
      <c r="H318" s="224" t="s">
        <v>306</v>
      </c>
      <c r="I318" s="157" t="s">
        <v>1009</v>
      </c>
      <c r="J318" s="157" t="s">
        <v>1009</v>
      </c>
      <c r="K318" s="157" t="s">
        <v>1009</v>
      </c>
      <c r="L318" s="223" t="s">
        <v>296</v>
      </c>
      <c r="M318" s="173"/>
      <c r="N318" s="173"/>
      <c r="O318" s="157" t="s">
        <v>271</v>
      </c>
      <c r="P318" s="158">
        <v>797.83</v>
      </c>
      <c r="Q318" s="185"/>
      <c r="R318" s="175"/>
      <c r="S318" s="174">
        <f t="shared" si="13"/>
        <v>797.83</v>
      </c>
      <c r="T318" s="157"/>
      <c r="U318" s="177"/>
      <c r="V318" s="157"/>
      <c r="W318" s="157"/>
      <c r="X318" s="176">
        <f t="shared" si="10"/>
        <v>0</v>
      </c>
      <c r="Y318" s="228"/>
      <c r="Z318" s="311"/>
      <c r="AA318" s="157"/>
      <c r="AB318" s="157"/>
      <c r="AC318" s="157"/>
    </row>
    <row r="319" spans="1:29" outlineLevel="1">
      <c r="A319" s="170" t="s">
        <v>302</v>
      </c>
      <c r="B319" s="157" t="s">
        <v>303</v>
      </c>
      <c r="C319" s="171">
        <v>42810</v>
      </c>
      <c r="D319" s="178"/>
      <c r="E319" s="157" t="s">
        <v>558</v>
      </c>
      <c r="F319" s="223" t="s">
        <v>305</v>
      </c>
      <c r="G319" s="223"/>
      <c r="H319" s="224" t="s">
        <v>306</v>
      </c>
      <c r="I319" s="157" t="s">
        <v>1009</v>
      </c>
      <c r="J319" s="157" t="s">
        <v>1009</v>
      </c>
      <c r="K319" s="157" t="s">
        <v>1009</v>
      </c>
      <c r="L319" s="223" t="s">
        <v>296</v>
      </c>
      <c r="M319" s="173"/>
      <c r="N319" s="173"/>
      <c r="O319" s="157" t="s">
        <v>271</v>
      </c>
      <c r="P319" s="158">
        <v>584.09</v>
      </c>
      <c r="Q319" s="185"/>
      <c r="R319" s="175"/>
      <c r="S319" s="174">
        <f t="shared" si="13"/>
        <v>584.09</v>
      </c>
      <c r="T319" s="157"/>
      <c r="U319" s="177"/>
      <c r="V319" s="157"/>
      <c r="W319" s="157"/>
      <c r="X319" s="176">
        <f t="shared" si="10"/>
        <v>0</v>
      </c>
      <c r="Y319" s="228"/>
      <c r="Z319" s="311"/>
      <c r="AA319" s="157"/>
      <c r="AB319" s="157"/>
      <c r="AC319" s="157"/>
    </row>
    <row r="320" spans="1:29" outlineLevel="1">
      <c r="A320" s="170" t="s">
        <v>302</v>
      </c>
      <c r="B320" s="157" t="s">
        <v>303</v>
      </c>
      <c r="C320" s="171">
        <v>42811</v>
      </c>
      <c r="D320" s="178"/>
      <c r="E320" s="157" t="s">
        <v>559</v>
      </c>
      <c r="F320" s="223" t="s">
        <v>305</v>
      </c>
      <c r="G320" s="223"/>
      <c r="H320" s="224" t="s">
        <v>306</v>
      </c>
      <c r="I320" s="157" t="s">
        <v>1009</v>
      </c>
      <c r="J320" s="157" t="s">
        <v>1009</v>
      </c>
      <c r="K320" s="157" t="s">
        <v>1009</v>
      </c>
      <c r="L320" s="223" t="s">
        <v>296</v>
      </c>
      <c r="M320" s="173"/>
      <c r="N320" s="173"/>
      <c r="O320" s="157" t="s">
        <v>271</v>
      </c>
      <c r="P320" s="158">
        <v>1303.1099999999999</v>
      </c>
      <c r="Q320" s="185"/>
      <c r="R320" s="175"/>
      <c r="S320" s="174">
        <f t="shared" si="13"/>
        <v>1303.1099999999999</v>
      </c>
      <c r="T320" s="157"/>
      <c r="U320" s="177"/>
      <c r="V320" s="157"/>
      <c r="W320" s="157"/>
      <c r="X320" s="176">
        <f t="shared" si="10"/>
        <v>0</v>
      </c>
      <c r="Y320" s="228"/>
      <c r="Z320" s="311"/>
      <c r="AA320" s="157"/>
      <c r="AB320" s="157"/>
      <c r="AC320" s="157"/>
    </row>
    <row r="321" spans="1:29" outlineLevel="1">
      <c r="A321" s="170" t="s">
        <v>302</v>
      </c>
      <c r="B321" s="157" t="s">
        <v>303</v>
      </c>
      <c r="C321" s="171">
        <v>42814</v>
      </c>
      <c r="D321" s="178"/>
      <c r="E321" s="157" t="s">
        <v>304</v>
      </c>
      <c r="F321" s="223" t="s">
        <v>305</v>
      </c>
      <c r="G321" s="223"/>
      <c r="H321" s="224" t="s">
        <v>306</v>
      </c>
      <c r="I321" s="157"/>
      <c r="J321" s="172"/>
      <c r="K321" s="157"/>
      <c r="L321" s="223" t="s">
        <v>296</v>
      </c>
      <c r="M321" s="173"/>
      <c r="N321" s="173"/>
      <c r="O321" s="157" t="s">
        <v>308</v>
      </c>
      <c r="P321" s="158"/>
      <c r="Q321" s="185"/>
      <c r="R321" s="175"/>
      <c r="S321" s="174">
        <f t="shared" si="13"/>
        <v>0</v>
      </c>
      <c r="T321" s="157"/>
      <c r="U321" s="177">
        <v>-465</v>
      </c>
      <c r="V321" s="157"/>
      <c r="W321" s="157"/>
      <c r="X321" s="176">
        <f t="shared" ref="X321:X344" si="14">U321</f>
        <v>-465</v>
      </c>
      <c r="Y321" s="228"/>
      <c r="Z321" s="311"/>
      <c r="AA321" s="157"/>
      <c r="AB321" s="157"/>
      <c r="AC321" s="157"/>
    </row>
    <row r="322" spans="1:29" outlineLevel="1">
      <c r="A322" s="170" t="s">
        <v>302</v>
      </c>
      <c r="B322" s="157" t="s">
        <v>303</v>
      </c>
      <c r="C322" s="171">
        <v>42814</v>
      </c>
      <c r="D322" s="178"/>
      <c r="E322" s="157" t="s">
        <v>304</v>
      </c>
      <c r="F322" s="223" t="s">
        <v>305</v>
      </c>
      <c r="G322" s="223"/>
      <c r="H322" s="224" t="s">
        <v>306</v>
      </c>
      <c r="I322" s="157"/>
      <c r="J322" s="172"/>
      <c r="K322" s="157"/>
      <c r="L322" s="223" t="s">
        <v>296</v>
      </c>
      <c r="M322" s="173"/>
      <c r="N322" s="173"/>
      <c r="O322" s="157" t="s">
        <v>308</v>
      </c>
      <c r="P322" s="158"/>
      <c r="Q322" s="185"/>
      <c r="R322" s="175"/>
      <c r="S322" s="174">
        <f t="shared" si="13"/>
        <v>0</v>
      </c>
      <c r="T322" s="157"/>
      <c r="U322" s="177">
        <v>-454.7</v>
      </c>
      <c r="V322" s="157"/>
      <c r="W322" s="157"/>
      <c r="X322" s="176">
        <f t="shared" si="14"/>
        <v>-454.7</v>
      </c>
      <c r="Y322" s="228"/>
      <c r="Z322" s="311"/>
      <c r="AA322" s="157"/>
      <c r="AB322" s="157"/>
      <c r="AC322" s="157"/>
    </row>
    <row r="323" spans="1:29" outlineLevel="1">
      <c r="A323" s="170" t="s">
        <v>302</v>
      </c>
      <c r="B323" s="157" t="s">
        <v>303</v>
      </c>
      <c r="C323" s="171">
        <v>42814</v>
      </c>
      <c r="D323" s="178"/>
      <c r="E323" s="157" t="s">
        <v>304</v>
      </c>
      <c r="F323" s="223" t="s">
        <v>305</v>
      </c>
      <c r="G323" s="223"/>
      <c r="H323" s="224" t="s">
        <v>306</v>
      </c>
      <c r="I323" s="157"/>
      <c r="J323" s="172"/>
      <c r="K323" s="157"/>
      <c r="L323" s="223" t="s">
        <v>296</v>
      </c>
      <c r="M323" s="173"/>
      <c r="N323" s="173"/>
      <c r="O323" s="157" t="s">
        <v>308</v>
      </c>
      <c r="P323" s="158"/>
      <c r="Q323" s="185"/>
      <c r="R323" s="175"/>
      <c r="S323" s="174">
        <f t="shared" si="13"/>
        <v>0</v>
      </c>
      <c r="T323" s="157"/>
      <c r="U323" s="177">
        <v>-583.5</v>
      </c>
      <c r="V323" s="157"/>
      <c r="W323" s="157"/>
      <c r="X323" s="176">
        <f t="shared" si="14"/>
        <v>-583.5</v>
      </c>
      <c r="Y323" s="228"/>
      <c r="Z323" s="311"/>
      <c r="AA323" s="157"/>
      <c r="AB323" s="157"/>
      <c r="AC323" s="157"/>
    </row>
    <row r="324" spans="1:29" outlineLevel="1">
      <c r="A324" s="170" t="s">
        <v>302</v>
      </c>
      <c r="B324" s="157" t="s">
        <v>303</v>
      </c>
      <c r="C324" s="171">
        <v>42814</v>
      </c>
      <c r="D324" s="178"/>
      <c r="E324" s="157" t="s">
        <v>560</v>
      </c>
      <c r="F324" s="223" t="s">
        <v>305</v>
      </c>
      <c r="G324" s="223"/>
      <c r="H324" s="224" t="s">
        <v>306</v>
      </c>
      <c r="I324" s="157" t="s">
        <v>1009</v>
      </c>
      <c r="J324" s="157" t="s">
        <v>1009</v>
      </c>
      <c r="K324" s="157" t="s">
        <v>1009</v>
      </c>
      <c r="L324" s="223" t="s">
        <v>296</v>
      </c>
      <c r="M324" s="173"/>
      <c r="N324" s="173"/>
      <c r="O324" s="157" t="s">
        <v>271</v>
      </c>
      <c r="P324" s="158">
        <v>2128.42</v>
      </c>
      <c r="Q324" s="185"/>
      <c r="R324" s="175"/>
      <c r="S324" s="174">
        <f t="shared" si="13"/>
        <v>2128.42</v>
      </c>
      <c r="T324" s="157"/>
      <c r="U324" s="177"/>
      <c r="V324" s="157"/>
      <c r="W324" s="157"/>
      <c r="X324" s="176">
        <f t="shared" si="14"/>
        <v>0</v>
      </c>
      <c r="Y324" s="228"/>
      <c r="Z324" s="311"/>
      <c r="AA324" s="157"/>
      <c r="AB324" s="157"/>
      <c r="AC324" s="157"/>
    </row>
    <row r="325" spans="1:29" outlineLevel="1">
      <c r="A325" s="170" t="s">
        <v>302</v>
      </c>
      <c r="B325" s="157" t="s">
        <v>303</v>
      </c>
      <c r="C325" s="171">
        <v>42814</v>
      </c>
      <c r="D325" s="178"/>
      <c r="E325" s="157" t="s">
        <v>561</v>
      </c>
      <c r="F325" s="223" t="s">
        <v>305</v>
      </c>
      <c r="G325" s="223"/>
      <c r="H325" s="224" t="s">
        <v>306</v>
      </c>
      <c r="I325" s="157" t="s">
        <v>1009</v>
      </c>
      <c r="J325" s="157" t="s">
        <v>1009</v>
      </c>
      <c r="K325" s="157" t="s">
        <v>1009</v>
      </c>
      <c r="L325" s="223" t="s">
        <v>296</v>
      </c>
      <c r="M325" s="173"/>
      <c r="N325" s="173"/>
      <c r="O325" s="157" t="s">
        <v>271</v>
      </c>
      <c r="P325" s="158">
        <v>1635.03</v>
      </c>
      <c r="Q325" s="185"/>
      <c r="R325" s="175"/>
      <c r="S325" s="174">
        <f t="shared" si="13"/>
        <v>1635.03</v>
      </c>
      <c r="T325" s="157"/>
      <c r="U325" s="177"/>
      <c r="V325" s="157"/>
      <c r="W325" s="157"/>
      <c r="X325" s="176">
        <f t="shared" si="14"/>
        <v>0</v>
      </c>
      <c r="Y325" s="228"/>
      <c r="Z325" s="311"/>
      <c r="AA325" s="157"/>
      <c r="AB325" s="157"/>
      <c r="AC325" s="157"/>
    </row>
    <row r="326" spans="1:29" outlineLevel="1">
      <c r="A326" s="170" t="s">
        <v>302</v>
      </c>
      <c r="B326" s="157" t="s">
        <v>303</v>
      </c>
      <c r="C326" s="171">
        <v>42814</v>
      </c>
      <c r="D326" s="178"/>
      <c r="E326" s="157" t="s">
        <v>562</v>
      </c>
      <c r="F326" s="223" t="s">
        <v>305</v>
      </c>
      <c r="G326" s="223"/>
      <c r="H326" s="224" t="s">
        <v>306</v>
      </c>
      <c r="I326" s="157" t="s">
        <v>1009</v>
      </c>
      <c r="J326" s="157" t="s">
        <v>1009</v>
      </c>
      <c r="K326" s="157" t="s">
        <v>1009</v>
      </c>
      <c r="L326" s="223" t="s">
        <v>296</v>
      </c>
      <c r="M326" s="173"/>
      <c r="N326" s="173"/>
      <c r="O326" s="157" t="s">
        <v>271</v>
      </c>
      <c r="P326" s="158">
        <v>1164.9000000000001</v>
      </c>
      <c r="Q326" s="185"/>
      <c r="R326" s="175"/>
      <c r="S326" s="174">
        <f t="shared" si="13"/>
        <v>1164.9000000000001</v>
      </c>
      <c r="T326" s="157"/>
      <c r="U326" s="177"/>
      <c r="V326" s="157"/>
      <c r="W326" s="157"/>
      <c r="X326" s="176">
        <f t="shared" si="14"/>
        <v>0</v>
      </c>
      <c r="Y326" s="228"/>
      <c r="Z326" s="311"/>
      <c r="AA326" s="157"/>
      <c r="AB326" s="157"/>
      <c r="AC326" s="157"/>
    </row>
    <row r="327" spans="1:29" outlineLevel="1">
      <c r="A327" s="170" t="s">
        <v>302</v>
      </c>
      <c r="B327" s="157" t="s">
        <v>303</v>
      </c>
      <c r="C327" s="171">
        <v>42814</v>
      </c>
      <c r="D327" s="178"/>
      <c r="E327" s="157" t="s">
        <v>563</v>
      </c>
      <c r="F327" s="223" t="s">
        <v>305</v>
      </c>
      <c r="G327" s="223"/>
      <c r="H327" s="224" t="s">
        <v>306</v>
      </c>
      <c r="I327" s="157" t="s">
        <v>1009</v>
      </c>
      <c r="J327" s="157" t="s">
        <v>1009</v>
      </c>
      <c r="K327" s="157" t="s">
        <v>1009</v>
      </c>
      <c r="L327" s="223" t="s">
        <v>296</v>
      </c>
      <c r="M327" s="173"/>
      <c r="N327" s="173"/>
      <c r="O327" s="157" t="s">
        <v>271</v>
      </c>
      <c r="P327" s="158">
        <v>682.61</v>
      </c>
      <c r="Q327" s="185"/>
      <c r="R327" s="175"/>
      <c r="S327" s="174">
        <f t="shared" si="13"/>
        <v>682.61</v>
      </c>
      <c r="T327" s="157"/>
      <c r="U327" s="177"/>
      <c r="V327" s="157"/>
      <c r="W327" s="157"/>
      <c r="X327" s="176">
        <f t="shared" si="14"/>
        <v>0</v>
      </c>
      <c r="Y327" s="228"/>
      <c r="Z327" s="311"/>
      <c r="AA327" s="157"/>
      <c r="AB327" s="157"/>
      <c r="AC327" s="157"/>
    </row>
    <row r="328" spans="1:29" outlineLevel="1">
      <c r="A328" s="170" t="s">
        <v>302</v>
      </c>
      <c r="B328" s="157" t="s">
        <v>303</v>
      </c>
      <c r="C328" s="171">
        <v>42815</v>
      </c>
      <c r="D328" s="178"/>
      <c r="E328" s="157" t="s">
        <v>564</v>
      </c>
      <c r="F328" s="223" t="s">
        <v>305</v>
      </c>
      <c r="G328" s="223"/>
      <c r="H328" s="224" t="s">
        <v>306</v>
      </c>
      <c r="I328" s="157"/>
      <c r="J328" s="172"/>
      <c r="K328" s="157"/>
      <c r="L328" s="223" t="s">
        <v>296</v>
      </c>
      <c r="M328" s="173"/>
      <c r="N328" s="173"/>
      <c r="O328" s="157" t="s">
        <v>307</v>
      </c>
      <c r="P328" s="158"/>
      <c r="Q328" s="185"/>
      <c r="R328" s="175"/>
      <c r="S328" s="174">
        <f t="shared" si="13"/>
        <v>0</v>
      </c>
      <c r="T328" s="157"/>
      <c r="U328" s="177">
        <v>-66.33</v>
      </c>
      <c r="V328" s="157"/>
      <c r="W328" s="157"/>
      <c r="X328" s="176">
        <f t="shared" si="14"/>
        <v>-66.33</v>
      </c>
      <c r="Y328" s="228"/>
      <c r="Z328" s="311"/>
      <c r="AA328" s="157"/>
      <c r="AB328" s="157"/>
      <c r="AC328" s="157"/>
    </row>
    <row r="329" spans="1:29" outlineLevel="1">
      <c r="A329" s="170" t="s">
        <v>302</v>
      </c>
      <c r="B329" s="157" t="s">
        <v>303</v>
      </c>
      <c r="C329" s="171">
        <v>42815</v>
      </c>
      <c r="D329" s="178"/>
      <c r="E329" s="157" t="s">
        <v>565</v>
      </c>
      <c r="F329" s="223" t="s">
        <v>305</v>
      </c>
      <c r="G329" s="223"/>
      <c r="H329" s="224" t="s">
        <v>306</v>
      </c>
      <c r="I329" s="157" t="s">
        <v>1009</v>
      </c>
      <c r="J329" s="157" t="s">
        <v>1009</v>
      </c>
      <c r="K329" s="157" t="s">
        <v>1009</v>
      </c>
      <c r="L329" s="223" t="s">
        <v>296</v>
      </c>
      <c r="M329" s="173"/>
      <c r="N329" s="173"/>
      <c r="O329" s="157" t="s">
        <v>271</v>
      </c>
      <c r="P329" s="158">
        <v>1023.8</v>
      </c>
      <c r="Q329" s="185"/>
      <c r="R329" s="175"/>
      <c r="S329" s="174">
        <f t="shared" si="13"/>
        <v>1023.8</v>
      </c>
      <c r="T329" s="157"/>
      <c r="U329" s="177"/>
      <c r="V329" s="157"/>
      <c r="W329" s="157"/>
      <c r="X329" s="176">
        <f t="shared" si="14"/>
        <v>0</v>
      </c>
      <c r="Y329" s="228"/>
      <c r="Z329" s="311"/>
      <c r="AA329" s="157"/>
      <c r="AB329" s="157"/>
      <c r="AC329" s="157"/>
    </row>
    <row r="330" spans="1:29" outlineLevel="1">
      <c r="A330" s="170" t="s">
        <v>302</v>
      </c>
      <c r="B330" s="157" t="s">
        <v>303</v>
      </c>
      <c r="C330" s="171">
        <v>42816</v>
      </c>
      <c r="D330" s="178"/>
      <c r="E330" s="157" t="s">
        <v>566</v>
      </c>
      <c r="F330" s="223" t="s">
        <v>305</v>
      </c>
      <c r="G330" s="223"/>
      <c r="H330" s="224" t="s">
        <v>306</v>
      </c>
      <c r="I330" s="157" t="s">
        <v>1009</v>
      </c>
      <c r="J330" s="157" t="s">
        <v>1009</v>
      </c>
      <c r="K330" s="157" t="s">
        <v>1009</v>
      </c>
      <c r="L330" s="223" t="s">
        <v>296</v>
      </c>
      <c r="M330" s="173"/>
      <c r="N330" s="173"/>
      <c r="O330" s="157" t="s">
        <v>271</v>
      </c>
      <c r="P330" s="158">
        <v>1038.98</v>
      </c>
      <c r="Q330" s="185"/>
      <c r="R330" s="175"/>
      <c r="S330" s="174">
        <f t="shared" si="13"/>
        <v>1038.98</v>
      </c>
      <c r="T330" s="157"/>
      <c r="U330" s="177"/>
      <c r="V330" s="157"/>
      <c r="W330" s="157"/>
      <c r="X330" s="176">
        <f t="shared" si="14"/>
        <v>0</v>
      </c>
      <c r="Y330" s="228"/>
      <c r="Z330" s="311"/>
      <c r="AA330" s="157"/>
      <c r="AB330" s="157"/>
      <c r="AC330" s="157"/>
    </row>
    <row r="331" spans="1:29" outlineLevel="1">
      <c r="A331" s="170" t="s">
        <v>302</v>
      </c>
      <c r="B331" s="157" t="s">
        <v>303</v>
      </c>
      <c r="C331" s="171">
        <v>42816</v>
      </c>
      <c r="D331" s="178"/>
      <c r="E331" s="157" t="s">
        <v>567</v>
      </c>
      <c r="F331" s="223" t="s">
        <v>305</v>
      </c>
      <c r="G331" s="223"/>
      <c r="H331" s="224" t="s">
        <v>306</v>
      </c>
      <c r="I331" s="157" t="s">
        <v>1009</v>
      </c>
      <c r="J331" s="157" t="s">
        <v>1009</v>
      </c>
      <c r="K331" s="157" t="s">
        <v>1009</v>
      </c>
      <c r="L331" s="223" t="s">
        <v>296</v>
      </c>
      <c r="M331" s="173"/>
      <c r="N331" s="173"/>
      <c r="O331" s="157" t="s">
        <v>271</v>
      </c>
      <c r="P331" s="158">
        <v>421.74</v>
      </c>
      <c r="Q331" s="185"/>
      <c r="R331" s="175"/>
      <c r="S331" s="174">
        <f t="shared" si="13"/>
        <v>421.74</v>
      </c>
      <c r="T331" s="157"/>
      <c r="U331" s="177"/>
      <c r="V331" s="157"/>
      <c r="W331" s="157"/>
      <c r="X331" s="176">
        <f t="shared" si="14"/>
        <v>0</v>
      </c>
      <c r="Y331" s="228"/>
      <c r="Z331" s="311"/>
      <c r="AA331" s="157"/>
      <c r="AB331" s="157"/>
      <c r="AC331" s="157"/>
    </row>
    <row r="332" spans="1:29" outlineLevel="1">
      <c r="A332" s="170" t="s">
        <v>302</v>
      </c>
      <c r="B332" s="157" t="s">
        <v>303</v>
      </c>
      <c r="C332" s="171">
        <v>42817</v>
      </c>
      <c r="D332" s="178"/>
      <c r="E332" s="157" t="s">
        <v>568</v>
      </c>
      <c r="F332" s="223" t="s">
        <v>305</v>
      </c>
      <c r="G332" s="223"/>
      <c r="H332" s="224" t="s">
        <v>306</v>
      </c>
      <c r="I332" s="157" t="s">
        <v>1009</v>
      </c>
      <c r="J332" s="157" t="s">
        <v>1009</v>
      </c>
      <c r="K332" s="157" t="s">
        <v>1009</v>
      </c>
      <c r="L332" s="223" t="s">
        <v>296</v>
      </c>
      <c r="M332" s="173"/>
      <c r="N332" s="173"/>
      <c r="O332" s="157" t="s">
        <v>271</v>
      </c>
      <c r="P332" s="158">
        <v>975.25</v>
      </c>
      <c r="Q332" s="185"/>
      <c r="R332" s="175"/>
      <c r="S332" s="174">
        <f t="shared" si="13"/>
        <v>975.25</v>
      </c>
      <c r="T332" s="157"/>
      <c r="U332" s="177"/>
      <c r="V332" s="157"/>
      <c r="W332" s="157"/>
      <c r="X332" s="176">
        <f t="shared" si="14"/>
        <v>0</v>
      </c>
      <c r="Y332" s="228"/>
      <c r="Z332" s="311"/>
      <c r="AA332" s="157"/>
      <c r="AB332" s="157"/>
      <c r="AC332" s="157"/>
    </row>
    <row r="333" spans="1:29" outlineLevel="1">
      <c r="A333" s="170" t="s">
        <v>302</v>
      </c>
      <c r="B333" s="157" t="s">
        <v>303</v>
      </c>
      <c r="C333" s="171">
        <v>42818</v>
      </c>
      <c r="D333" s="178"/>
      <c r="E333" s="157" t="s">
        <v>569</v>
      </c>
      <c r="F333" s="223" t="s">
        <v>305</v>
      </c>
      <c r="G333" s="223"/>
      <c r="H333" s="224" t="s">
        <v>306</v>
      </c>
      <c r="I333" s="157" t="s">
        <v>1009</v>
      </c>
      <c r="J333" s="157" t="s">
        <v>1009</v>
      </c>
      <c r="K333" s="157" t="s">
        <v>1009</v>
      </c>
      <c r="L333" s="223" t="s">
        <v>296</v>
      </c>
      <c r="M333" s="173"/>
      <c r="N333" s="173"/>
      <c r="O333" s="157" t="s">
        <v>271</v>
      </c>
      <c r="P333" s="158">
        <v>1111.55</v>
      </c>
      <c r="Q333" s="185"/>
      <c r="R333" s="175"/>
      <c r="S333" s="174">
        <f t="shared" si="13"/>
        <v>1111.55</v>
      </c>
      <c r="T333" s="157"/>
      <c r="U333" s="177"/>
      <c r="V333" s="157"/>
      <c r="W333" s="157"/>
      <c r="X333" s="176">
        <f t="shared" si="14"/>
        <v>0</v>
      </c>
      <c r="Y333" s="228"/>
      <c r="Z333" s="311"/>
      <c r="AA333" s="157"/>
      <c r="AB333" s="157"/>
      <c r="AC333" s="157"/>
    </row>
    <row r="334" spans="1:29" outlineLevel="1">
      <c r="A334" s="170" t="s">
        <v>302</v>
      </c>
      <c r="B334" s="157" t="s">
        <v>303</v>
      </c>
      <c r="C334" s="171">
        <v>42821</v>
      </c>
      <c r="D334" s="178"/>
      <c r="E334" s="157" t="s">
        <v>304</v>
      </c>
      <c r="F334" s="223" t="s">
        <v>305</v>
      </c>
      <c r="G334" s="223"/>
      <c r="H334" s="224" t="s">
        <v>306</v>
      </c>
      <c r="I334" s="157"/>
      <c r="J334" s="172"/>
      <c r="K334" s="157"/>
      <c r="L334" s="223" t="s">
        <v>296</v>
      </c>
      <c r="M334" s="173"/>
      <c r="N334" s="173"/>
      <c r="O334" s="157" t="s">
        <v>308</v>
      </c>
      <c r="P334" s="158"/>
      <c r="Q334" s="185"/>
      <c r="R334" s="175"/>
      <c r="S334" s="174">
        <f t="shared" si="13"/>
        <v>0</v>
      </c>
      <c r="T334" s="157"/>
      <c r="U334" s="177">
        <v>-519</v>
      </c>
      <c r="V334" s="157"/>
      <c r="W334" s="157"/>
      <c r="X334" s="176">
        <f t="shared" si="14"/>
        <v>-519</v>
      </c>
      <c r="Y334" s="228"/>
      <c r="Z334" s="311"/>
      <c r="AA334" s="157"/>
      <c r="AB334" s="157"/>
      <c r="AC334" s="157"/>
    </row>
    <row r="335" spans="1:29" outlineLevel="1">
      <c r="A335" s="170" t="s">
        <v>302</v>
      </c>
      <c r="B335" s="157" t="s">
        <v>303</v>
      </c>
      <c r="C335" s="171">
        <v>42821</v>
      </c>
      <c r="D335" s="178"/>
      <c r="E335" s="157" t="s">
        <v>304</v>
      </c>
      <c r="F335" s="223" t="s">
        <v>305</v>
      </c>
      <c r="G335" s="223"/>
      <c r="H335" s="224" t="s">
        <v>306</v>
      </c>
      <c r="I335" s="157"/>
      <c r="J335" s="172"/>
      <c r="K335" s="157"/>
      <c r="L335" s="223" t="s">
        <v>296</v>
      </c>
      <c r="M335" s="173"/>
      <c r="N335" s="173"/>
      <c r="O335" s="157" t="s">
        <v>308</v>
      </c>
      <c r="P335" s="158"/>
      <c r="Q335" s="185"/>
      <c r="R335" s="175"/>
      <c r="S335" s="174">
        <f t="shared" si="13"/>
        <v>0</v>
      </c>
      <c r="T335" s="157"/>
      <c r="U335" s="177">
        <v>-442</v>
      </c>
      <c r="V335" s="157"/>
      <c r="W335" s="157"/>
      <c r="X335" s="176">
        <f t="shared" si="14"/>
        <v>-442</v>
      </c>
      <c r="Y335" s="228"/>
      <c r="Z335" s="311"/>
      <c r="AA335" s="157"/>
      <c r="AB335" s="157"/>
      <c r="AC335" s="157"/>
    </row>
    <row r="336" spans="1:29" outlineLevel="1">
      <c r="A336" s="170" t="s">
        <v>302</v>
      </c>
      <c r="B336" s="157" t="s">
        <v>303</v>
      </c>
      <c r="C336" s="171">
        <v>42821</v>
      </c>
      <c r="D336" s="178"/>
      <c r="E336" s="157" t="s">
        <v>570</v>
      </c>
      <c r="F336" s="223" t="s">
        <v>305</v>
      </c>
      <c r="G336" s="223"/>
      <c r="H336" s="224" t="s">
        <v>306</v>
      </c>
      <c r="I336" s="157" t="s">
        <v>1009</v>
      </c>
      <c r="J336" s="157" t="s">
        <v>1009</v>
      </c>
      <c r="K336" s="157" t="s">
        <v>1009</v>
      </c>
      <c r="L336" s="223" t="s">
        <v>296</v>
      </c>
      <c r="M336" s="173"/>
      <c r="N336" s="173"/>
      <c r="O336" s="157" t="s">
        <v>271</v>
      </c>
      <c r="P336" s="158">
        <v>2015.94</v>
      </c>
      <c r="Q336" s="185"/>
      <c r="R336" s="175"/>
      <c r="S336" s="174">
        <f t="shared" si="13"/>
        <v>2015.94</v>
      </c>
      <c r="T336" s="157"/>
      <c r="U336" s="177"/>
      <c r="V336" s="157"/>
      <c r="W336" s="157"/>
      <c r="X336" s="176">
        <f t="shared" si="14"/>
        <v>0</v>
      </c>
      <c r="Y336" s="228"/>
      <c r="Z336" s="311"/>
      <c r="AA336" s="157"/>
      <c r="AB336" s="157"/>
      <c r="AC336" s="157"/>
    </row>
    <row r="337" spans="1:29" outlineLevel="1">
      <c r="A337" s="170" t="s">
        <v>302</v>
      </c>
      <c r="B337" s="157" t="s">
        <v>303</v>
      </c>
      <c r="C337" s="171">
        <v>42821</v>
      </c>
      <c r="D337" s="178"/>
      <c r="E337" s="157" t="s">
        <v>571</v>
      </c>
      <c r="F337" s="223" t="s">
        <v>305</v>
      </c>
      <c r="G337" s="223"/>
      <c r="H337" s="224" t="s">
        <v>306</v>
      </c>
      <c r="I337" s="157" t="s">
        <v>1009</v>
      </c>
      <c r="J337" s="157" t="s">
        <v>1009</v>
      </c>
      <c r="K337" s="157" t="s">
        <v>1009</v>
      </c>
      <c r="L337" s="223" t="s">
        <v>296</v>
      </c>
      <c r="M337" s="173"/>
      <c r="N337" s="173"/>
      <c r="O337" s="157" t="s">
        <v>271</v>
      </c>
      <c r="P337" s="158">
        <v>1085.22</v>
      </c>
      <c r="Q337" s="185"/>
      <c r="R337" s="175"/>
      <c r="S337" s="174">
        <f t="shared" si="13"/>
        <v>1085.22</v>
      </c>
      <c r="T337" s="157"/>
      <c r="U337" s="177"/>
      <c r="V337" s="157"/>
      <c r="W337" s="157"/>
      <c r="X337" s="176">
        <f t="shared" si="14"/>
        <v>0</v>
      </c>
      <c r="Y337" s="228"/>
      <c r="Z337" s="311"/>
      <c r="AA337" s="157"/>
      <c r="AB337" s="157"/>
      <c r="AC337" s="157"/>
    </row>
    <row r="338" spans="1:29" outlineLevel="1">
      <c r="A338" s="170" t="s">
        <v>302</v>
      </c>
      <c r="B338" s="157" t="s">
        <v>303</v>
      </c>
      <c r="C338" s="171">
        <v>42822</v>
      </c>
      <c r="D338" s="178"/>
      <c r="E338" s="157" t="s">
        <v>304</v>
      </c>
      <c r="F338" s="223" t="s">
        <v>305</v>
      </c>
      <c r="G338" s="223"/>
      <c r="H338" s="224" t="s">
        <v>306</v>
      </c>
      <c r="I338" s="157"/>
      <c r="J338" s="172"/>
      <c r="K338" s="157"/>
      <c r="L338" s="223" t="s">
        <v>296</v>
      </c>
      <c r="M338" s="173"/>
      <c r="N338" s="173"/>
      <c r="O338" s="157" t="s">
        <v>308</v>
      </c>
      <c r="P338" s="158"/>
      <c r="Q338" s="185"/>
      <c r="R338" s="175"/>
      <c r="S338" s="174">
        <f t="shared" si="13"/>
        <v>0</v>
      </c>
      <c r="T338" s="157"/>
      <c r="U338" s="177">
        <v>-490</v>
      </c>
      <c r="V338" s="157"/>
      <c r="W338" s="157"/>
      <c r="X338" s="176">
        <f t="shared" si="14"/>
        <v>-490</v>
      </c>
      <c r="Y338" s="228"/>
      <c r="Z338" s="311"/>
      <c r="AA338" s="157"/>
      <c r="AB338" s="157"/>
      <c r="AC338" s="157"/>
    </row>
    <row r="339" spans="1:29" outlineLevel="1">
      <c r="A339" s="170" t="s">
        <v>302</v>
      </c>
      <c r="B339" s="157" t="s">
        <v>303</v>
      </c>
      <c r="C339" s="171">
        <v>42822</v>
      </c>
      <c r="D339" s="178"/>
      <c r="E339" s="157" t="s">
        <v>572</v>
      </c>
      <c r="F339" s="223" t="s">
        <v>305</v>
      </c>
      <c r="G339" s="223"/>
      <c r="H339" s="224" t="s">
        <v>306</v>
      </c>
      <c r="I339" s="157" t="s">
        <v>1009</v>
      </c>
      <c r="J339" s="157" t="s">
        <v>1009</v>
      </c>
      <c r="K339" s="157" t="s">
        <v>1009</v>
      </c>
      <c r="L339" s="223" t="s">
        <v>296</v>
      </c>
      <c r="M339" s="173"/>
      <c r="N339" s="173"/>
      <c r="O339" s="157" t="s">
        <v>271</v>
      </c>
      <c r="P339" s="158">
        <v>2290.67</v>
      </c>
      <c r="Q339" s="185"/>
      <c r="R339" s="175"/>
      <c r="S339" s="174">
        <f t="shared" ref="S339:S402" si="15">P339</f>
        <v>2290.67</v>
      </c>
      <c r="T339" s="157"/>
      <c r="U339" s="177"/>
      <c r="V339" s="157"/>
      <c r="W339" s="157"/>
      <c r="X339" s="176">
        <f t="shared" si="14"/>
        <v>0</v>
      </c>
      <c r="Y339" s="228"/>
      <c r="Z339" s="311"/>
      <c r="AA339" s="157"/>
      <c r="AB339" s="157"/>
      <c r="AC339" s="157"/>
    </row>
    <row r="340" spans="1:29" outlineLevel="1">
      <c r="A340" s="170" t="s">
        <v>302</v>
      </c>
      <c r="B340" s="157" t="s">
        <v>303</v>
      </c>
      <c r="C340" s="171">
        <v>42822</v>
      </c>
      <c r="D340" s="178"/>
      <c r="E340" s="157" t="s">
        <v>573</v>
      </c>
      <c r="F340" s="223" t="s">
        <v>305</v>
      </c>
      <c r="G340" s="223"/>
      <c r="H340" s="224" t="s">
        <v>306</v>
      </c>
      <c r="I340" s="157" t="s">
        <v>1009</v>
      </c>
      <c r="J340" s="157" t="s">
        <v>1009</v>
      </c>
      <c r="K340" s="157" t="s">
        <v>1009</v>
      </c>
      <c r="L340" s="223" t="s">
        <v>296</v>
      </c>
      <c r="M340" s="173"/>
      <c r="N340" s="173"/>
      <c r="O340" s="157" t="s">
        <v>271</v>
      </c>
      <c r="P340" s="158">
        <v>889.76</v>
      </c>
      <c r="Q340" s="185"/>
      <c r="R340" s="175"/>
      <c r="S340" s="174">
        <f t="shared" si="15"/>
        <v>889.76</v>
      </c>
      <c r="T340" s="157"/>
      <c r="U340" s="177"/>
      <c r="V340" s="157"/>
      <c r="W340" s="157"/>
      <c r="X340" s="176">
        <f t="shared" si="14"/>
        <v>0</v>
      </c>
      <c r="Y340" s="228"/>
      <c r="Z340" s="311"/>
      <c r="AA340" s="157"/>
      <c r="AB340" s="157"/>
      <c r="AC340" s="157"/>
    </row>
    <row r="341" spans="1:29" outlineLevel="1">
      <c r="A341" s="170" t="s">
        <v>302</v>
      </c>
      <c r="B341" s="157" t="s">
        <v>303</v>
      </c>
      <c r="C341" s="171">
        <v>42823</v>
      </c>
      <c r="D341" s="178"/>
      <c r="E341" s="157" t="s">
        <v>574</v>
      </c>
      <c r="F341" s="223" t="s">
        <v>305</v>
      </c>
      <c r="G341" s="223"/>
      <c r="H341" s="224" t="s">
        <v>306</v>
      </c>
      <c r="I341" s="157" t="s">
        <v>1009</v>
      </c>
      <c r="J341" s="157" t="s">
        <v>1009</v>
      </c>
      <c r="K341" s="157" t="s">
        <v>1009</v>
      </c>
      <c r="L341" s="223" t="s">
        <v>296</v>
      </c>
      <c r="M341" s="173"/>
      <c r="N341" s="173"/>
      <c r="O341" s="157" t="s">
        <v>271</v>
      </c>
      <c r="P341" s="158">
        <v>1046.31</v>
      </c>
      <c r="Q341" s="185"/>
      <c r="R341" s="175"/>
      <c r="S341" s="174">
        <f t="shared" si="15"/>
        <v>1046.31</v>
      </c>
      <c r="T341" s="157"/>
      <c r="U341" s="177"/>
      <c r="V341" s="157"/>
      <c r="W341" s="157"/>
      <c r="X341" s="176">
        <f t="shared" si="14"/>
        <v>0</v>
      </c>
      <c r="Y341" s="228"/>
      <c r="Z341" s="311"/>
      <c r="AA341" s="157"/>
      <c r="AB341" s="157"/>
      <c r="AC341" s="157"/>
    </row>
    <row r="342" spans="1:29" outlineLevel="1">
      <c r="A342" s="170" t="s">
        <v>302</v>
      </c>
      <c r="B342" s="157" t="s">
        <v>303</v>
      </c>
      <c r="C342" s="171">
        <v>42823</v>
      </c>
      <c r="D342" s="178"/>
      <c r="E342" s="157" t="s">
        <v>575</v>
      </c>
      <c r="F342" s="223" t="s">
        <v>305</v>
      </c>
      <c r="G342" s="223"/>
      <c r="H342" s="224" t="s">
        <v>306</v>
      </c>
      <c r="I342" s="157" t="s">
        <v>1009</v>
      </c>
      <c r="J342" s="157" t="s">
        <v>1009</v>
      </c>
      <c r="K342" s="157" t="s">
        <v>1009</v>
      </c>
      <c r="L342" s="223" t="s">
        <v>296</v>
      </c>
      <c r="M342" s="173"/>
      <c r="N342" s="173"/>
      <c r="O342" s="157" t="s">
        <v>271</v>
      </c>
      <c r="P342" s="158">
        <v>253.17</v>
      </c>
      <c r="Q342" s="185"/>
      <c r="R342" s="175"/>
      <c r="S342" s="174">
        <f t="shared" si="15"/>
        <v>253.17</v>
      </c>
      <c r="T342" s="157"/>
      <c r="U342" s="177"/>
      <c r="V342" s="157"/>
      <c r="W342" s="157"/>
      <c r="X342" s="176">
        <f t="shared" si="14"/>
        <v>0</v>
      </c>
      <c r="Y342" s="228"/>
      <c r="Z342" s="311"/>
      <c r="AA342" s="157"/>
      <c r="AB342" s="157"/>
      <c r="AC342" s="157"/>
    </row>
    <row r="343" spans="1:29" outlineLevel="1">
      <c r="A343" s="170" t="s">
        <v>302</v>
      </c>
      <c r="B343" s="157" t="s">
        <v>303</v>
      </c>
      <c r="C343" s="171">
        <v>42824</v>
      </c>
      <c r="D343" s="178"/>
      <c r="E343" s="157" t="s">
        <v>576</v>
      </c>
      <c r="F343" s="223" t="s">
        <v>305</v>
      </c>
      <c r="G343" s="223"/>
      <c r="H343" s="224" t="s">
        <v>306</v>
      </c>
      <c r="I343" s="157"/>
      <c r="J343" s="172"/>
      <c r="K343" s="157"/>
      <c r="L343" s="223" t="s">
        <v>296</v>
      </c>
      <c r="M343" s="173"/>
      <c r="N343" s="173"/>
      <c r="O343" s="157" t="s">
        <v>307</v>
      </c>
      <c r="P343" s="158"/>
      <c r="Q343" s="185"/>
      <c r="R343" s="175"/>
      <c r="S343" s="174">
        <f t="shared" si="15"/>
        <v>0</v>
      </c>
      <c r="T343" s="157"/>
      <c r="U343" s="177">
        <v>-26.99</v>
      </c>
      <c r="V343" s="157"/>
      <c r="W343" s="157"/>
      <c r="X343" s="176">
        <f t="shared" si="14"/>
        <v>-26.99</v>
      </c>
      <c r="Y343" s="228"/>
      <c r="Z343" s="311"/>
      <c r="AA343" s="157"/>
      <c r="AB343" s="157"/>
      <c r="AC343" s="157"/>
    </row>
    <row r="344" spans="1:29">
      <c r="A344" s="170" t="s">
        <v>302</v>
      </c>
      <c r="B344" s="157" t="s">
        <v>303</v>
      </c>
      <c r="C344" s="171">
        <v>42824</v>
      </c>
      <c r="D344" s="178"/>
      <c r="E344" s="157" t="s">
        <v>577</v>
      </c>
      <c r="F344" s="223" t="s">
        <v>305</v>
      </c>
      <c r="G344" s="223"/>
      <c r="H344" s="224" t="s">
        <v>306</v>
      </c>
      <c r="I344" s="157" t="s">
        <v>1009</v>
      </c>
      <c r="J344" s="157" t="s">
        <v>1009</v>
      </c>
      <c r="K344" s="157" t="s">
        <v>1009</v>
      </c>
      <c r="L344" s="223" t="s">
        <v>296</v>
      </c>
      <c r="M344" s="173"/>
      <c r="N344" s="173"/>
      <c r="O344" s="157" t="s">
        <v>271</v>
      </c>
      <c r="P344" s="158">
        <v>889.61</v>
      </c>
      <c r="Q344" s="185"/>
      <c r="R344" s="175"/>
      <c r="S344" s="174">
        <f t="shared" si="15"/>
        <v>889.61</v>
      </c>
      <c r="T344" s="157"/>
      <c r="U344" s="177"/>
      <c r="V344" s="157"/>
      <c r="W344" s="157"/>
      <c r="X344" s="176">
        <f t="shared" si="14"/>
        <v>0</v>
      </c>
      <c r="Y344" s="228"/>
      <c r="Z344" s="311"/>
      <c r="AA344" s="157"/>
      <c r="AB344" s="157"/>
      <c r="AC344" s="157"/>
    </row>
    <row r="345" spans="1:29" ht="12" thickBot="1">
      <c r="A345" s="170"/>
      <c r="B345" s="157"/>
      <c r="C345" s="171"/>
      <c r="D345" s="178"/>
      <c r="E345" s="157"/>
      <c r="F345" s="223"/>
      <c r="G345" s="223"/>
      <c r="I345" s="157"/>
      <c r="J345" s="172"/>
      <c r="K345" s="157"/>
      <c r="L345" s="223"/>
      <c r="M345" s="173"/>
      <c r="N345" s="173"/>
      <c r="O345" s="157"/>
      <c r="P345" s="297">
        <f>SUM(P276:P344)</f>
        <v>42309.850000000006</v>
      </c>
      <c r="Q345" s="297">
        <f t="shared" ref="Q345:X345" si="16">SUM(Q276:Q344)</f>
        <v>0</v>
      </c>
      <c r="R345" s="297">
        <f t="shared" si="16"/>
        <v>0</v>
      </c>
      <c r="S345" s="297">
        <f t="shared" si="16"/>
        <v>42309.850000000006</v>
      </c>
      <c r="T345" s="297">
        <f t="shared" si="16"/>
        <v>0</v>
      </c>
      <c r="U345" s="297">
        <f t="shared" si="16"/>
        <v>-13367.310000000001</v>
      </c>
      <c r="V345" s="297">
        <f t="shared" si="16"/>
        <v>0</v>
      </c>
      <c r="W345" s="297">
        <f t="shared" si="16"/>
        <v>0</v>
      </c>
      <c r="X345" s="297">
        <f t="shared" si="16"/>
        <v>-13367.310000000001</v>
      </c>
      <c r="Y345" s="297">
        <f>X345+S345</f>
        <v>28942.540000000005</v>
      </c>
      <c r="Z345" s="312">
        <f>Y345/S345</f>
        <v>0.684061512862844</v>
      </c>
      <c r="AA345" s="157"/>
      <c r="AB345" s="157"/>
      <c r="AC345" s="157"/>
    </row>
    <row r="346" spans="1:29" ht="15.75" outlineLevel="1" thickTop="1">
      <c r="A346" s="170" t="s">
        <v>302</v>
      </c>
      <c r="B346" s="157" t="s">
        <v>303</v>
      </c>
      <c r="C346" s="171">
        <v>42828</v>
      </c>
      <c r="D346" s="178"/>
      <c r="E346" s="157" t="s">
        <v>304</v>
      </c>
      <c r="F346" s="223" t="s">
        <v>305</v>
      </c>
      <c r="G346" s="223"/>
      <c r="H346" s="224" t="s">
        <v>306</v>
      </c>
      <c r="I346" s="157"/>
      <c r="J346" s="172"/>
      <c r="K346" s="157"/>
      <c r="L346" s="223" t="s">
        <v>296</v>
      </c>
      <c r="M346" s="173"/>
      <c r="N346" s="173"/>
      <c r="O346" s="157" t="s">
        <v>308</v>
      </c>
      <c r="P346" s="158"/>
      <c r="Q346" s="185"/>
      <c r="R346" s="175"/>
      <c r="S346" s="174">
        <f t="shared" si="15"/>
        <v>0</v>
      </c>
      <c r="T346" s="157"/>
      <c r="U346" s="177">
        <v>-409</v>
      </c>
      <c r="V346" s="157"/>
      <c r="W346" s="157"/>
      <c r="X346" s="176">
        <f>U346</f>
        <v>-409</v>
      </c>
      <c r="Y346" s="228"/>
      <c r="Z346" s="311"/>
      <c r="AA346" s="157"/>
      <c r="AB346" s="157"/>
      <c r="AC346" s="157"/>
    </row>
    <row r="347" spans="1:29" outlineLevel="1">
      <c r="A347" s="170" t="s">
        <v>302</v>
      </c>
      <c r="B347" s="157" t="s">
        <v>303</v>
      </c>
      <c r="C347" s="171">
        <v>42828</v>
      </c>
      <c r="D347" s="178"/>
      <c r="E347" s="157" t="s">
        <v>304</v>
      </c>
      <c r="F347" s="223" t="s">
        <v>305</v>
      </c>
      <c r="G347" s="223"/>
      <c r="H347" s="224" t="s">
        <v>306</v>
      </c>
      <c r="I347" s="157"/>
      <c r="J347" s="172"/>
      <c r="K347" s="157"/>
      <c r="L347" s="223" t="s">
        <v>296</v>
      </c>
      <c r="M347" s="173"/>
      <c r="N347" s="173"/>
      <c r="O347" s="157" t="s">
        <v>308</v>
      </c>
      <c r="P347" s="158"/>
      <c r="Q347" s="185"/>
      <c r="R347" s="175"/>
      <c r="S347" s="174">
        <f t="shared" si="15"/>
        <v>0</v>
      </c>
      <c r="T347" s="157"/>
      <c r="U347" s="177">
        <v>-667.5</v>
      </c>
      <c r="V347" s="157"/>
      <c r="W347" s="157"/>
      <c r="X347" s="176">
        <f t="shared" ref="X347:X410" si="17">U347</f>
        <v>-667.5</v>
      </c>
      <c r="Y347" s="228"/>
      <c r="Z347" s="311"/>
      <c r="AA347" s="157"/>
      <c r="AB347" s="157"/>
      <c r="AC347" s="157"/>
    </row>
    <row r="348" spans="1:29" outlineLevel="1">
      <c r="A348" s="170" t="s">
        <v>302</v>
      </c>
      <c r="B348" s="157" t="s">
        <v>303</v>
      </c>
      <c r="C348" s="171">
        <v>42828</v>
      </c>
      <c r="D348" s="178"/>
      <c r="E348" s="157" t="s">
        <v>578</v>
      </c>
      <c r="F348" s="223" t="s">
        <v>305</v>
      </c>
      <c r="G348" s="223"/>
      <c r="H348" s="224" t="s">
        <v>306</v>
      </c>
      <c r="I348" s="157"/>
      <c r="J348" s="172"/>
      <c r="K348" s="157"/>
      <c r="L348" s="223" t="s">
        <v>296</v>
      </c>
      <c r="M348" s="173"/>
      <c r="N348" s="173"/>
      <c r="O348" s="157" t="s">
        <v>307</v>
      </c>
      <c r="P348" s="158"/>
      <c r="Q348" s="185"/>
      <c r="R348" s="175"/>
      <c r="S348" s="174">
        <f t="shared" si="15"/>
        <v>0</v>
      </c>
      <c r="T348" s="157"/>
      <c r="U348" s="177">
        <v>-282.92</v>
      </c>
      <c r="V348" s="157"/>
      <c r="W348" s="157"/>
      <c r="X348" s="176">
        <f t="shared" si="17"/>
        <v>-282.92</v>
      </c>
      <c r="Y348" s="228"/>
      <c r="Z348" s="311"/>
      <c r="AA348" s="157"/>
      <c r="AB348" s="157"/>
      <c r="AC348" s="157"/>
    </row>
    <row r="349" spans="1:29" outlineLevel="1">
      <c r="A349" s="170" t="s">
        <v>302</v>
      </c>
      <c r="B349" s="157" t="s">
        <v>303</v>
      </c>
      <c r="C349" s="171">
        <v>42828</v>
      </c>
      <c r="D349" s="178"/>
      <c r="E349" s="157" t="s">
        <v>579</v>
      </c>
      <c r="F349" s="223" t="s">
        <v>305</v>
      </c>
      <c r="G349" s="223"/>
      <c r="H349" s="224" t="s">
        <v>306</v>
      </c>
      <c r="I349" s="157"/>
      <c r="J349" s="172"/>
      <c r="K349" s="157"/>
      <c r="L349" s="223" t="s">
        <v>296</v>
      </c>
      <c r="M349" s="173"/>
      <c r="N349" s="173"/>
      <c r="O349" s="157" t="s">
        <v>307</v>
      </c>
      <c r="P349" s="158"/>
      <c r="Q349" s="185"/>
      <c r="R349" s="175"/>
      <c r="S349" s="174">
        <f t="shared" si="15"/>
        <v>0</v>
      </c>
      <c r="T349" s="157"/>
      <c r="U349" s="177">
        <v>-135</v>
      </c>
      <c r="V349" s="157"/>
      <c r="W349" s="157"/>
      <c r="X349" s="176">
        <f t="shared" si="17"/>
        <v>-135</v>
      </c>
      <c r="Y349" s="228"/>
      <c r="Z349" s="311"/>
      <c r="AA349" s="157"/>
      <c r="AB349" s="157"/>
      <c r="AC349" s="157"/>
    </row>
    <row r="350" spans="1:29" outlineLevel="1">
      <c r="A350" s="170" t="s">
        <v>302</v>
      </c>
      <c r="B350" s="157" t="s">
        <v>303</v>
      </c>
      <c r="C350" s="171">
        <v>42828</v>
      </c>
      <c r="D350" s="178"/>
      <c r="E350" s="157" t="s">
        <v>580</v>
      </c>
      <c r="F350" s="223" t="s">
        <v>305</v>
      </c>
      <c r="G350" s="223"/>
      <c r="H350" s="224" t="s">
        <v>306</v>
      </c>
      <c r="I350" s="157"/>
      <c r="J350" s="172"/>
      <c r="K350" s="157"/>
      <c r="L350" s="223" t="s">
        <v>296</v>
      </c>
      <c r="M350" s="173"/>
      <c r="N350" s="173"/>
      <c r="O350" s="157" t="s">
        <v>307</v>
      </c>
      <c r="P350" s="158"/>
      <c r="Q350" s="185"/>
      <c r="R350" s="175"/>
      <c r="S350" s="174">
        <f t="shared" si="15"/>
        <v>0</v>
      </c>
      <c r="T350" s="157"/>
      <c r="U350" s="177">
        <v>-3.34</v>
      </c>
      <c r="V350" s="157"/>
      <c r="W350" s="157"/>
      <c r="X350" s="176">
        <f t="shared" si="17"/>
        <v>-3.34</v>
      </c>
      <c r="Y350" s="228"/>
      <c r="Z350" s="311"/>
      <c r="AA350" s="157"/>
      <c r="AB350" s="157"/>
      <c r="AC350" s="157"/>
    </row>
    <row r="351" spans="1:29" outlineLevel="1">
      <c r="A351" s="170" t="s">
        <v>302</v>
      </c>
      <c r="B351" s="157" t="s">
        <v>303</v>
      </c>
      <c r="C351" s="171">
        <v>42828</v>
      </c>
      <c r="D351" s="178"/>
      <c r="E351" s="157" t="s">
        <v>581</v>
      </c>
      <c r="F351" s="223" t="s">
        <v>305</v>
      </c>
      <c r="G351" s="223"/>
      <c r="H351" s="224" t="s">
        <v>306</v>
      </c>
      <c r="I351" s="157"/>
      <c r="J351" s="172"/>
      <c r="K351" s="157"/>
      <c r="L351" s="223" t="s">
        <v>296</v>
      </c>
      <c r="M351" s="173"/>
      <c r="N351" s="173"/>
      <c r="O351" s="157" t="s">
        <v>307</v>
      </c>
      <c r="P351" s="158"/>
      <c r="Q351" s="185"/>
      <c r="R351" s="175"/>
      <c r="S351" s="174">
        <f t="shared" si="15"/>
        <v>0</v>
      </c>
      <c r="T351" s="157"/>
      <c r="U351" s="177">
        <v>-12.42</v>
      </c>
      <c r="V351" s="157"/>
      <c r="W351" s="157"/>
      <c r="X351" s="176">
        <f t="shared" si="17"/>
        <v>-12.42</v>
      </c>
      <c r="Y351" s="228"/>
      <c r="Z351" s="311"/>
      <c r="AA351" s="157"/>
      <c r="AB351" s="157"/>
      <c r="AC351" s="157"/>
    </row>
    <row r="352" spans="1:29" outlineLevel="1">
      <c r="A352" s="170" t="s">
        <v>302</v>
      </c>
      <c r="B352" s="157" t="s">
        <v>303</v>
      </c>
      <c r="C352" s="171">
        <v>42828</v>
      </c>
      <c r="D352" s="178"/>
      <c r="E352" s="157" t="s">
        <v>582</v>
      </c>
      <c r="F352" s="223" t="s">
        <v>305</v>
      </c>
      <c r="G352" s="223"/>
      <c r="H352" s="224" t="s">
        <v>306</v>
      </c>
      <c r="I352" s="157"/>
      <c r="J352" s="172"/>
      <c r="K352" s="157"/>
      <c r="L352" s="223" t="s">
        <v>296</v>
      </c>
      <c r="M352" s="173"/>
      <c r="N352" s="173"/>
      <c r="O352" s="157" t="s">
        <v>307</v>
      </c>
      <c r="P352" s="158"/>
      <c r="Q352" s="185"/>
      <c r="R352" s="175"/>
      <c r="S352" s="174">
        <f t="shared" si="15"/>
        <v>0</v>
      </c>
      <c r="T352" s="157"/>
      <c r="U352" s="177">
        <v>-58.28</v>
      </c>
      <c r="V352" s="157"/>
      <c r="W352" s="157"/>
      <c r="X352" s="176">
        <f t="shared" si="17"/>
        <v>-58.28</v>
      </c>
      <c r="Y352" s="228"/>
      <c r="Z352" s="311"/>
      <c r="AA352" s="157"/>
      <c r="AB352" s="157"/>
      <c r="AC352" s="157"/>
    </row>
    <row r="353" spans="1:29" outlineLevel="1">
      <c r="A353" s="170" t="s">
        <v>302</v>
      </c>
      <c r="B353" s="157" t="s">
        <v>303</v>
      </c>
      <c r="C353" s="171">
        <v>42828</v>
      </c>
      <c r="D353" s="178"/>
      <c r="E353" s="157" t="s">
        <v>583</v>
      </c>
      <c r="F353" s="223" t="s">
        <v>305</v>
      </c>
      <c r="G353" s="223"/>
      <c r="H353" s="224" t="s">
        <v>306</v>
      </c>
      <c r="I353" s="157"/>
      <c r="J353" s="172"/>
      <c r="K353" s="157"/>
      <c r="L353" s="223" t="s">
        <v>296</v>
      </c>
      <c r="M353" s="173"/>
      <c r="N353" s="173"/>
      <c r="O353" s="157" t="s">
        <v>307</v>
      </c>
      <c r="P353" s="158"/>
      <c r="Q353" s="185"/>
      <c r="R353" s="175"/>
      <c r="S353" s="174">
        <f t="shared" si="15"/>
        <v>0</v>
      </c>
      <c r="T353" s="157"/>
      <c r="U353" s="177">
        <v>-54.83</v>
      </c>
      <c r="V353" s="157"/>
      <c r="W353" s="157"/>
      <c r="X353" s="176">
        <f t="shared" si="17"/>
        <v>-54.83</v>
      </c>
      <c r="Y353" s="228"/>
      <c r="Z353" s="311"/>
      <c r="AA353" s="157"/>
      <c r="AB353" s="157"/>
      <c r="AC353" s="157"/>
    </row>
    <row r="354" spans="1:29" outlineLevel="1">
      <c r="A354" s="170" t="s">
        <v>302</v>
      </c>
      <c r="B354" s="157" t="s">
        <v>303</v>
      </c>
      <c r="C354" s="171">
        <v>42828</v>
      </c>
      <c r="D354" s="178"/>
      <c r="E354" s="157" t="s">
        <v>584</v>
      </c>
      <c r="F354" s="223" t="s">
        <v>305</v>
      </c>
      <c r="G354" s="223"/>
      <c r="H354" s="224" t="s">
        <v>306</v>
      </c>
      <c r="I354" s="157"/>
      <c r="J354" s="172"/>
      <c r="K354" s="157"/>
      <c r="L354" s="223" t="s">
        <v>296</v>
      </c>
      <c r="M354" s="173"/>
      <c r="N354" s="173"/>
      <c r="O354" s="157" t="s">
        <v>307</v>
      </c>
      <c r="P354" s="158"/>
      <c r="Q354" s="185"/>
      <c r="R354" s="175"/>
      <c r="S354" s="174">
        <f t="shared" si="15"/>
        <v>0</v>
      </c>
      <c r="T354" s="157"/>
      <c r="U354" s="177">
        <v>-190.76</v>
      </c>
      <c r="V354" s="157"/>
      <c r="W354" s="157"/>
      <c r="X354" s="176">
        <f t="shared" si="17"/>
        <v>-190.76</v>
      </c>
      <c r="Y354" s="228"/>
      <c r="Z354" s="311"/>
      <c r="AA354" s="157"/>
      <c r="AB354" s="157"/>
      <c r="AC354" s="157"/>
    </row>
    <row r="355" spans="1:29" outlineLevel="1">
      <c r="A355" s="170" t="s">
        <v>302</v>
      </c>
      <c r="B355" s="157" t="s">
        <v>303</v>
      </c>
      <c r="C355" s="171">
        <v>42828</v>
      </c>
      <c r="D355" s="178"/>
      <c r="E355" s="157" t="s">
        <v>585</v>
      </c>
      <c r="F355" s="223" t="s">
        <v>305</v>
      </c>
      <c r="G355" s="223"/>
      <c r="H355" s="224" t="s">
        <v>306</v>
      </c>
      <c r="I355" s="157"/>
      <c r="J355" s="172"/>
      <c r="K355" s="157"/>
      <c r="L355" s="223" t="s">
        <v>296</v>
      </c>
      <c r="M355" s="173"/>
      <c r="N355" s="173"/>
      <c r="O355" s="157" t="s">
        <v>307</v>
      </c>
      <c r="P355" s="158"/>
      <c r="Q355" s="185"/>
      <c r="R355" s="175"/>
      <c r="S355" s="174">
        <f t="shared" si="15"/>
        <v>0</v>
      </c>
      <c r="T355" s="157"/>
      <c r="U355" s="177">
        <v>-46.74</v>
      </c>
      <c r="V355" s="157"/>
      <c r="W355" s="157"/>
      <c r="X355" s="176">
        <f t="shared" si="17"/>
        <v>-46.74</v>
      </c>
      <c r="Y355" s="228"/>
      <c r="Z355" s="311"/>
      <c r="AA355" s="157"/>
      <c r="AB355" s="157"/>
      <c r="AC355" s="157"/>
    </row>
    <row r="356" spans="1:29" outlineLevel="1">
      <c r="A356" s="170" t="s">
        <v>302</v>
      </c>
      <c r="B356" s="157" t="s">
        <v>303</v>
      </c>
      <c r="C356" s="171">
        <v>42828</v>
      </c>
      <c r="D356" s="178"/>
      <c r="E356" s="157" t="s">
        <v>586</v>
      </c>
      <c r="F356" s="223" t="s">
        <v>305</v>
      </c>
      <c r="G356" s="223"/>
      <c r="H356" s="224" t="s">
        <v>306</v>
      </c>
      <c r="I356" s="157"/>
      <c r="J356" s="172"/>
      <c r="K356" s="157"/>
      <c r="L356" s="223" t="s">
        <v>296</v>
      </c>
      <c r="M356" s="173"/>
      <c r="N356" s="173"/>
      <c r="O356" s="157" t="s">
        <v>307</v>
      </c>
      <c r="P356" s="158"/>
      <c r="Q356" s="185"/>
      <c r="R356" s="175"/>
      <c r="S356" s="174">
        <f t="shared" si="15"/>
        <v>0</v>
      </c>
      <c r="T356" s="157"/>
      <c r="U356" s="177">
        <v>-4.75</v>
      </c>
      <c r="V356" s="157"/>
      <c r="W356" s="157"/>
      <c r="X356" s="176">
        <f t="shared" si="17"/>
        <v>-4.75</v>
      </c>
      <c r="Y356" s="228"/>
      <c r="Z356" s="311"/>
      <c r="AA356" s="157"/>
      <c r="AB356" s="157"/>
      <c r="AC356" s="157"/>
    </row>
    <row r="357" spans="1:29" outlineLevel="1">
      <c r="A357" s="170" t="s">
        <v>302</v>
      </c>
      <c r="B357" s="157" t="s">
        <v>303</v>
      </c>
      <c r="C357" s="171">
        <v>42828</v>
      </c>
      <c r="D357" s="178"/>
      <c r="E357" s="157" t="s">
        <v>587</v>
      </c>
      <c r="F357" s="223" t="s">
        <v>305</v>
      </c>
      <c r="G357" s="223"/>
      <c r="H357" s="224" t="s">
        <v>306</v>
      </c>
      <c r="I357" s="157" t="s">
        <v>1009</v>
      </c>
      <c r="J357" s="157" t="s">
        <v>1009</v>
      </c>
      <c r="K357" s="157" t="s">
        <v>1009</v>
      </c>
      <c r="L357" s="223" t="s">
        <v>296</v>
      </c>
      <c r="M357" s="173"/>
      <c r="N357" s="173"/>
      <c r="O357" s="157" t="s">
        <v>271</v>
      </c>
      <c r="P357" s="158">
        <v>2684.71</v>
      </c>
      <c r="Q357" s="185"/>
      <c r="R357" s="175"/>
      <c r="S357" s="174">
        <f t="shared" si="15"/>
        <v>2684.71</v>
      </c>
      <c r="T357" s="157"/>
      <c r="U357" s="177"/>
      <c r="V357" s="157"/>
      <c r="W357" s="157"/>
      <c r="X357" s="176">
        <f t="shared" si="17"/>
        <v>0</v>
      </c>
      <c r="Y357" s="228"/>
      <c r="Z357" s="311"/>
      <c r="AA357" s="157"/>
      <c r="AB357" s="157"/>
      <c r="AC357" s="157"/>
    </row>
    <row r="358" spans="1:29" outlineLevel="1">
      <c r="A358" s="170" t="s">
        <v>302</v>
      </c>
      <c r="B358" s="157" t="s">
        <v>303</v>
      </c>
      <c r="C358" s="171">
        <v>42828</v>
      </c>
      <c r="D358" s="178"/>
      <c r="E358" s="157" t="s">
        <v>588</v>
      </c>
      <c r="F358" s="223" t="s">
        <v>305</v>
      </c>
      <c r="G358" s="223"/>
      <c r="H358" s="224" t="s">
        <v>306</v>
      </c>
      <c r="I358" s="157" t="s">
        <v>1009</v>
      </c>
      <c r="J358" s="157" t="s">
        <v>1009</v>
      </c>
      <c r="K358" s="157" t="s">
        <v>1009</v>
      </c>
      <c r="L358" s="223" t="s">
        <v>296</v>
      </c>
      <c r="M358" s="173"/>
      <c r="N358" s="173"/>
      <c r="O358" s="157" t="s">
        <v>271</v>
      </c>
      <c r="P358" s="158">
        <v>2072.4899999999998</v>
      </c>
      <c r="Q358" s="185"/>
      <c r="R358" s="175"/>
      <c r="S358" s="174">
        <f t="shared" si="15"/>
        <v>2072.4899999999998</v>
      </c>
      <c r="T358" s="157"/>
      <c r="U358" s="177"/>
      <c r="V358" s="157"/>
      <c r="W358" s="157"/>
      <c r="X358" s="176">
        <f t="shared" si="17"/>
        <v>0</v>
      </c>
      <c r="Y358" s="228"/>
      <c r="Z358" s="311"/>
      <c r="AA358" s="157"/>
      <c r="AB358" s="157"/>
      <c r="AC358" s="157"/>
    </row>
    <row r="359" spans="1:29" outlineLevel="1">
      <c r="A359" s="170" t="s">
        <v>302</v>
      </c>
      <c r="B359" s="157" t="s">
        <v>303</v>
      </c>
      <c r="C359" s="171">
        <v>42828</v>
      </c>
      <c r="D359" s="178"/>
      <c r="E359" s="157" t="s">
        <v>589</v>
      </c>
      <c r="F359" s="223" t="s">
        <v>305</v>
      </c>
      <c r="G359" s="223"/>
      <c r="H359" s="224" t="s">
        <v>306</v>
      </c>
      <c r="I359" s="157" t="s">
        <v>1009</v>
      </c>
      <c r="J359" s="157" t="s">
        <v>1009</v>
      </c>
      <c r="K359" s="157" t="s">
        <v>1009</v>
      </c>
      <c r="L359" s="223" t="s">
        <v>296</v>
      </c>
      <c r="M359" s="173"/>
      <c r="N359" s="173"/>
      <c r="O359" s="157" t="s">
        <v>271</v>
      </c>
      <c r="P359" s="158">
        <v>1650.59</v>
      </c>
      <c r="Q359" s="185"/>
      <c r="R359" s="175"/>
      <c r="S359" s="174">
        <f t="shared" si="15"/>
        <v>1650.59</v>
      </c>
      <c r="T359" s="157"/>
      <c r="U359" s="177"/>
      <c r="V359" s="157"/>
      <c r="W359" s="157"/>
      <c r="X359" s="176">
        <f t="shared" si="17"/>
        <v>0</v>
      </c>
      <c r="Y359" s="228"/>
      <c r="Z359" s="311"/>
      <c r="AA359" s="157"/>
      <c r="AB359" s="157"/>
      <c r="AC359" s="157"/>
    </row>
    <row r="360" spans="1:29" outlineLevel="1">
      <c r="A360" s="170" t="s">
        <v>302</v>
      </c>
      <c r="B360" s="157" t="s">
        <v>303</v>
      </c>
      <c r="C360" s="171">
        <v>42828</v>
      </c>
      <c r="D360" s="178"/>
      <c r="E360" s="157" t="s">
        <v>590</v>
      </c>
      <c r="F360" s="223" t="s">
        <v>305</v>
      </c>
      <c r="G360" s="223"/>
      <c r="H360" s="224" t="s">
        <v>306</v>
      </c>
      <c r="I360" s="157" t="s">
        <v>1009</v>
      </c>
      <c r="J360" s="157" t="s">
        <v>1009</v>
      </c>
      <c r="K360" s="157" t="s">
        <v>1009</v>
      </c>
      <c r="L360" s="223" t="s">
        <v>296</v>
      </c>
      <c r="M360" s="173"/>
      <c r="N360" s="173"/>
      <c r="O360" s="157" t="s">
        <v>271</v>
      </c>
      <c r="P360" s="158">
        <v>1107</v>
      </c>
      <c r="Q360" s="185"/>
      <c r="R360" s="175"/>
      <c r="S360" s="174">
        <f t="shared" si="15"/>
        <v>1107</v>
      </c>
      <c r="T360" s="157"/>
      <c r="U360" s="177"/>
      <c r="V360" s="157"/>
      <c r="W360" s="157"/>
      <c r="X360" s="176">
        <f t="shared" si="17"/>
        <v>0</v>
      </c>
      <c r="Y360" s="228"/>
      <c r="Z360" s="311"/>
      <c r="AA360" s="157"/>
      <c r="AB360" s="157"/>
      <c r="AC360" s="157"/>
    </row>
    <row r="361" spans="1:29" outlineLevel="1">
      <c r="A361" s="170" t="s">
        <v>302</v>
      </c>
      <c r="B361" s="157" t="s">
        <v>303</v>
      </c>
      <c r="C361" s="171">
        <v>42828</v>
      </c>
      <c r="D361" s="178"/>
      <c r="E361" s="157" t="s">
        <v>591</v>
      </c>
      <c r="F361" s="223" t="s">
        <v>305</v>
      </c>
      <c r="G361" s="223"/>
      <c r="H361" s="224" t="s">
        <v>306</v>
      </c>
      <c r="I361" s="157" t="s">
        <v>1009</v>
      </c>
      <c r="J361" s="157" t="s">
        <v>1009</v>
      </c>
      <c r="K361" s="157" t="s">
        <v>1009</v>
      </c>
      <c r="L361" s="223" t="s">
        <v>296</v>
      </c>
      <c r="M361" s="173"/>
      <c r="N361" s="173"/>
      <c r="O361" s="157" t="s">
        <v>271</v>
      </c>
      <c r="P361" s="158">
        <v>32.200000000000003</v>
      </c>
      <c r="Q361" s="185"/>
      <c r="R361" s="175"/>
      <c r="S361" s="174">
        <f t="shared" si="15"/>
        <v>32.200000000000003</v>
      </c>
      <c r="T361" s="157"/>
      <c r="U361" s="177"/>
      <c r="V361" s="157"/>
      <c r="W361" s="157"/>
      <c r="X361" s="176">
        <f t="shared" si="17"/>
        <v>0</v>
      </c>
      <c r="Y361" s="228"/>
      <c r="Z361" s="311"/>
      <c r="AA361" s="157"/>
      <c r="AB361" s="157"/>
      <c r="AC361" s="157"/>
    </row>
    <row r="362" spans="1:29" outlineLevel="1">
      <c r="A362" s="170" t="s">
        <v>302</v>
      </c>
      <c r="B362" s="157" t="s">
        <v>303</v>
      </c>
      <c r="C362" s="171">
        <v>42828</v>
      </c>
      <c r="D362" s="178"/>
      <c r="E362" s="157" t="s">
        <v>592</v>
      </c>
      <c r="F362" s="223" t="s">
        <v>305</v>
      </c>
      <c r="G362" s="223"/>
      <c r="H362" s="224" t="s">
        <v>306</v>
      </c>
      <c r="I362" s="157" t="s">
        <v>1009</v>
      </c>
      <c r="J362" s="157" t="s">
        <v>1009</v>
      </c>
      <c r="K362" s="157" t="s">
        <v>1009</v>
      </c>
      <c r="L362" s="223" t="s">
        <v>296</v>
      </c>
      <c r="M362" s="173"/>
      <c r="N362" s="173"/>
      <c r="O362" s="157" t="s">
        <v>271</v>
      </c>
      <c r="P362" s="158">
        <v>15</v>
      </c>
      <c r="Q362" s="185"/>
      <c r="R362" s="175"/>
      <c r="S362" s="174">
        <f t="shared" si="15"/>
        <v>15</v>
      </c>
      <c r="T362" s="157"/>
      <c r="U362" s="177"/>
      <c r="V362" s="157"/>
      <c r="W362" s="157"/>
      <c r="X362" s="176">
        <f t="shared" si="17"/>
        <v>0</v>
      </c>
      <c r="Y362" s="228"/>
      <c r="Z362" s="311"/>
      <c r="AA362" s="157"/>
      <c r="AB362" s="157"/>
      <c r="AC362" s="157"/>
    </row>
    <row r="363" spans="1:29" outlineLevel="1">
      <c r="A363" s="170" t="s">
        <v>302</v>
      </c>
      <c r="B363" s="157" t="s">
        <v>303</v>
      </c>
      <c r="C363" s="171">
        <v>42829</v>
      </c>
      <c r="D363" s="178"/>
      <c r="E363" s="157" t="s">
        <v>304</v>
      </c>
      <c r="F363" s="223" t="s">
        <v>305</v>
      </c>
      <c r="G363" s="223"/>
      <c r="H363" s="224" t="s">
        <v>306</v>
      </c>
      <c r="I363" s="157"/>
      <c r="J363" s="172"/>
      <c r="K363" s="157"/>
      <c r="L363" s="223" t="s">
        <v>296</v>
      </c>
      <c r="M363" s="173"/>
      <c r="N363" s="173"/>
      <c r="O363" s="157" t="s">
        <v>308</v>
      </c>
      <c r="P363" s="158"/>
      <c r="Q363" s="185"/>
      <c r="R363" s="175"/>
      <c r="S363" s="174">
        <f t="shared" si="15"/>
        <v>0</v>
      </c>
      <c r="T363" s="157"/>
      <c r="U363" s="177">
        <v>-435.5</v>
      </c>
      <c r="V363" s="157"/>
      <c r="W363" s="157"/>
      <c r="X363" s="176">
        <f t="shared" si="17"/>
        <v>-435.5</v>
      </c>
      <c r="Y363" s="228"/>
      <c r="Z363" s="311"/>
      <c r="AA363" s="157"/>
      <c r="AB363" s="157"/>
      <c r="AC363" s="157"/>
    </row>
    <row r="364" spans="1:29" outlineLevel="1">
      <c r="A364" s="170" t="s">
        <v>302</v>
      </c>
      <c r="B364" s="157" t="s">
        <v>303</v>
      </c>
      <c r="C364" s="171">
        <v>42829</v>
      </c>
      <c r="D364" s="178"/>
      <c r="E364" s="157" t="s">
        <v>593</v>
      </c>
      <c r="F364" s="223" t="s">
        <v>305</v>
      </c>
      <c r="G364" s="223"/>
      <c r="H364" s="224" t="s">
        <v>306</v>
      </c>
      <c r="I364" s="157"/>
      <c r="J364" s="172"/>
      <c r="K364" s="157"/>
      <c r="L364" s="223" t="s">
        <v>296</v>
      </c>
      <c r="M364" s="173"/>
      <c r="N364" s="173"/>
      <c r="O364" s="157" t="s">
        <v>307</v>
      </c>
      <c r="P364" s="158"/>
      <c r="Q364" s="185"/>
      <c r="R364" s="175"/>
      <c r="S364" s="174">
        <f t="shared" si="15"/>
        <v>0</v>
      </c>
      <c r="T364" s="157"/>
      <c r="U364" s="177">
        <v>-10.16</v>
      </c>
      <c r="V364" s="157"/>
      <c r="W364" s="157"/>
      <c r="X364" s="176">
        <f t="shared" si="17"/>
        <v>-10.16</v>
      </c>
      <c r="Y364" s="228"/>
      <c r="Z364" s="311"/>
      <c r="AA364" s="157"/>
      <c r="AB364" s="157"/>
      <c r="AC364" s="157"/>
    </row>
    <row r="365" spans="1:29" outlineLevel="1">
      <c r="A365" s="170" t="s">
        <v>302</v>
      </c>
      <c r="B365" s="157" t="s">
        <v>303</v>
      </c>
      <c r="C365" s="171">
        <v>42829</v>
      </c>
      <c r="D365" s="178"/>
      <c r="E365" s="157" t="s">
        <v>594</v>
      </c>
      <c r="F365" s="223" t="s">
        <v>305</v>
      </c>
      <c r="G365" s="223"/>
      <c r="H365" s="224" t="s">
        <v>306</v>
      </c>
      <c r="I365" s="157"/>
      <c r="J365" s="172"/>
      <c r="K365" s="157"/>
      <c r="L365" s="223" t="s">
        <v>296</v>
      </c>
      <c r="M365" s="173"/>
      <c r="N365" s="173"/>
      <c r="O365" s="157" t="s">
        <v>307</v>
      </c>
      <c r="P365" s="158"/>
      <c r="Q365" s="185"/>
      <c r="R365" s="175"/>
      <c r="S365" s="174">
        <f t="shared" si="15"/>
        <v>0</v>
      </c>
      <c r="T365" s="157"/>
      <c r="U365" s="177">
        <v>-70.52</v>
      </c>
      <c r="V365" s="157"/>
      <c r="W365" s="157"/>
      <c r="X365" s="176">
        <f t="shared" si="17"/>
        <v>-70.52</v>
      </c>
      <c r="Y365" s="228"/>
      <c r="Z365" s="311"/>
      <c r="AA365" s="157"/>
      <c r="AB365" s="157"/>
      <c r="AC365" s="157"/>
    </row>
    <row r="366" spans="1:29" outlineLevel="1">
      <c r="A366" s="170" t="s">
        <v>302</v>
      </c>
      <c r="B366" s="157" t="s">
        <v>303</v>
      </c>
      <c r="C366" s="171">
        <v>42829</v>
      </c>
      <c r="D366" s="178"/>
      <c r="E366" s="157" t="s">
        <v>595</v>
      </c>
      <c r="F366" s="223" t="s">
        <v>305</v>
      </c>
      <c r="G366" s="223"/>
      <c r="H366" s="224" t="s">
        <v>306</v>
      </c>
      <c r="I366" s="157"/>
      <c r="J366" s="172"/>
      <c r="K366" s="157"/>
      <c r="L366" s="223" t="s">
        <v>296</v>
      </c>
      <c r="M366" s="173"/>
      <c r="N366" s="173"/>
      <c r="O366" s="157" t="s">
        <v>307</v>
      </c>
      <c r="P366" s="158"/>
      <c r="Q366" s="185"/>
      <c r="R366" s="175"/>
      <c r="S366" s="174">
        <f t="shared" si="15"/>
        <v>0</v>
      </c>
      <c r="T366" s="157"/>
      <c r="U366" s="177">
        <v>-51.91</v>
      </c>
      <c r="V366" s="157"/>
      <c r="W366" s="157"/>
      <c r="X366" s="176">
        <f t="shared" si="17"/>
        <v>-51.91</v>
      </c>
      <c r="Y366" s="228"/>
      <c r="Z366" s="311"/>
      <c r="AA366" s="157"/>
      <c r="AB366" s="157"/>
      <c r="AC366" s="157"/>
    </row>
    <row r="367" spans="1:29" outlineLevel="1">
      <c r="A367" s="170" t="s">
        <v>302</v>
      </c>
      <c r="B367" s="157" t="s">
        <v>303</v>
      </c>
      <c r="C367" s="171">
        <v>42829</v>
      </c>
      <c r="D367" s="178"/>
      <c r="E367" s="157" t="s">
        <v>596</v>
      </c>
      <c r="F367" s="223" t="s">
        <v>305</v>
      </c>
      <c r="G367" s="223"/>
      <c r="H367" s="224" t="s">
        <v>306</v>
      </c>
      <c r="I367" s="157" t="s">
        <v>1009</v>
      </c>
      <c r="J367" s="157" t="s">
        <v>1009</v>
      </c>
      <c r="K367" s="157" t="s">
        <v>1009</v>
      </c>
      <c r="L367" s="223" t="s">
        <v>296</v>
      </c>
      <c r="M367" s="173"/>
      <c r="N367" s="173"/>
      <c r="O367" s="157" t="s">
        <v>271</v>
      </c>
      <c r="P367" s="158">
        <v>1180.4000000000001</v>
      </c>
      <c r="Q367" s="185"/>
      <c r="R367" s="175"/>
      <c r="S367" s="174">
        <f t="shared" si="15"/>
        <v>1180.4000000000001</v>
      </c>
      <c r="T367" s="157"/>
      <c r="U367" s="177"/>
      <c r="V367" s="157"/>
      <c r="W367" s="157"/>
      <c r="X367" s="176">
        <f t="shared" si="17"/>
        <v>0</v>
      </c>
      <c r="Y367" s="228"/>
      <c r="Z367" s="311"/>
      <c r="AA367" s="157"/>
      <c r="AB367" s="157"/>
      <c r="AC367" s="157"/>
    </row>
    <row r="368" spans="1:29" outlineLevel="1">
      <c r="A368" s="170" t="s">
        <v>302</v>
      </c>
      <c r="B368" s="157" t="s">
        <v>303</v>
      </c>
      <c r="C368" s="171">
        <v>42830</v>
      </c>
      <c r="D368" s="178"/>
      <c r="E368" s="157" t="s">
        <v>597</v>
      </c>
      <c r="F368" s="223" t="s">
        <v>305</v>
      </c>
      <c r="G368" s="223"/>
      <c r="H368" s="224" t="s">
        <v>306</v>
      </c>
      <c r="I368" s="157"/>
      <c r="J368" s="172"/>
      <c r="K368" s="157"/>
      <c r="L368" s="223" t="s">
        <v>296</v>
      </c>
      <c r="M368" s="173"/>
      <c r="N368" s="173"/>
      <c r="O368" s="157" t="s">
        <v>307</v>
      </c>
      <c r="P368" s="158"/>
      <c r="Q368" s="185"/>
      <c r="R368" s="175"/>
      <c r="S368" s="174">
        <f t="shared" si="15"/>
        <v>0</v>
      </c>
      <c r="T368" s="157"/>
      <c r="U368" s="177">
        <v>-72.319999999999993</v>
      </c>
      <c r="V368" s="157"/>
      <c r="W368" s="157"/>
      <c r="X368" s="176">
        <f t="shared" si="17"/>
        <v>-72.319999999999993</v>
      </c>
      <c r="Y368" s="228"/>
      <c r="Z368" s="311"/>
      <c r="AA368" s="157"/>
      <c r="AB368" s="157"/>
      <c r="AC368" s="157"/>
    </row>
    <row r="369" spans="1:29" outlineLevel="1">
      <c r="A369" s="170" t="s">
        <v>302</v>
      </c>
      <c r="B369" s="157" t="s">
        <v>303</v>
      </c>
      <c r="C369" s="171">
        <v>42830</v>
      </c>
      <c r="D369" s="178"/>
      <c r="E369" s="157" t="s">
        <v>598</v>
      </c>
      <c r="F369" s="223" t="s">
        <v>305</v>
      </c>
      <c r="G369" s="223"/>
      <c r="H369" s="224" t="s">
        <v>306</v>
      </c>
      <c r="I369" s="157"/>
      <c r="J369" s="172"/>
      <c r="K369" s="157"/>
      <c r="L369" s="223" t="s">
        <v>296</v>
      </c>
      <c r="M369" s="173"/>
      <c r="N369" s="173"/>
      <c r="O369" s="157" t="s">
        <v>307</v>
      </c>
      <c r="P369" s="158"/>
      <c r="Q369" s="185"/>
      <c r="R369" s="175"/>
      <c r="S369" s="174">
        <f t="shared" si="15"/>
        <v>0</v>
      </c>
      <c r="T369" s="157"/>
      <c r="U369" s="177">
        <v>-39.89</v>
      </c>
      <c r="V369" s="157"/>
      <c r="W369" s="157"/>
      <c r="X369" s="176">
        <f t="shared" si="17"/>
        <v>-39.89</v>
      </c>
      <c r="Y369" s="228"/>
      <c r="Z369" s="311"/>
      <c r="AA369" s="157"/>
      <c r="AB369" s="157"/>
      <c r="AC369" s="157"/>
    </row>
    <row r="370" spans="1:29" outlineLevel="1">
      <c r="A370" s="170" t="s">
        <v>302</v>
      </c>
      <c r="B370" s="157" t="s">
        <v>303</v>
      </c>
      <c r="C370" s="171">
        <v>42830</v>
      </c>
      <c r="D370" s="178"/>
      <c r="E370" s="157" t="s">
        <v>599</v>
      </c>
      <c r="F370" s="223" t="s">
        <v>305</v>
      </c>
      <c r="G370" s="223"/>
      <c r="H370" s="224" t="s">
        <v>306</v>
      </c>
      <c r="I370" s="157" t="s">
        <v>1009</v>
      </c>
      <c r="J370" s="157" t="s">
        <v>1009</v>
      </c>
      <c r="K370" s="157" t="s">
        <v>1009</v>
      </c>
      <c r="L370" s="223" t="s">
        <v>296</v>
      </c>
      <c r="M370" s="173"/>
      <c r="N370" s="173"/>
      <c r="O370" s="157" t="s">
        <v>271</v>
      </c>
      <c r="P370" s="158">
        <v>1304.46</v>
      </c>
      <c r="Q370" s="185"/>
      <c r="R370" s="175"/>
      <c r="S370" s="174">
        <f t="shared" si="15"/>
        <v>1304.46</v>
      </c>
      <c r="T370" s="157"/>
      <c r="U370" s="177"/>
      <c r="V370" s="157"/>
      <c r="W370" s="157"/>
      <c r="X370" s="176">
        <f t="shared" si="17"/>
        <v>0</v>
      </c>
      <c r="Y370" s="228"/>
      <c r="Z370" s="311"/>
      <c r="AA370" s="157"/>
      <c r="AB370" s="157"/>
      <c r="AC370" s="157"/>
    </row>
    <row r="371" spans="1:29" outlineLevel="1">
      <c r="A371" s="170" t="s">
        <v>302</v>
      </c>
      <c r="B371" s="157" t="s">
        <v>303</v>
      </c>
      <c r="C371" s="171">
        <v>42830</v>
      </c>
      <c r="D371" s="178"/>
      <c r="E371" s="157" t="s">
        <v>600</v>
      </c>
      <c r="F371" s="223" t="s">
        <v>305</v>
      </c>
      <c r="G371" s="223"/>
      <c r="H371" s="224" t="s">
        <v>306</v>
      </c>
      <c r="I371" s="157" t="s">
        <v>1009</v>
      </c>
      <c r="J371" s="157" t="s">
        <v>1009</v>
      </c>
      <c r="K371" s="157" t="s">
        <v>1009</v>
      </c>
      <c r="L371" s="223" t="s">
        <v>296</v>
      </c>
      <c r="M371" s="173"/>
      <c r="N371" s="173"/>
      <c r="O371" s="157" t="s">
        <v>271</v>
      </c>
      <c r="P371" s="158">
        <v>377.57</v>
      </c>
      <c r="Q371" s="185"/>
      <c r="R371" s="175"/>
      <c r="S371" s="174">
        <f t="shared" si="15"/>
        <v>377.57</v>
      </c>
      <c r="T371" s="157"/>
      <c r="U371" s="177"/>
      <c r="V371" s="157"/>
      <c r="W371" s="157"/>
      <c r="X371" s="176">
        <f t="shared" si="17"/>
        <v>0</v>
      </c>
      <c r="Y371" s="228"/>
      <c r="Z371" s="311"/>
      <c r="AA371" s="157"/>
      <c r="AB371" s="157"/>
      <c r="AC371" s="157"/>
    </row>
    <row r="372" spans="1:29" outlineLevel="1">
      <c r="A372" s="170" t="s">
        <v>302</v>
      </c>
      <c r="B372" s="157" t="s">
        <v>303</v>
      </c>
      <c r="C372" s="171">
        <v>42831</v>
      </c>
      <c r="D372" s="178"/>
      <c r="E372" s="157" t="s">
        <v>304</v>
      </c>
      <c r="F372" s="223" t="s">
        <v>305</v>
      </c>
      <c r="G372" s="223"/>
      <c r="H372" s="224" t="s">
        <v>306</v>
      </c>
      <c r="I372" s="157"/>
      <c r="J372" s="172"/>
      <c r="K372" s="157"/>
      <c r="L372" s="223" t="s">
        <v>296</v>
      </c>
      <c r="M372" s="173"/>
      <c r="N372" s="173"/>
      <c r="O372" s="157" t="s">
        <v>308</v>
      </c>
      <c r="P372" s="158"/>
      <c r="Q372" s="185"/>
      <c r="R372" s="175"/>
      <c r="S372" s="174">
        <f t="shared" si="15"/>
        <v>0</v>
      </c>
      <c r="T372" s="157"/>
      <c r="U372" s="177">
        <v>-340</v>
      </c>
      <c r="V372" s="157"/>
      <c r="W372" s="157"/>
      <c r="X372" s="176">
        <f t="shared" si="17"/>
        <v>-340</v>
      </c>
      <c r="Y372" s="228"/>
      <c r="Z372" s="311"/>
      <c r="AA372" s="157"/>
      <c r="AB372" s="157"/>
      <c r="AC372" s="157"/>
    </row>
    <row r="373" spans="1:29" outlineLevel="1">
      <c r="A373" s="170" t="s">
        <v>302</v>
      </c>
      <c r="B373" s="157" t="s">
        <v>303</v>
      </c>
      <c r="C373" s="171">
        <v>42831</v>
      </c>
      <c r="D373" s="178"/>
      <c r="E373" s="157" t="s">
        <v>304</v>
      </c>
      <c r="F373" s="223" t="s">
        <v>305</v>
      </c>
      <c r="G373" s="223"/>
      <c r="H373" s="224" t="s">
        <v>306</v>
      </c>
      <c r="I373" s="157"/>
      <c r="J373" s="172"/>
      <c r="K373" s="157"/>
      <c r="L373" s="223" t="s">
        <v>296</v>
      </c>
      <c r="M373" s="173"/>
      <c r="N373" s="173"/>
      <c r="O373" s="157" t="s">
        <v>308</v>
      </c>
      <c r="P373" s="158"/>
      <c r="Q373" s="185"/>
      <c r="R373" s="175"/>
      <c r="S373" s="174">
        <f t="shared" si="15"/>
        <v>0</v>
      </c>
      <c r="T373" s="157"/>
      <c r="U373" s="177">
        <v>-340</v>
      </c>
      <c r="V373" s="157"/>
      <c r="W373" s="157"/>
      <c r="X373" s="176">
        <f t="shared" si="17"/>
        <v>-340</v>
      </c>
      <c r="Y373" s="228"/>
      <c r="Z373" s="311"/>
      <c r="AA373" s="157"/>
      <c r="AB373" s="157"/>
      <c r="AC373" s="157"/>
    </row>
    <row r="374" spans="1:29" outlineLevel="1">
      <c r="A374" s="170" t="s">
        <v>302</v>
      </c>
      <c r="B374" s="157" t="s">
        <v>303</v>
      </c>
      <c r="C374" s="171">
        <v>42831</v>
      </c>
      <c r="D374" s="178"/>
      <c r="E374" s="157" t="s">
        <v>304</v>
      </c>
      <c r="F374" s="223" t="s">
        <v>305</v>
      </c>
      <c r="G374" s="223"/>
      <c r="H374" s="224" t="s">
        <v>306</v>
      </c>
      <c r="I374" s="157"/>
      <c r="J374" s="172"/>
      <c r="K374" s="157"/>
      <c r="L374" s="223" t="s">
        <v>296</v>
      </c>
      <c r="M374" s="173"/>
      <c r="N374" s="173"/>
      <c r="O374" s="157" t="s">
        <v>308</v>
      </c>
      <c r="P374" s="158"/>
      <c r="Q374" s="185"/>
      <c r="R374" s="175"/>
      <c r="S374" s="174">
        <f t="shared" si="15"/>
        <v>0</v>
      </c>
      <c r="T374" s="157"/>
      <c r="U374" s="177">
        <v>-340</v>
      </c>
      <c r="V374" s="157"/>
      <c r="W374" s="157"/>
      <c r="X374" s="176">
        <f t="shared" si="17"/>
        <v>-340</v>
      </c>
      <c r="Y374" s="228"/>
      <c r="Z374" s="311"/>
      <c r="AA374" s="157"/>
      <c r="AB374" s="157"/>
      <c r="AC374" s="157"/>
    </row>
    <row r="375" spans="1:29" outlineLevel="1">
      <c r="A375" s="170" t="s">
        <v>302</v>
      </c>
      <c r="B375" s="157" t="s">
        <v>303</v>
      </c>
      <c r="C375" s="171">
        <v>42831</v>
      </c>
      <c r="D375" s="178"/>
      <c r="E375" s="157" t="s">
        <v>304</v>
      </c>
      <c r="F375" s="223" t="s">
        <v>305</v>
      </c>
      <c r="G375" s="223"/>
      <c r="H375" s="224" t="s">
        <v>306</v>
      </c>
      <c r="I375" s="157"/>
      <c r="J375" s="172"/>
      <c r="K375" s="157"/>
      <c r="L375" s="223" t="s">
        <v>296</v>
      </c>
      <c r="M375" s="173"/>
      <c r="N375" s="173"/>
      <c r="O375" s="157" t="s">
        <v>307</v>
      </c>
      <c r="P375" s="158"/>
      <c r="Q375" s="185"/>
      <c r="R375" s="175"/>
      <c r="S375" s="174">
        <f t="shared" si="15"/>
        <v>0</v>
      </c>
      <c r="T375" s="157"/>
      <c r="U375" s="177">
        <v>-812.5</v>
      </c>
      <c r="V375" s="157"/>
      <c r="W375" s="157"/>
      <c r="X375" s="176">
        <f t="shared" si="17"/>
        <v>-812.5</v>
      </c>
      <c r="Y375" s="228"/>
      <c r="Z375" s="311"/>
      <c r="AA375" s="157"/>
      <c r="AB375" s="157"/>
      <c r="AC375" s="157"/>
    </row>
    <row r="376" spans="1:29" outlineLevel="1">
      <c r="A376" s="170" t="s">
        <v>302</v>
      </c>
      <c r="B376" s="157" t="s">
        <v>303</v>
      </c>
      <c r="C376" s="171">
        <v>42831</v>
      </c>
      <c r="D376" s="178"/>
      <c r="E376" s="157" t="s">
        <v>601</v>
      </c>
      <c r="F376" s="223" t="s">
        <v>305</v>
      </c>
      <c r="G376" s="223"/>
      <c r="H376" s="224" t="s">
        <v>306</v>
      </c>
      <c r="I376" s="157"/>
      <c r="J376" s="172"/>
      <c r="K376" s="157"/>
      <c r="L376" s="223" t="s">
        <v>296</v>
      </c>
      <c r="M376" s="173"/>
      <c r="N376" s="173"/>
      <c r="O376" s="157" t="s">
        <v>307</v>
      </c>
      <c r="P376" s="158"/>
      <c r="Q376" s="185"/>
      <c r="R376" s="175"/>
      <c r="S376" s="174">
        <f t="shared" si="15"/>
        <v>0</v>
      </c>
      <c r="T376" s="157"/>
      <c r="U376" s="177">
        <v>-51.22</v>
      </c>
      <c r="V376" s="157"/>
      <c r="W376" s="157"/>
      <c r="X376" s="176">
        <f t="shared" si="17"/>
        <v>-51.22</v>
      </c>
      <c r="Y376" s="228"/>
      <c r="Z376" s="311"/>
      <c r="AA376" s="157"/>
      <c r="AB376" s="157"/>
      <c r="AC376" s="157"/>
    </row>
    <row r="377" spans="1:29" outlineLevel="1">
      <c r="A377" s="170" t="s">
        <v>302</v>
      </c>
      <c r="B377" s="157" t="s">
        <v>303</v>
      </c>
      <c r="C377" s="171">
        <v>42831</v>
      </c>
      <c r="D377" s="178"/>
      <c r="E377" s="157" t="s">
        <v>602</v>
      </c>
      <c r="F377" s="223" t="s">
        <v>305</v>
      </c>
      <c r="G377" s="223"/>
      <c r="H377" s="224" t="s">
        <v>306</v>
      </c>
      <c r="I377" s="157"/>
      <c r="J377" s="172"/>
      <c r="K377" s="157"/>
      <c r="L377" s="223" t="s">
        <v>296</v>
      </c>
      <c r="M377" s="173"/>
      <c r="N377" s="173"/>
      <c r="O377" s="157" t="s">
        <v>307</v>
      </c>
      <c r="P377" s="158"/>
      <c r="Q377" s="185"/>
      <c r="R377" s="175"/>
      <c r="S377" s="174">
        <f t="shared" si="15"/>
        <v>0</v>
      </c>
      <c r="T377" s="157"/>
      <c r="U377" s="177">
        <v>-484.98</v>
      </c>
      <c r="V377" s="157"/>
      <c r="W377" s="157"/>
      <c r="X377" s="176">
        <f t="shared" si="17"/>
        <v>-484.98</v>
      </c>
      <c r="Y377" s="228"/>
      <c r="Z377" s="311"/>
      <c r="AA377" s="157"/>
      <c r="AB377" s="157"/>
      <c r="AC377" s="157"/>
    </row>
    <row r="378" spans="1:29" outlineLevel="1">
      <c r="A378" s="170" t="s">
        <v>302</v>
      </c>
      <c r="B378" s="157" t="s">
        <v>303</v>
      </c>
      <c r="C378" s="171">
        <v>42831</v>
      </c>
      <c r="D378" s="178"/>
      <c r="E378" s="157" t="s">
        <v>603</v>
      </c>
      <c r="F378" s="223" t="s">
        <v>305</v>
      </c>
      <c r="G378" s="223"/>
      <c r="H378" s="224" t="s">
        <v>306</v>
      </c>
      <c r="I378" s="157" t="s">
        <v>1009</v>
      </c>
      <c r="J378" s="157" t="s">
        <v>1009</v>
      </c>
      <c r="K378" s="157" t="s">
        <v>1009</v>
      </c>
      <c r="L378" s="223" t="s">
        <v>296</v>
      </c>
      <c r="M378" s="173"/>
      <c r="N378" s="173"/>
      <c r="O378" s="157" t="s">
        <v>271</v>
      </c>
      <c r="P378" s="158">
        <v>735.64</v>
      </c>
      <c r="Q378" s="185"/>
      <c r="R378" s="175"/>
      <c r="S378" s="174">
        <f t="shared" si="15"/>
        <v>735.64</v>
      </c>
      <c r="T378" s="157"/>
      <c r="U378" s="177"/>
      <c r="V378" s="157"/>
      <c r="W378" s="157"/>
      <c r="X378" s="176">
        <f t="shared" si="17"/>
        <v>0</v>
      </c>
      <c r="Y378" s="228"/>
      <c r="Z378" s="311"/>
      <c r="AA378" s="157"/>
      <c r="AB378" s="157"/>
      <c r="AC378" s="157"/>
    </row>
    <row r="379" spans="1:29" outlineLevel="1">
      <c r="A379" s="170" t="s">
        <v>302</v>
      </c>
      <c r="B379" s="157" t="s">
        <v>303</v>
      </c>
      <c r="C379" s="171">
        <v>42832</v>
      </c>
      <c r="D379" s="178"/>
      <c r="E379" s="157" t="s">
        <v>604</v>
      </c>
      <c r="F379" s="223" t="s">
        <v>305</v>
      </c>
      <c r="G379" s="223"/>
      <c r="H379" s="224" t="s">
        <v>306</v>
      </c>
      <c r="I379" s="157"/>
      <c r="J379" s="172"/>
      <c r="K379" s="157"/>
      <c r="L379" s="223" t="s">
        <v>296</v>
      </c>
      <c r="M379" s="173"/>
      <c r="N379" s="173"/>
      <c r="O379" s="157" t="s">
        <v>307</v>
      </c>
      <c r="P379" s="158"/>
      <c r="Q379" s="185"/>
      <c r="R379" s="175"/>
      <c r="S379" s="174">
        <f t="shared" si="15"/>
        <v>0</v>
      </c>
      <c r="T379" s="157"/>
      <c r="U379" s="177">
        <v>-9.1199999999999992</v>
      </c>
      <c r="V379" s="157"/>
      <c r="W379" s="157"/>
      <c r="X379" s="176">
        <f t="shared" si="17"/>
        <v>-9.1199999999999992</v>
      </c>
      <c r="Y379" s="228"/>
      <c r="Z379" s="311"/>
      <c r="AA379" s="157"/>
      <c r="AB379" s="157"/>
      <c r="AC379" s="157"/>
    </row>
    <row r="380" spans="1:29" outlineLevel="1">
      <c r="A380" s="170" t="s">
        <v>302</v>
      </c>
      <c r="B380" s="157" t="s">
        <v>303</v>
      </c>
      <c r="C380" s="171">
        <v>42832</v>
      </c>
      <c r="D380" s="178"/>
      <c r="E380" s="157" t="s">
        <v>605</v>
      </c>
      <c r="F380" s="223" t="s">
        <v>305</v>
      </c>
      <c r="G380" s="223"/>
      <c r="H380" s="224" t="s">
        <v>306</v>
      </c>
      <c r="I380" s="157"/>
      <c r="J380" s="172"/>
      <c r="K380" s="157"/>
      <c r="L380" s="223" t="s">
        <v>296</v>
      </c>
      <c r="M380" s="173"/>
      <c r="N380" s="173"/>
      <c r="O380" s="157" t="s">
        <v>307</v>
      </c>
      <c r="P380" s="158"/>
      <c r="Q380" s="185"/>
      <c r="R380" s="175"/>
      <c r="S380" s="174">
        <f t="shared" si="15"/>
        <v>0</v>
      </c>
      <c r="T380" s="157"/>
      <c r="U380" s="177">
        <v>-99.39</v>
      </c>
      <c r="V380" s="157"/>
      <c r="W380" s="157"/>
      <c r="X380" s="176">
        <f t="shared" si="17"/>
        <v>-99.39</v>
      </c>
      <c r="Y380" s="228"/>
      <c r="Z380" s="311"/>
      <c r="AA380" s="157"/>
      <c r="AB380" s="157"/>
      <c r="AC380" s="157"/>
    </row>
    <row r="381" spans="1:29" outlineLevel="1">
      <c r="A381" s="170" t="s">
        <v>302</v>
      </c>
      <c r="B381" s="157" t="s">
        <v>303</v>
      </c>
      <c r="C381" s="171">
        <v>42832</v>
      </c>
      <c r="D381" s="178"/>
      <c r="E381" s="157" t="s">
        <v>606</v>
      </c>
      <c r="F381" s="223" t="s">
        <v>305</v>
      </c>
      <c r="G381" s="223"/>
      <c r="H381" s="224" t="s">
        <v>306</v>
      </c>
      <c r="I381" s="157"/>
      <c r="J381" s="172"/>
      <c r="K381" s="157"/>
      <c r="L381" s="223" t="s">
        <v>296</v>
      </c>
      <c r="M381" s="173"/>
      <c r="N381" s="173"/>
      <c r="O381" s="157" t="s">
        <v>307</v>
      </c>
      <c r="P381" s="158"/>
      <c r="Q381" s="185"/>
      <c r="R381" s="175"/>
      <c r="S381" s="174">
        <f t="shared" si="15"/>
        <v>0</v>
      </c>
      <c r="T381" s="157"/>
      <c r="U381" s="177">
        <v>-6</v>
      </c>
      <c r="V381" s="157"/>
      <c r="W381" s="157"/>
      <c r="X381" s="176">
        <f t="shared" si="17"/>
        <v>-6</v>
      </c>
      <c r="Y381" s="228"/>
      <c r="Z381" s="311"/>
      <c r="AA381" s="157"/>
      <c r="AB381" s="157"/>
      <c r="AC381" s="157"/>
    </row>
    <row r="382" spans="1:29" outlineLevel="1">
      <c r="A382" s="170" t="s">
        <v>302</v>
      </c>
      <c r="B382" s="157" t="s">
        <v>303</v>
      </c>
      <c r="C382" s="171">
        <v>42832</v>
      </c>
      <c r="D382" s="178"/>
      <c r="E382" s="157" t="s">
        <v>607</v>
      </c>
      <c r="F382" s="223" t="s">
        <v>305</v>
      </c>
      <c r="G382" s="223"/>
      <c r="H382" s="224" t="s">
        <v>306</v>
      </c>
      <c r="I382" s="157"/>
      <c r="J382" s="172"/>
      <c r="K382" s="157"/>
      <c r="L382" s="223" t="s">
        <v>296</v>
      </c>
      <c r="M382" s="173"/>
      <c r="N382" s="173"/>
      <c r="O382" s="157" t="s">
        <v>307</v>
      </c>
      <c r="P382" s="158"/>
      <c r="Q382" s="185"/>
      <c r="R382" s="175"/>
      <c r="S382" s="174">
        <f t="shared" si="15"/>
        <v>0</v>
      </c>
      <c r="T382" s="157"/>
      <c r="U382" s="177">
        <v>-103.71</v>
      </c>
      <c r="V382" s="157"/>
      <c r="W382" s="157"/>
      <c r="X382" s="176">
        <f t="shared" si="17"/>
        <v>-103.71</v>
      </c>
      <c r="Y382" s="228"/>
      <c r="Z382" s="311"/>
      <c r="AA382" s="157"/>
      <c r="AB382" s="157"/>
      <c r="AC382" s="157"/>
    </row>
    <row r="383" spans="1:29" outlineLevel="1">
      <c r="A383" s="170" t="s">
        <v>302</v>
      </c>
      <c r="B383" s="157" t="s">
        <v>303</v>
      </c>
      <c r="C383" s="171">
        <v>42832</v>
      </c>
      <c r="D383" s="178"/>
      <c r="E383" s="157" t="s">
        <v>608</v>
      </c>
      <c r="F383" s="223" t="s">
        <v>305</v>
      </c>
      <c r="G383" s="223"/>
      <c r="H383" s="224" t="s">
        <v>306</v>
      </c>
      <c r="I383" s="157" t="s">
        <v>1009</v>
      </c>
      <c r="J383" s="157" t="s">
        <v>1009</v>
      </c>
      <c r="K383" s="157" t="s">
        <v>1009</v>
      </c>
      <c r="L383" s="223" t="s">
        <v>296</v>
      </c>
      <c r="M383" s="173"/>
      <c r="N383" s="173"/>
      <c r="O383" s="157" t="s">
        <v>271</v>
      </c>
      <c r="P383" s="158">
        <v>809.77</v>
      </c>
      <c r="Q383" s="185"/>
      <c r="R383" s="175"/>
      <c r="S383" s="174">
        <f t="shared" si="15"/>
        <v>809.77</v>
      </c>
      <c r="T383" s="157"/>
      <c r="U383" s="177"/>
      <c r="V383" s="157"/>
      <c r="W383" s="157"/>
      <c r="X383" s="176">
        <f t="shared" si="17"/>
        <v>0</v>
      </c>
      <c r="Y383" s="228"/>
      <c r="Z383" s="311"/>
      <c r="AA383" s="157"/>
      <c r="AB383" s="157"/>
      <c r="AC383" s="157"/>
    </row>
    <row r="384" spans="1:29" outlineLevel="1">
      <c r="A384" s="170" t="s">
        <v>302</v>
      </c>
      <c r="B384" s="157" t="s">
        <v>303</v>
      </c>
      <c r="C384" s="171">
        <v>42835</v>
      </c>
      <c r="D384" s="178"/>
      <c r="E384" s="157" t="s">
        <v>304</v>
      </c>
      <c r="F384" s="223" t="s">
        <v>305</v>
      </c>
      <c r="G384" s="223"/>
      <c r="H384" s="224" t="s">
        <v>306</v>
      </c>
      <c r="I384" s="157"/>
      <c r="J384" s="172"/>
      <c r="K384" s="157"/>
      <c r="L384" s="223" t="s">
        <v>296</v>
      </c>
      <c r="M384" s="173"/>
      <c r="N384" s="173"/>
      <c r="O384" s="157" t="s">
        <v>308</v>
      </c>
      <c r="P384" s="158"/>
      <c r="Q384" s="185"/>
      <c r="R384" s="175"/>
      <c r="S384" s="174">
        <f t="shared" si="15"/>
        <v>0</v>
      </c>
      <c r="T384" s="157"/>
      <c r="U384" s="177">
        <v>-70</v>
      </c>
      <c r="V384" s="157"/>
      <c r="W384" s="157"/>
      <c r="X384" s="176">
        <f t="shared" si="17"/>
        <v>-70</v>
      </c>
      <c r="Y384" s="228"/>
      <c r="Z384" s="311"/>
      <c r="AA384" s="157"/>
      <c r="AB384" s="157"/>
      <c r="AC384" s="157"/>
    </row>
    <row r="385" spans="1:29" outlineLevel="1">
      <c r="A385" s="170" t="s">
        <v>302</v>
      </c>
      <c r="B385" s="157" t="s">
        <v>303</v>
      </c>
      <c r="C385" s="171">
        <v>42835</v>
      </c>
      <c r="D385" s="178"/>
      <c r="E385" s="157" t="s">
        <v>304</v>
      </c>
      <c r="F385" s="223" t="s">
        <v>305</v>
      </c>
      <c r="G385" s="223"/>
      <c r="H385" s="224" t="s">
        <v>306</v>
      </c>
      <c r="I385" s="157"/>
      <c r="J385" s="172"/>
      <c r="K385" s="157"/>
      <c r="L385" s="223" t="s">
        <v>296</v>
      </c>
      <c r="M385" s="173"/>
      <c r="N385" s="173"/>
      <c r="O385" s="157" t="s">
        <v>308</v>
      </c>
      <c r="P385" s="158"/>
      <c r="Q385" s="185"/>
      <c r="R385" s="175"/>
      <c r="S385" s="174">
        <f t="shared" si="15"/>
        <v>0</v>
      </c>
      <c r="T385" s="157"/>
      <c r="U385" s="177">
        <v>-405.2</v>
      </c>
      <c r="V385" s="157"/>
      <c r="W385" s="157"/>
      <c r="X385" s="176">
        <f t="shared" si="17"/>
        <v>-405.2</v>
      </c>
      <c r="Y385" s="228"/>
      <c r="Z385" s="311"/>
      <c r="AA385" s="157"/>
      <c r="AB385" s="157"/>
      <c r="AC385" s="157"/>
    </row>
    <row r="386" spans="1:29" outlineLevel="1">
      <c r="A386" s="170" t="s">
        <v>302</v>
      </c>
      <c r="B386" s="157" t="s">
        <v>303</v>
      </c>
      <c r="C386" s="171">
        <v>42835</v>
      </c>
      <c r="D386" s="178"/>
      <c r="E386" s="157" t="s">
        <v>304</v>
      </c>
      <c r="F386" s="223" t="s">
        <v>305</v>
      </c>
      <c r="G386" s="223"/>
      <c r="H386" s="224" t="s">
        <v>306</v>
      </c>
      <c r="I386" s="157"/>
      <c r="J386" s="172"/>
      <c r="K386" s="157"/>
      <c r="L386" s="223" t="s">
        <v>296</v>
      </c>
      <c r="M386" s="173"/>
      <c r="N386" s="173"/>
      <c r="O386" s="157" t="s">
        <v>308</v>
      </c>
      <c r="P386" s="158"/>
      <c r="Q386" s="185"/>
      <c r="R386" s="175"/>
      <c r="S386" s="174">
        <f t="shared" si="15"/>
        <v>0</v>
      </c>
      <c r="T386" s="157"/>
      <c r="U386" s="177">
        <v>-559.5</v>
      </c>
      <c r="V386" s="157"/>
      <c r="W386" s="157"/>
      <c r="X386" s="176">
        <f t="shared" si="17"/>
        <v>-559.5</v>
      </c>
      <c r="Y386" s="228"/>
      <c r="Z386" s="311"/>
      <c r="AA386" s="157"/>
      <c r="AB386" s="157"/>
      <c r="AC386" s="157"/>
    </row>
    <row r="387" spans="1:29" outlineLevel="1">
      <c r="A387" s="170" t="s">
        <v>302</v>
      </c>
      <c r="B387" s="157" t="s">
        <v>303</v>
      </c>
      <c r="C387" s="171">
        <v>42835</v>
      </c>
      <c r="D387" s="178"/>
      <c r="E387" s="157" t="s">
        <v>304</v>
      </c>
      <c r="F387" s="223" t="s">
        <v>305</v>
      </c>
      <c r="G387" s="223"/>
      <c r="H387" s="224" t="s">
        <v>306</v>
      </c>
      <c r="I387" s="157"/>
      <c r="J387" s="172"/>
      <c r="K387" s="157"/>
      <c r="L387" s="223" t="s">
        <v>296</v>
      </c>
      <c r="M387" s="173"/>
      <c r="N387" s="173"/>
      <c r="O387" s="157" t="s">
        <v>307</v>
      </c>
      <c r="P387" s="158"/>
      <c r="Q387" s="185"/>
      <c r="R387" s="175"/>
      <c r="S387" s="174">
        <f t="shared" si="15"/>
        <v>0</v>
      </c>
      <c r="T387" s="157"/>
      <c r="U387" s="177">
        <v>-3614.07</v>
      </c>
      <c r="V387" s="157"/>
      <c r="W387" s="157"/>
      <c r="X387" s="176">
        <f t="shared" si="17"/>
        <v>-3614.07</v>
      </c>
      <c r="Y387" s="228"/>
      <c r="Z387" s="311"/>
      <c r="AA387" s="157"/>
      <c r="AB387" s="157"/>
      <c r="AC387" s="157"/>
    </row>
    <row r="388" spans="1:29" outlineLevel="1">
      <c r="A388" s="170" t="s">
        <v>302</v>
      </c>
      <c r="B388" s="157" t="s">
        <v>303</v>
      </c>
      <c r="C388" s="171">
        <v>42835</v>
      </c>
      <c r="D388" s="178"/>
      <c r="E388" s="157" t="s">
        <v>609</v>
      </c>
      <c r="F388" s="223" t="s">
        <v>305</v>
      </c>
      <c r="G388" s="223"/>
      <c r="H388" s="224" t="s">
        <v>306</v>
      </c>
      <c r="I388" s="157"/>
      <c r="J388" s="172"/>
      <c r="K388" s="157"/>
      <c r="L388" s="223" t="s">
        <v>296</v>
      </c>
      <c r="M388" s="173"/>
      <c r="N388" s="173"/>
      <c r="O388" s="157" t="s">
        <v>307</v>
      </c>
      <c r="P388" s="158"/>
      <c r="Q388" s="185"/>
      <c r="R388" s="175"/>
      <c r="S388" s="174">
        <f t="shared" si="15"/>
        <v>0</v>
      </c>
      <c r="T388" s="157"/>
      <c r="U388" s="177">
        <v>-19.77</v>
      </c>
      <c r="V388" s="157"/>
      <c r="W388" s="157"/>
      <c r="X388" s="176">
        <f t="shared" si="17"/>
        <v>-19.77</v>
      </c>
      <c r="Y388" s="228"/>
      <c r="Z388" s="311"/>
      <c r="AA388" s="157"/>
      <c r="AB388" s="157"/>
      <c r="AC388" s="157"/>
    </row>
    <row r="389" spans="1:29" outlineLevel="1">
      <c r="A389" s="170" t="s">
        <v>302</v>
      </c>
      <c r="B389" s="157" t="s">
        <v>303</v>
      </c>
      <c r="C389" s="171">
        <v>42835</v>
      </c>
      <c r="D389" s="178"/>
      <c r="E389" s="157" t="s">
        <v>610</v>
      </c>
      <c r="F389" s="223" t="s">
        <v>305</v>
      </c>
      <c r="G389" s="223"/>
      <c r="H389" s="224" t="s">
        <v>306</v>
      </c>
      <c r="I389" s="157"/>
      <c r="J389" s="172"/>
      <c r="K389" s="157"/>
      <c r="L389" s="223" t="s">
        <v>296</v>
      </c>
      <c r="M389" s="173"/>
      <c r="N389" s="173"/>
      <c r="O389" s="157" t="s">
        <v>307</v>
      </c>
      <c r="P389" s="158"/>
      <c r="Q389" s="185"/>
      <c r="R389" s="175"/>
      <c r="S389" s="174">
        <f t="shared" si="15"/>
        <v>0</v>
      </c>
      <c r="T389" s="157"/>
      <c r="U389" s="177">
        <v>-125.36</v>
      </c>
      <c r="V389" s="157"/>
      <c r="W389" s="157"/>
      <c r="X389" s="176">
        <f t="shared" si="17"/>
        <v>-125.36</v>
      </c>
      <c r="Y389" s="228"/>
      <c r="Z389" s="311"/>
      <c r="AA389" s="157"/>
      <c r="AB389" s="157"/>
      <c r="AC389" s="157"/>
    </row>
    <row r="390" spans="1:29" outlineLevel="1">
      <c r="A390" s="170" t="s">
        <v>302</v>
      </c>
      <c r="B390" s="157" t="s">
        <v>303</v>
      </c>
      <c r="C390" s="171">
        <v>42835</v>
      </c>
      <c r="D390" s="178"/>
      <c r="E390" s="157" t="s">
        <v>611</v>
      </c>
      <c r="F390" s="223" t="s">
        <v>305</v>
      </c>
      <c r="G390" s="223"/>
      <c r="H390" s="224" t="s">
        <v>306</v>
      </c>
      <c r="I390" s="157"/>
      <c r="J390" s="172"/>
      <c r="K390" s="157"/>
      <c r="L390" s="223" t="s">
        <v>296</v>
      </c>
      <c r="M390" s="173"/>
      <c r="N390" s="173"/>
      <c r="O390" s="157" t="s">
        <v>307</v>
      </c>
      <c r="P390" s="158"/>
      <c r="Q390" s="185"/>
      <c r="R390" s="175"/>
      <c r="S390" s="174">
        <f t="shared" si="15"/>
        <v>0</v>
      </c>
      <c r="T390" s="157"/>
      <c r="U390" s="177">
        <v>-297</v>
      </c>
      <c r="V390" s="157"/>
      <c r="W390" s="157"/>
      <c r="X390" s="176">
        <f t="shared" si="17"/>
        <v>-297</v>
      </c>
      <c r="Y390" s="228"/>
      <c r="Z390" s="311"/>
      <c r="AA390" s="157"/>
      <c r="AB390" s="157"/>
      <c r="AC390" s="157"/>
    </row>
    <row r="391" spans="1:29" outlineLevel="1">
      <c r="A391" s="170" t="s">
        <v>302</v>
      </c>
      <c r="B391" s="157" t="s">
        <v>303</v>
      </c>
      <c r="C391" s="171">
        <v>42835</v>
      </c>
      <c r="D391" s="178"/>
      <c r="E391" s="157" t="s">
        <v>612</v>
      </c>
      <c r="F391" s="223" t="s">
        <v>305</v>
      </c>
      <c r="G391" s="223"/>
      <c r="H391" s="224" t="s">
        <v>306</v>
      </c>
      <c r="I391" s="157"/>
      <c r="J391" s="172"/>
      <c r="K391" s="157"/>
      <c r="L391" s="223" t="s">
        <v>296</v>
      </c>
      <c r="M391" s="173"/>
      <c r="N391" s="173"/>
      <c r="O391" s="157" t="s">
        <v>307</v>
      </c>
      <c r="P391" s="158"/>
      <c r="Q391" s="185"/>
      <c r="R391" s="175"/>
      <c r="S391" s="174">
        <f t="shared" si="15"/>
        <v>0</v>
      </c>
      <c r="T391" s="157"/>
      <c r="U391" s="177">
        <v>-18.88</v>
      </c>
      <c r="V391" s="157"/>
      <c r="W391" s="157"/>
      <c r="X391" s="176">
        <f t="shared" si="17"/>
        <v>-18.88</v>
      </c>
      <c r="Y391" s="228"/>
      <c r="Z391" s="311"/>
      <c r="AA391" s="157"/>
      <c r="AB391" s="157"/>
      <c r="AC391" s="157"/>
    </row>
    <row r="392" spans="1:29" outlineLevel="1">
      <c r="A392" s="170" t="s">
        <v>302</v>
      </c>
      <c r="B392" s="157" t="s">
        <v>303</v>
      </c>
      <c r="C392" s="171">
        <v>42835</v>
      </c>
      <c r="D392" s="178"/>
      <c r="E392" s="157" t="s">
        <v>613</v>
      </c>
      <c r="F392" s="223" t="s">
        <v>305</v>
      </c>
      <c r="G392" s="223"/>
      <c r="H392" s="224" t="s">
        <v>306</v>
      </c>
      <c r="I392" s="157" t="s">
        <v>1009</v>
      </c>
      <c r="J392" s="157" t="s">
        <v>1009</v>
      </c>
      <c r="K392" s="157" t="s">
        <v>1009</v>
      </c>
      <c r="L392" s="223" t="s">
        <v>296</v>
      </c>
      <c r="M392" s="173"/>
      <c r="N392" s="173"/>
      <c r="O392" s="157" t="s">
        <v>271</v>
      </c>
      <c r="P392" s="158">
        <v>2487.64</v>
      </c>
      <c r="Q392" s="185"/>
      <c r="R392" s="175"/>
      <c r="S392" s="174">
        <f t="shared" si="15"/>
        <v>2487.64</v>
      </c>
      <c r="T392" s="157"/>
      <c r="U392" s="177"/>
      <c r="V392" s="157"/>
      <c r="W392" s="157"/>
      <c r="X392" s="176">
        <f t="shared" si="17"/>
        <v>0</v>
      </c>
      <c r="Y392" s="228"/>
      <c r="Z392" s="311"/>
      <c r="AA392" s="157"/>
      <c r="AB392" s="157"/>
      <c r="AC392" s="157"/>
    </row>
    <row r="393" spans="1:29" outlineLevel="1">
      <c r="A393" s="170" t="s">
        <v>302</v>
      </c>
      <c r="B393" s="157" t="s">
        <v>303</v>
      </c>
      <c r="C393" s="171">
        <v>42835</v>
      </c>
      <c r="D393" s="178"/>
      <c r="E393" s="157" t="s">
        <v>614</v>
      </c>
      <c r="F393" s="223" t="s">
        <v>305</v>
      </c>
      <c r="G393" s="223"/>
      <c r="H393" s="224" t="s">
        <v>306</v>
      </c>
      <c r="I393" s="157" t="s">
        <v>1009</v>
      </c>
      <c r="J393" s="157" t="s">
        <v>1009</v>
      </c>
      <c r="K393" s="157" t="s">
        <v>1009</v>
      </c>
      <c r="L393" s="223" t="s">
        <v>296</v>
      </c>
      <c r="M393" s="173"/>
      <c r="N393" s="173"/>
      <c r="O393" s="157" t="s">
        <v>271</v>
      </c>
      <c r="P393" s="158">
        <v>1750.35</v>
      </c>
      <c r="Q393" s="185"/>
      <c r="R393" s="175"/>
      <c r="S393" s="174">
        <f t="shared" si="15"/>
        <v>1750.35</v>
      </c>
      <c r="T393" s="157"/>
      <c r="U393" s="177"/>
      <c r="V393" s="157"/>
      <c r="W393" s="157"/>
      <c r="X393" s="176">
        <f t="shared" si="17"/>
        <v>0</v>
      </c>
      <c r="Y393" s="228"/>
      <c r="Z393" s="311"/>
      <c r="AA393" s="157"/>
      <c r="AB393" s="157"/>
      <c r="AC393" s="157"/>
    </row>
    <row r="394" spans="1:29" outlineLevel="1">
      <c r="A394" s="170" t="s">
        <v>302</v>
      </c>
      <c r="B394" s="157" t="s">
        <v>303</v>
      </c>
      <c r="C394" s="171">
        <v>42835</v>
      </c>
      <c r="D394" s="178"/>
      <c r="E394" s="157" t="s">
        <v>615</v>
      </c>
      <c r="F394" s="223" t="s">
        <v>305</v>
      </c>
      <c r="G394" s="223"/>
      <c r="H394" s="224" t="s">
        <v>306</v>
      </c>
      <c r="I394" s="157" t="s">
        <v>1009</v>
      </c>
      <c r="J394" s="157" t="s">
        <v>1009</v>
      </c>
      <c r="K394" s="157" t="s">
        <v>1009</v>
      </c>
      <c r="L394" s="223" t="s">
        <v>296</v>
      </c>
      <c r="M394" s="173"/>
      <c r="N394" s="173"/>
      <c r="O394" s="157" t="s">
        <v>271</v>
      </c>
      <c r="P394" s="158">
        <v>1491.33</v>
      </c>
      <c r="Q394" s="185"/>
      <c r="R394" s="175"/>
      <c r="S394" s="174">
        <f t="shared" si="15"/>
        <v>1491.33</v>
      </c>
      <c r="T394" s="157"/>
      <c r="U394" s="177"/>
      <c r="V394" s="157"/>
      <c r="W394" s="157"/>
      <c r="X394" s="176">
        <f t="shared" si="17"/>
        <v>0</v>
      </c>
      <c r="Y394" s="228"/>
      <c r="Z394" s="311"/>
      <c r="AA394" s="157"/>
      <c r="AB394" s="157"/>
      <c r="AC394" s="157"/>
    </row>
    <row r="395" spans="1:29" outlineLevel="1">
      <c r="A395" s="170" t="s">
        <v>302</v>
      </c>
      <c r="B395" s="157" t="s">
        <v>303</v>
      </c>
      <c r="C395" s="171">
        <v>42836</v>
      </c>
      <c r="D395" s="178"/>
      <c r="E395" s="157" t="s">
        <v>304</v>
      </c>
      <c r="F395" s="223" t="s">
        <v>305</v>
      </c>
      <c r="G395" s="223"/>
      <c r="H395" s="224" t="s">
        <v>306</v>
      </c>
      <c r="I395" s="157"/>
      <c r="J395" s="172"/>
      <c r="K395" s="157"/>
      <c r="L395" s="223" t="s">
        <v>296</v>
      </c>
      <c r="M395" s="173"/>
      <c r="N395" s="173"/>
      <c r="O395" s="157" t="s">
        <v>307</v>
      </c>
      <c r="P395" s="158"/>
      <c r="Q395" s="185"/>
      <c r="R395" s="175"/>
      <c r="S395" s="174">
        <f t="shared" si="15"/>
        <v>0</v>
      </c>
      <c r="T395" s="157"/>
      <c r="U395" s="177">
        <v>-6210</v>
      </c>
      <c r="V395" s="157"/>
      <c r="W395" s="157"/>
      <c r="X395" s="176">
        <f t="shared" si="17"/>
        <v>-6210</v>
      </c>
      <c r="Y395" s="228"/>
      <c r="Z395" s="311"/>
      <c r="AA395" s="157"/>
      <c r="AB395" s="157"/>
      <c r="AC395" s="157"/>
    </row>
    <row r="396" spans="1:29" outlineLevel="1">
      <c r="A396" s="170" t="s">
        <v>302</v>
      </c>
      <c r="B396" s="157" t="s">
        <v>303</v>
      </c>
      <c r="C396" s="171">
        <v>42836</v>
      </c>
      <c r="D396" s="178"/>
      <c r="E396" s="157" t="s">
        <v>304</v>
      </c>
      <c r="F396" s="223" t="s">
        <v>305</v>
      </c>
      <c r="G396" s="223"/>
      <c r="H396" s="224" t="s">
        <v>306</v>
      </c>
      <c r="I396" s="157"/>
      <c r="J396" s="172"/>
      <c r="K396" s="157"/>
      <c r="L396" s="223" t="s">
        <v>296</v>
      </c>
      <c r="M396" s="173"/>
      <c r="N396" s="173"/>
      <c r="O396" s="157" t="s">
        <v>308</v>
      </c>
      <c r="P396" s="158"/>
      <c r="Q396" s="185"/>
      <c r="R396" s="175"/>
      <c r="S396" s="174">
        <f t="shared" si="15"/>
        <v>0</v>
      </c>
      <c r="T396" s="157"/>
      <c r="U396" s="177">
        <v>-426.75</v>
      </c>
      <c r="V396" s="157"/>
      <c r="W396" s="157"/>
      <c r="X396" s="176">
        <f t="shared" si="17"/>
        <v>-426.75</v>
      </c>
      <c r="Y396" s="228"/>
      <c r="Z396" s="311"/>
      <c r="AA396" s="157"/>
      <c r="AB396" s="157"/>
      <c r="AC396" s="157"/>
    </row>
    <row r="397" spans="1:29" outlineLevel="1">
      <c r="A397" s="170" t="s">
        <v>302</v>
      </c>
      <c r="B397" s="157" t="s">
        <v>303</v>
      </c>
      <c r="C397" s="171">
        <v>42836</v>
      </c>
      <c r="D397" s="178"/>
      <c r="E397" s="157" t="s">
        <v>616</v>
      </c>
      <c r="F397" s="223" t="s">
        <v>305</v>
      </c>
      <c r="G397" s="223"/>
      <c r="H397" s="224" t="s">
        <v>306</v>
      </c>
      <c r="I397" s="157"/>
      <c r="J397" s="172"/>
      <c r="K397" s="157"/>
      <c r="L397" s="223" t="s">
        <v>296</v>
      </c>
      <c r="M397" s="173"/>
      <c r="N397" s="173"/>
      <c r="O397" s="157" t="s">
        <v>307</v>
      </c>
      <c r="P397" s="158"/>
      <c r="Q397" s="185"/>
      <c r="R397" s="175"/>
      <c r="S397" s="174">
        <f t="shared" si="15"/>
        <v>0</v>
      </c>
      <c r="T397" s="157"/>
      <c r="U397" s="177">
        <v>-35.979999999999997</v>
      </c>
      <c r="V397" s="157"/>
      <c r="W397" s="157"/>
      <c r="X397" s="176">
        <f t="shared" si="17"/>
        <v>-35.979999999999997</v>
      </c>
      <c r="Y397" s="228"/>
      <c r="Z397" s="311"/>
      <c r="AA397" s="157"/>
      <c r="AB397" s="157"/>
      <c r="AC397" s="157"/>
    </row>
    <row r="398" spans="1:29" outlineLevel="1">
      <c r="A398" s="170" t="s">
        <v>302</v>
      </c>
      <c r="B398" s="157" t="s">
        <v>303</v>
      </c>
      <c r="C398" s="171">
        <v>42836</v>
      </c>
      <c r="D398" s="178"/>
      <c r="E398" s="157" t="s">
        <v>617</v>
      </c>
      <c r="F398" s="223" t="s">
        <v>305</v>
      </c>
      <c r="G398" s="223"/>
      <c r="H398" s="224" t="s">
        <v>306</v>
      </c>
      <c r="I398" s="157"/>
      <c r="J398" s="172"/>
      <c r="K398" s="157"/>
      <c r="L398" s="223" t="s">
        <v>296</v>
      </c>
      <c r="M398" s="173"/>
      <c r="N398" s="173"/>
      <c r="O398" s="157" t="s">
        <v>307</v>
      </c>
      <c r="P398" s="158"/>
      <c r="Q398" s="185"/>
      <c r="R398" s="175"/>
      <c r="S398" s="174">
        <f t="shared" si="15"/>
        <v>0</v>
      </c>
      <c r="T398" s="157"/>
      <c r="U398" s="177">
        <v>-71.98</v>
      </c>
      <c r="V398" s="157"/>
      <c r="W398" s="157"/>
      <c r="X398" s="176">
        <f t="shared" si="17"/>
        <v>-71.98</v>
      </c>
      <c r="Y398" s="228"/>
      <c r="Z398" s="311"/>
      <c r="AA398" s="157"/>
      <c r="AB398" s="157"/>
      <c r="AC398" s="157"/>
    </row>
    <row r="399" spans="1:29" outlineLevel="1">
      <c r="A399" s="170" t="s">
        <v>302</v>
      </c>
      <c r="B399" s="157" t="s">
        <v>303</v>
      </c>
      <c r="C399" s="171">
        <v>42836</v>
      </c>
      <c r="D399" s="178"/>
      <c r="E399" s="157" t="s">
        <v>618</v>
      </c>
      <c r="F399" s="223" t="s">
        <v>305</v>
      </c>
      <c r="G399" s="223"/>
      <c r="H399" s="224" t="s">
        <v>306</v>
      </c>
      <c r="I399" s="157"/>
      <c r="J399" s="172"/>
      <c r="K399" s="157"/>
      <c r="L399" s="223" t="s">
        <v>296</v>
      </c>
      <c r="M399" s="173"/>
      <c r="N399" s="173"/>
      <c r="O399" s="157" t="s">
        <v>307</v>
      </c>
      <c r="P399" s="158"/>
      <c r="Q399" s="185"/>
      <c r="R399" s="175"/>
      <c r="S399" s="174">
        <f t="shared" si="15"/>
        <v>0</v>
      </c>
      <c r="T399" s="157"/>
      <c r="U399" s="177">
        <v>-51.18</v>
      </c>
      <c r="V399" s="157"/>
      <c r="W399" s="157"/>
      <c r="X399" s="176">
        <f t="shared" si="17"/>
        <v>-51.18</v>
      </c>
      <c r="Y399" s="228"/>
      <c r="Z399" s="311"/>
      <c r="AA399" s="157"/>
      <c r="AB399" s="157"/>
      <c r="AC399" s="157"/>
    </row>
    <row r="400" spans="1:29" outlineLevel="1">
      <c r="A400" s="170" t="s">
        <v>302</v>
      </c>
      <c r="B400" s="157" t="s">
        <v>303</v>
      </c>
      <c r="C400" s="171">
        <v>42836</v>
      </c>
      <c r="D400" s="178"/>
      <c r="E400" s="157" t="s">
        <v>619</v>
      </c>
      <c r="F400" s="223" t="s">
        <v>305</v>
      </c>
      <c r="G400" s="223"/>
      <c r="H400" s="224" t="s">
        <v>306</v>
      </c>
      <c r="I400" s="157" t="s">
        <v>1009</v>
      </c>
      <c r="J400" s="157" t="s">
        <v>1009</v>
      </c>
      <c r="K400" s="157" t="s">
        <v>1009</v>
      </c>
      <c r="L400" s="223" t="s">
        <v>296</v>
      </c>
      <c r="M400" s="173"/>
      <c r="N400" s="173"/>
      <c r="O400" s="157" t="s">
        <v>271</v>
      </c>
      <c r="P400" s="158">
        <v>693</v>
      </c>
      <c r="Q400" s="185"/>
      <c r="R400" s="175"/>
      <c r="S400" s="174">
        <f t="shared" si="15"/>
        <v>693</v>
      </c>
      <c r="T400" s="157"/>
      <c r="U400" s="177"/>
      <c r="V400" s="157"/>
      <c r="W400" s="157"/>
      <c r="X400" s="176">
        <f t="shared" si="17"/>
        <v>0</v>
      </c>
      <c r="Y400" s="228"/>
      <c r="Z400" s="311"/>
      <c r="AA400" s="157"/>
      <c r="AB400" s="157"/>
      <c r="AC400" s="157"/>
    </row>
    <row r="401" spans="1:29" outlineLevel="1">
      <c r="A401" s="170" t="s">
        <v>302</v>
      </c>
      <c r="B401" s="157" t="s">
        <v>303</v>
      </c>
      <c r="C401" s="171">
        <v>42836</v>
      </c>
      <c r="D401" s="178"/>
      <c r="E401" s="157" t="s">
        <v>620</v>
      </c>
      <c r="F401" s="223" t="s">
        <v>305</v>
      </c>
      <c r="G401" s="223"/>
      <c r="H401" s="224" t="s">
        <v>306</v>
      </c>
      <c r="I401" s="157" t="s">
        <v>1009</v>
      </c>
      <c r="J401" s="157" t="s">
        <v>1009</v>
      </c>
      <c r="K401" s="157" t="s">
        <v>1009</v>
      </c>
      <c r="L401" s="223" t="s">
        <v>296</v>
      </c>
      <c r="M401" s="173"/>
      <c r="N401" s="173"/>
      <c r="O401" s="157" t="s">
        <v>271</v>
      </c>
      <c r="P401" s="158">
        <v>986.87</v>
      </c>
      <c r="Q401" s="185"/>
      <c r="R401" s="175"/>
      <c r="S401" s="174">
        <f t="shared" si="15"/>
        <v>986.87</v>
      </c>
      <c r="T401" s="157"/>
      <c r="U401" s="177"/>
      <c r="V401" s="157"/>
      <c r="W401" s="157"/>
      <c r="X401" s="176">
        <f t="shared" si="17"/>
        <v>0</v>
      </c>
      <c r="Y401" s="228"/>
      <c r="Z401" s="311"/>
      <c r="AA401" s="157"/>
      <c r="AB401" s="157"/>
      <c r="AC401" s="157"/>
    </row>
    <row r="402" spans="1:29" outlineLevel="1">
      <c r="A402" s="170" t="s">
        <v>302</v>
      </c>
      <c r="B402" s="157" t="s">
        <v>303</v>
      </c>
      <c r="C402" s="171">
        <v>42837</v>
      </c>
      <c r="D402" s="178"/>
      <c r="E402" s="157" t="s">
        <v>304</v>
      </c>
      <c r="F402" s="223" t="s">
        <v>305</v>
      </c>
      <c r="G402" s="223"/>
      <c r="H402" s="224" t="s">
        <v>306</v>
      </c>
      <c r="I402" s="157"/>
      <c r="J402" s="172"/>
      <c r="K402" s="157"/>
      <c r="L402" s="223" t="s">
        <v>296</v>
      </c>
      <c r="M402" s="173"/>
      <c r="N402" s="173"/>
      <c r="O402" s="157" t="s">
        <v>308</v>
      </c>
      <c r="P402" s="158"/>
      <c r="Q402" s="185"/>
      <c r="R402" s="175"/>
      <c r="S402" s="174">
        <f t="shared" si="15"/>
        <v>0</v>
      </c>
      <c r="T402" s="157"/>
      <c r="U402" s="177">
        <v>-640</v>
      </c>
      <c r="V402" s="157"/>
      <c r="W402" s="157"/>
      <c r="X402" s="176">
        <f t="shared" si="17"/>
        <v>-640</v>
      </c>
      <c r="Y402" s="228"/>
      <c r="Z402" s="311"/>
      <c r="AA402" s="157"/>
      <c r="AB402" s="157"/>
      <c r="AC402" s="157"/>
    </row>
    <row r="403" spans="1:29" outlineLevel="1">
      <c r="A403" s="170" t="s">
        <v>302</v>
      </c>
      <c r="B403" s="157" t="s">
        <v>303</v>
      </c>
      <c r="C403" s="171">
        <v>42837</v>
      </c>
      <c r="D403" s="178"/>
      <c r="E403" s="157" t="s">
        <v>621</v>
      </c>
      <c r="F403" s="223" t="s">
        <v>305</v>
      </c>
      <c r="G403" s="223"/>
      <c r="H403" s="224" t="s">
        <v>306</v>
      </c>
      <c r="I403" s="157"/>
      <c r="J403" s="172"/>
      <c r="K403" s="157"/>
      <c r="L403" s="223" t="s">
        <v>296</v>
      </c>
      <c r="M403" s="173"/>
      <c r="N403" s="173"/>
      <c r="O403" s="157" t="s">
        <v>307</v>
      </c>
      <c r="P403" s="158"/>
      <c r="Q403" s="185"/>
      <c r="R403" s="175"/>
      <c r="S403" s="174">
        <f t="shared" ref="S403:S466" si="18">P403</f>
        <v>0</v>
      </c>
      <c r="T403" s="157"/>
      <c r="U403" s="177">
        <v>-42.23</v>
      </c>
      <c r="V403" s="157"/>
      <c r="W403" s="157"/>
      <c r="X403" s="176">
        <f t="shared" si="17"/>
        <v>-42.23</v>
      </c>
      <c r="Y403" s="228"/>
      <c r="Z403" s="311"/>
      <c r="AA403" s="157"/>
      <c r="AB403" s="157"/>
      <c r="AC403" s="157"/>
    </row>
    <row r="404" spans="1:29" outlineLevel="1">
      <c r="A404" s="170" t="s">
        <v>302</v>
      </c>
      <c r="B404" s="157" t="s">
        <v>303</v>
      </c>
      <c r="C404" s="171">
        <v>42837</v>
      </c>
      <c r="D404" s="178"/>
      <c r="E404" s="157" t="s">
        <v>622</v>
      </c>
      <c r="F404" s="223" t="s">
        <v>305</v>
      </c>
      <c r="G404" s="223"/>
      <c r="H404" s="224" t="s">
        <v>306</v>
      </c>
      <c r="I404" s="157" t="s">
        <v>1009</v>
      </c>
      <c r="J404" s="157" t="s">
        <v>1009</v>
      </c>
      <c r="K404" s="157" t="s">
        <v>1009</v>
      </c>
      <c r="L404" s="223" t="s">
        <v>296</v>
      </c>
      <c r="M404" s="173"/>
      <c r="N404" s="173"/>
      <c r="O404" s="157" t="s">
        <v>271</v>
      </c>
      <c r="P404" s="158">
        <v>992.4</v>
      </c>
      <c r="Q404" s="185"/>
      <c r="R404" s="175"/>
      <c r="S404" s="174">
        <f t="shared" si="18"/>
        <v>992.4</v>
      </c>
      <c r="T404" s="157"/>
      <c r="U404" s="177"/>
      <c r="V404" s="157"/>
      <c r="W404" s="157"/>
      <c r="X404" s="176">
        <f t="shared" si="17"/>
        <v>0</v>
      </c>
      <c r="Y404" s="228"/>
      <c r="Z404" s="311"/>
      <c r="AA404" s="157"/>
      <c r="AB404" s="157"/>
      <c r="AC404" s="157"/>
    </row>
    <row r="405" spans="1:29" outlineLevel="1">
      <c r="A405" s="170" t="s">
        <v>302</v>
      </c>
      <c r="B405" s="157" t="s">
        <v>303</v>
      </c>
      <c r="C405" s="171">
        <v>42837</v>
      </c>
      <c r="D405" s="178"/>
      <c r="E405" s="157" t="s">
        <v>623</v>
      </c>
      <c r="F405" s="223" t="s">
        <v>305</v>
      </c>
      <c r="G405" s="223"/>
      <c r="H405" s="224" t="s">
        <v>306</v>
      </c>
      <c r="I405" s="157" t="s">
        <v>1009</v>
      </c>
      <c r="J405" s="157" t="s">
        <v>1009</v>
      </c>
      <c r="K405" s="157" t="s">
        <v>1009</v>
      </c>
      <c r="L405" s="223" t="s">
        <v>296</v>
      </c>
      <c r="M405" s="173"/>
      <c r="N405" s="173"/>
      <c r="O405" s="157" t="s">
        <v>271</v>
      </c>
      <c r="P405" s="158">
        <v>351.28</v>
      </c>
      <c r="Q405" s="185"/>
      <c r="R405" s="175"/>
      <c r="S405" s="174">
        <f t="shared" si="18"/>
        <v>351.28</v>
      </c>
      <c r="T405" s="157"/>
      <c r="U405" s="177"/>
      <c r="V405" s="157"/>
      <c r="W405" s="157"/>
      <c r="X405" s="176">
        <f t="shared" si="17"/>
        <v>0</v>
      </c>
      <c r="Y405" s="228"/>
      <c r="Z405" s="311"/>
      <c r="AA405" s="157"/>
      <c r="AB405" s="157"/>
      <c r="AC405" s="157"/>
    </row>
    <row r="406" spans="1:29" outlineLevel="1">
      <c r="A406" s="170" t="s">
        <v>302</v>
      </c>
      <c r="B406" s="157" t="s">
        <v>303</v>
      </c>
      <c r="C406" s="171">
        <v>42838</v>
      </c>
      <c r="D406" s="178"/>
      <c r="E406" s="157" t="s">
        <v>624</v>
      </c>
      <c r="F406" s="223" t="s">
        <v>305</v>
      </c>
      <c r="G406" s="223"/>
      <c r="H406" s="224" t="s">
        <v>306</v>
      </c>
      <c r="I406" s="157"/>
      <c r="J406" s="172"/>
      <c r="K406" s="157"/>
      <c r="L406" s="223" t="s">
        <v>296</v>
      </c>
      <c r="M406" s="173"/>
      <c r="N406" s="173"/>
      <c r="O406" s="157" t="s">
        <v>307</v>
      </c>
      <c r="P406" s="158"/>
      <c r="Q406" s="185"/>
      <c r="R406" s="175"/>
      <c r="S406" s="174">
        <f t="shared" si="18"/>
        <v>0</v>
      </c>
      <c r="T406" s="157"/>
      <c r="U406" s="177">
        <v>-172.57</v>
      </c>
      <c r="V406" s="157"/>
      <c r="W406" s="157"/>
      <c r="X406" s="176">
        <f t="shared" si="17"/>
        <v>-172.57</v>
      </c>
      <c r="Y406" s="228"/>
      <c r="Z406" s="311"/>
      <c r="AA406" s="157"/>
      <c r="AB406" s="157"/>
      <c r="AC406" s="157"/>
    </row>
    <row r="407" spans="1:29" outlineLevel="1">
      <c r="A407" s="170" t="s">
        <v>302</v>
      </c>
      <c r="B407" s="157" t="s">
        <v>303</v>
      </c>
      <c r="C407" s="171">
        <v>42838</v>
      </c>
      <c r="D407" s="178"/>
      <c r="E407" s="157" t="s">
        <v>625</v>
      </c>
      <c r="F407" s="223" t="s">
        <v>305</v>
      </c>
      <c r="G407" s="223"/>
      <c r="H407" s="224" t="s">
        <v>306</v>
      </c>
      <c r="I407" s="157" t="s">
        <v>1009</v>
      </c>
      <c r="J407" s="157" t="s">
        <v>1009</v>
      </c>
      <c r="K407" s="157" t="s">
        <v>1009</v>
      </c>
      <c r="L407" s="223" t="s">
        <v>296</v>
      </c>
      <c r="M407" s="173"/>
      <c r="N407" s="173"/>
      <c r="O407" s="157" t="s">
        <v>271</v>
      </c>
      <c r="P407" s="158">
        <v>1018.79</v>
      </c>
      <c r="Q407" s="185"/>
      <c r="R407" s="175"/>
      <c r="S407" s="174">
        <f t="shared" si="18"/>
        <v>1018.79</v>
      </c>
      <c r="T407" s="157"/>
      <c r="U407" s="177"/>
      <c r="V407" s="157"/>
      <c r="W407" s="157"/>
      <c r="X407" s="176">
        <f t="shared" si="17"/>
        <v>0</v>
      </c>
      <c r="Y407" s="228"/>
      <c r="Z407" s="311"/>
      <c r="AA407" s="157"/>
      <c r="AB407" s="157"/>
      <c r="AC407" s="157"/>
    </row>
    <row r="408" spans="1:29" outlineLevel="1">
      <c r="A408" s="170" t="s">
        <v>302</v>
      </c>
      <c r="B408" s="157" t="s">
        <v>303</v>
      </c>
      <c r="C408" s="171">
        <v>42839</v>
      </c>
      <c r="D408" s="178"/>
      <c r="E408" s="157" t="s">
        <v>626</v>
      </c>
      <c r="F408" s="223" t="s">
        <v>305</v>
      </c>
      <c r="G408" s="223"/>
      <c r="H408" s="224" t="s">
        <v>306</v>
      </c>
      <c r="I408" s="157"/>
      <c r="J408" s="172"/>
      <c r="K408" s="157"/>
      <c r="L408" s="223" t="s">
        <v>296</v>
      </c>
      <c r="M408" s="173"/>
      <c r="N408" s="173"/>
      <c r="O408" s="157" t="s">
        <v>307</v>
      </c>
      <c r="P408" s="158"/>
      <c r="Q408" s="185"/>
      <c r="R408" s="175"/>
      <c r="S408" s="174">
        <f t="shared" si="18"/>
        <v>0</v>
      </c>
      <c r="T408" s="157"/>
      <c r="U408" s="177">
        <v>-72.180000000000007</v>
      </c>
      <c r="V408" s="157"/>
      <c r="W408" s="157"/>
      <c r="X408" s="176">
        <f t="shared" si="17"/>
        <v>-72.180000000000007</v>
      </c>
      <c r="Y408" s="228"/>
      <c r="Z408" s="311"/>
      <c r="AA408" s="157"/>
      <c r="AB408" s="157"/>
      <c r="AC408" s="157"/>
    </row>
    <row r="409" spans="1:29" outlineLevel="1">
      <c r="A409" s="170" t="s">
        <v>302</v>
      </c>
      <c r="B409" s="157" t="s">
        <v>303</v>
      </c>
      <c r="C409" s="171">
        <v>42839</v>
      </c>
      <c r="D409" s="178"/>
      <c r="E409" s="157" t="s">
        <v>627</v>
      </c>
      <c r="F409" s="223" t="s">
        <v>305</v>
      </c>
      <c r="G409" s="223"/>
      <c r="H409" s="224" t="s">
        <v>306</v>
      </c>
      <c r="I409" s="157"/>
      <c r="J409" s="172"/>
      <c r="K409" s="157"/>
      <c r="L409" s="223" t="s">
        <v>296</v>
      </c>
      <c r="M409" s="173"/>
      <c r="N409" s="173"/>
      <c r="O409" s="157" t="s">
        <v>307</v>
      </c>
      <c r="P409" s="158"/>
      <c r="Q409" s="185"/>
      <c r="R409" s="175"/>
      <c r="S409" s="174">
        <f t="shared" si="18"/>
        <v>0</v>
      </c>
      <c r="T409" s="157"/>
      <c r="U409" s="177">
        <v>-7.96</v>
      </c>
      <c r="V409" s="157"/>
      <c r="W409" s="157"/>
      <c r="X409" s="176">
        <f t="shared" si="17"/>
        <v>-7.96</v>
      </c>
      <c r="Y409" s="228"/>
      <c r="Z409" s="311"/>
      <c r="AA409" s="157"/>
      <c r="AB409" s="157"/>
      <c r="AC409" s="157"/>
    </row>
    <row r="410" spans="1:29" outlineLevel="1">
      <c r="A410" s="170" t="s">
        <v>302</v>
      </c>
      <c r="B410" s="157" t="s">
        <v>303</v>
      </c>
      <c r="C410" s="171">
        <v>42839</v>
      </c>
      <c r="D410" s="178"/>
      <c r="E410" s="157" t="s">
        <v>628</v>
      </c>
      <c r="F410" s="223" t="s">
        <v>305</v>
      </c>
      <c r="G410" s="223"/>
      <c r="H410" s="224" t="s">
        <v>306</v>
      </c>
      <c r="I410" s="157"/>
      <c r="J410" s="172"/>
      <c r="K410" s="157"/>
      <c r="L410" s="223" t="s">
        <v>296</v>
      </c>
      <c r="M410" s="173"/>
      <c r="N410" s="173"/>
      <c r="O410" s="157" t="s">
        <v>307</v>
      </c>
      <c r="P410" s="158"/>
      <c r="Q410" s="185"/>
      <c r="R410" s="175"/>
      <c r="S410" s="174">
        <f t="shared" si="18"/>
        <v>0</v>
      </c>
      <c r="T410" s="157"/>
      <c r="U410" s="177">
        <v>-7.98</v>
      </c>
      <c r="V410" s="157"/>
      <c r="W410" s="157"/>
      <c r="X410" s="176">
        <f t="shared" si="17"/>
        <v>-7.98</v>
      </c>
      <c r="Y410" s="228"/>
      <c r="Z410" s="311"/>
      <c r="AA410" s="157"/>
      <c r="AB410" s="157"/>
      <c r="AC410" s="157"/>
    </row>
    <row r="411" spans="1:29" outlineLevel="1">
      <c r="A411" s="170" t="s">
        <v>302</v>
      </c>
      <c r="B411" s="157" t="s">
        <v>303</v>
      </c>
      <c r="C411" s="171">
        <v>42839</v>
      </c>
      <c r="D411" s="178"/>
      <c r="E411" s="157" t="s">
        <v>629</v>
      </c>
      <c r="F411" s="223" t="s">
        <v>305</v>
      </c>
      <c r="G411" s="223"/>
      <c r="H411" s="224" t="s">
        <v>306</v>
      </c>
      <c r="I411" s="157" t="s">
        <v>1009</v>
      </c>
      <c r="J411" s="157" t="s">
        <v>1009</v>
      </c>
      <c r="K411" s="157" t="s">
        <v>1009</v>
      </c>
      <c r="L411" s="223" t="s">
        <v>296</v>
      </c>
      <c r="M411" s="173"/>
      <c r="N411" s="173"/>
      <c r="O411" s="157" t="s">
        <v>271</v>
      </c>
      <c r="P411" s="158">
        <v>1564</v>
      </c>
      <c r="Q411" s="185"/>
      <c r="R411" s="175"/>
      <c r="S411" s="174">
        <f t="shared" si="18"/>
        <v>1564</v>
      </c>
      <c r="T411" s="157"/>
      <c r="U411" s="177"/>
      <c r="V411" s="157"/>
      <c r="W411" s="157"/>
      <c r="X411" s="176">
        <f t="shared" ref="X411:X473" si="19">U411</f>
        <v>0</v>
      </c>
      <c r="Y411" s="228"/>
      <c r="Z411" s="311"/>
      <c r="AA411" s="157"/>
      <c r="AB411" s="157"/>
      <c r="AC411" s="157"/>
    </row>
    <row r="412" spans="1:29" outlineLevel="1">
      <c r="A412" s="170" t="s">
        <v>302</v>
      </c>
      <c r="B412" s="157" t="s">
        <v>303</v>
      </c>
      <c r="C412" s="171">
        <v>42842</v>
      </c>
      <c r="D412" s="178"/>
      <c r="E412" s="157" t="s">
        <v>304</v>
      </c>
      <c r="F412" s="223" t="s">
        <v>305</v>
      </c>
      <c r="G412" s="223"/>
      <c r="H412" s="224" t="s">
        <v>306</v>
      </c>
      <c r="I412" s="157"/>
      <c r="J412" s="172"/>
      <c r="K412" s="157"/>
      <c r="L412" s="223" t="s">
        <v>296</v>
      </c>
      <c r="M412" s="173"/>
      <c r="N412" s="173"/>
      <c r="O412" s="157" t="s">
        <v>308</v>
      </c>
      <c r="P412" s="158"/>
      <c r="Q412" s="185"/>
      <c r="R412" s="175"/>
      <c r="S412" s="174">
        <f t="shared" si="18"/>
        <v>0</v>
      </c>
      <c r="T412" s="157"/>
      <c r="U412" s="177">
        <v>-381.35</v>
      </c>
      <c r="V412" s="157"/>
      <c r="W412" s="157"/>
      <c r="X412" s="176">
        <f t="shared" si="19"/>
        <v>-381.35</v>
      </c>
      <c r="Y412" s="228"/>
      <c r="Z412" s="311"/>
      <c r="AA412" s="157"/>
      <c r="AB412" s="157"/>
      <c r="AC412" s="157"/>
    </row>
    <row r="413" spans="1:29" outlineLevel="1">
      <c r="A413" s="170" t="s">
        <v>302</v>
      </c>
      <c r="B413" s="157" t="s">
        <v>303</v>
      </c>
      <c r="C413" s="171">
        <v>42842</v>
      </c>
      <c r="D413" s="178"/>
      <c r="E413" s="157" t="s">
        <v>304</v>
      </c>
      <c r="F413" s="223" t="s">
        <v>305</v>
      </c>
      <c r="G413" s="223"/>
      <c r="H413" s="224" t="s">
        <v>306</v>
      </c>
      <c r="I413" s="157"/>
      <c r="J413" s="172"/>
      <c r="K413" s="157"/>
      <c r="L413" s="223" t="s">
        <v>296</v>
      </c>
      <c r="M413" s="173"/>
      <c r="N413" s="173"/>
      <c r="O413" s="157" t="s">
        <v>308</v>
      </c>
      <c r="P413" s="158"/>
      <c r="Q413" s="185"/>
      <c r="R413" s="175"/>
      <c r="S413" s="174">
        <f t="shared" si="18"/>
        <v>0</v>
      </c>
      <c r="T413" s="157"/>
      <c r="U413" s="177">
        <v>-445.15</v>
      </c>
      <c r="V413" s="157"/>
      <c r="W413" s="157"/>
      <c r="X413" s="176">
        <f t="shared" si="19"/>
        <v>-445.15</v>
      </c>
      <c r="Y413" s="228"/>
      <c r="Z413" s="311"/>
      <c r="AA413" s="157"/>
      <c r="AB413" s="157"/>
      <c r="AC413" s="157"/>
    </row>
    <row r="414" spans="1:29" outlineLevel="1">
      <c r="A414" s="170" t="s">
        <v>302</v>
      </c>
      <c r="B414" s="157" t="s">
        <v>303</v>
      </c>
      <c r="C414" s="171">
        <v>42842</v>
      </c>
      <c r="D414" s="178"/>
      <c r="E414" s="157" t="s">
        <v>304</v>
      </c>
      <c r="F414" s="223" t="s">
        <v>305</v>
      </c>
      <c r="G414" s="223"/>
      <c r="H414" s="224" t="s">
        <v>306</v>
      </c>
      <c r="I414" s="157"/>
      <c r="J414" s="172"/>
      <c r="K414" s="157"/>
      <c r="L414" s="223" t="s">
        <v>296</v>
      </c>
      <c r="M414" s="173"/>
      <c r="N414" s="173"/>
      <c r="O414" s="157" t="s">
        <v>308</v>
      </c>
      <c r="P414" s="158"/>
      <c r="Q414" s="185"/>
      <c r="R414" s="175"/>
      <c r="S414" s="174">
        <f t="shared" si="18"/>
        <v>0</v>
      </c>
      <c r="T414" s="157"/>
      <c r="U414" s="177">
        <v>-505</v>
      </c>
      <c r="V414" s="157"/>
      <c r="W414" s="157"/>
      <c r="X414" s="176">
        <f t="shared" si="19"/>
        <v>-505</v>
      </c>
      <c r="Y414" s="228"/>
      <c r="Z414" s="311"/>
      <c r="AA414" s="157"/>
      <c r="AB414" s="157"/>
      <c r="AC414" s="157"/>
    </row>
    <row r="415" spans="1:29" outlineLevel="1">
      <c r="A415" s="170" t="s">
        <v>302</v>
      </c>
      <c r="B415" s="157" t="s">
        <v>303</v>
      </c>
      <c r="C415" s="171">
        <v>42842</v>
      </c>
      <c r="D415" s="178"/>
      <c r="E415" s="157" t="s">
        <v>630</v>
      </c>
      <c r="F415" s="223" t="s">
        <v>305</v>
      </c>
      <c r="G415" s="223"/>
      <c r="H415" s="224" t="s">
        <v>306</v>
      </c>
      <c r="I415" s="157"/>
      <c r="J415" s="172"/>
      <c r="K415" s="157"/>
      <c r="L415" s="223" t="s">
        <v>296</v>
      </c>
      <c r="M415" s="173"/>
      <c r="N415" s="173"/>
      <c r="O415" s="157" t="s">
        <v>307</v>
      </c>
      <c r="P415" s="158"/>
      <c r="Q415" s="185"/>
      <c r="R415" s="175"/>
      <c r="S415" s="174">
        <f t="shared" si="18"/>
        <v>0</v>
      </c>
      <c r="T415" s="157"/>
      <c r="U415" s="177">
        <v>-3.57</v>
      </c>
      <c r="V415" s="157"/>
      <c r="W415" s="157"/>
      <c r="X415" s="176">
        <f t="shared" si="19"/>
        <v>-3.57</v>
      </c>
      <c r="Y415" s="228"/>
      <c r="Z415" s="311"/>
      <c r="AA415" s="157"/>
      <c r="AB415" s="157"/>
      <c r="AC415" s="157"/>
    </row>
    <row r="416" spans="1:29" outlineLevel="1">
      <c r="A416" s="170" t="s">
        <v>302</v>
      </c>
      <c r="B416" s="157" t="s">
        <v>303</v>
      </c>
      <c r="C416" s="171">
        <v>42842</v>
      </c>
      <c r="D416" s="178"/>
      <c r="E416" s="157" t="s">
        <v>631</v>
      </c>
      <c r="F416" s="223" t="s">
        <v>305</v>
      </c>
      <c r="G416" s="223"/>
      <c r="H416" s="224" t="s">
        <v>306</v>
      </c>
      <c r="I416" s="157"/>
      <c r="J416" s="172"/>
      <c r="K416" s="157"/>
      <c r="L416" s="223" t="s">
        <v>296</v>
      </c>
      <c r="M416" s="173"/>
      <c r="N416" s="173"/>
      <c r="O416" s="157" t="s">
        <v>307</v>
      </c>
      <c r="P416" s="158"/>
      <c r="Q416" s="185"/>
      <c r="R416" s="175"/>
      <c r="S416" s="174">
        <f t="shared" si="18"/>
        <v>0</v>
      </c>
      <c r="T416" s="157"/>
      <c r="U416" s="177">
        <v>-99</v>
      </c>
      <c r="V416" s="157"/>
      <c r="W416" s="157"/>
      <c r="X416" s="176">
        <f t="shared" si="19"/>
        <v>-99</v>
      </c>
      <c r="Y416" s="228"/>
      <c r="Z416" s="311"/>
      <c r="AA416" s="157"/>
      <c r="AB416" s="157"/>
      <c r="AC416" s="157"/>
    </row>
    <row r="417" spans="1:29" outlineLevel="1">
      <c r="A417" s="170" t="s">
        <v>302</v>
      </c>
      <c r="B417" s="157" t="s">
        <v>303</v>
      </c>
      <c r="C417" s="171">
        <v>42842</v>
      </c>
      <c r="D417" s="178"/>
      <c r="E417" s="157" t="s">
        <v>632</v>
      </c>
      <c r="F417" s="223" t="s">
        <v>305</v>
      </c>
      <c r="G417" s="223"/>
      <c r="H417" s="224" t="s">
        <v>306</v>
      </c>
      <c r="I417" s="157"/>
      <c r="J417" s="172"/>
      <c r="K417" s="157"/>
      <c r="L417" s="223" t="s">
        <v>296</v>
      </c>
      <c r="M417" s="173"/>
      <c r="N417" s="173"/>
      <c r="O417" s="157" t="s">
        <v>307</v>
      </c>
      <c r="P417" s="158"/>
      <c r="Q417" s="185"/>
      <c r="R417" s="175"/>
      <c r="S417" s="174">
        <f t="shared" si="18"/>
        <v>0</v>
      </c>
      <c r="T417" s="157"/>
      <c r="U417" s="177">
        <v>-10.210000000000001</v>
      </c>
      <c r="V417" s="157"/>
      <c r="W417" s="157"/>
      <c r="X417" s="176">
        <f t="shared" si="19"/>
        <v>-10.210000000000001</v>
      </c>
      <c r="Y417" s="228"/>
      <c r="Z417" s="311"/>
      <c r="AA417" s="157"/>
      <c r="AB417" s="157"/>
      <c r="AC417" s="157"/>
    </row>
    <row r="418" spans="1:29" outlineLevel="1">
      <c r="A418" s="170" t="s">
        <v>302</v>
      </c>
      <c r="B418" s="157" t="s">
        <v>303</v>
      </c>
      <c r="C418" s="171">
        <v>42842</v>
      </c>
      <c r="D418" s="178"/>
      <c r="E418" s="157" t="s">
        <v>633</v>
      </c>
      <c r="F418" s="223" t="s">
        <v>305</v>
      </c>
      <c r="G418" s="223"/>
      <c r="H418" s="224" t="s">
        <v>306</v>
      </c>
      <c r="I418" s="157"/>
      <c r="J418" s="172"/>
      <c r="K418" s="157"/>
      <c r="L418" s="223" t="s">
        <v>296</v>
      </c>
      <c r="M418" s="173"/>
      <c r="N418" s="173"/>
      <c r="O418" s="157" t="s">
        <v>307</v>
      </c>
      <c r="P418" s="158"/>
      <c r="Q418" s="185"/>
      <c r="R418" s="175"/>
      <c r="S418" s="174">
        <f t="shared" si="18"/>
        <v>0</v>
      </c>
      <c r="T418" s="157"/>
      <c r="U418" s="177">
        <v>-375.44</v>
      </c>
      <c r="V418" s="157"/>
      <c r="W418" s="157"/>
      <c r="X418" s="176">
        <f t="shared" si="19"/>
        <v>-375.44</v>
      </c>
      <c r="Y418" s="228"/>
      <c r="Z418" s="311"/>
      <c r="AA418" s="157"/>
      <c r="AB418" s="157"/>
      <c r="AC418" s="157"/>
    </row>
    <row r="419" spans="1:29" outlineLevel="1">
      <c r="A419" s="170" t="s">
        <v>302</v>
      </c>
      <c r="B419" s="157" t="s">
        <v>303</v>
      </c>
      <c r="C419" s="171">
        <v>42842</v>
      </c>
      <c r="D419" s="178"/>
      <c r="E419" s="157" t="s">
        <v>634</v>
      </c>
      <c r="F419" s="223" t="s">
        <v>305</v>
      </c>
      <c r="G419" s="223"/>
      <c r="H419" s="224" t="s">
        <v>306</v>
      </c>
      <c r="I419" s="157"/>
      <c r="J419" s="172"/>
      <c r="K419" s="157"/>
      <c r="L419" s="223" t="s">
        <v>296</v>
      </c>
      <c r="M419" s="173"/>
      <c r="N419" s="173"/>
      <c r="O419" s="157" t="s">
        <v>307</v>
      </c>
      <c r="P419" s="158"/>
      <c r="Q419" s="185"/>
      <c r="R419" s="175"/>
      <c r="S419" s="174">
        <f t="shared" si="18"/>
        <v>0</v>
      </c>
      <c r="T419" s="157"/>
      <c r="U419" s="177">
        <v>-124.42</v>
      </c>
      <c r="V419" s="157"/>
      <c r="W419" s="157"/>
      <c r="X419" s="176">
        <f t="shared" si="19"/>
        <v>-124.42</v>
      </c>
      <c r="Y419" s="228"/>
      <c r="Z419" s="311"/>
      <c r="AA419" s="157"/>
      <c r="AB419" s="157"/>
      <c r="AC419" s="157"/>
    </row>
    <row r="420" spans="1:29" outlineLevel="1">
      <c r="A420" s="170" t="s">
        <v>302</v>
      </c>
      <c r="B420" s="157" t="s">
        <v>303</v>
      </c>
      <c r="C420" s="171">
        <v>42842</v>
      </c>
      <c r="D420" s="178"/>
      <c r="E420" s="157" t="s">
        <v>635</v>
      </c>
      <c r="F420" s="223" t="s">
        <v>305</v>
      </c>
      <c r="G420" s="223"/>
      <c r="H420" s="224" t="s">
        <v>306</v>
      </c>
      <c r="I420" s="157"/>
      <c r="J420" s="172"/>
      <c r="K420" s="157"/>
      <c r="L420" s="223" t="s">
        <v>296</v>
      </c>
      <c r="M420" s="173"/>
      <c r="N420" s="173"/>
      <c r="O420" s="157" t="s">
        <v>307</v>
      </c>
      <c r="P420" s="158"/>
      <c r="Q420" s="185"/>
      <c r="R420" s="175"/>
      <c r="S420" s="174">
        <f t="shared" si="18"/>
        <v>0</v>
      </c>
      <c r="T420" s="157"/>
      <c r="U420" s="177">
        <v>-17.649999999999999</v>
      </c>
      <c r="V420" s="157"/>
      <c r="W420" s="157"/>
      <c r="X420" s="176">
        <f t="shared" si="19"/>
        <v>-17.649999999999999</v>
      </c>
      <c r="Y420" s="228"/>
      <c r="Z420" s="311"/>
      <c r="AA420" s="157"/>
      <c r="AB420" s="157"/>
      <c r="AC420" s="157"/>
    </row>
    <row r="421" spans="1:29" outlineLevel="1">
      <c r="A421" s="170" t="s">
        <v>302</v>
      </c>
      <c r="B421" s="157" t="s">
        <v>303</v>
      </c>
      <c r="C421" s="171">
        <v>42842</v>
      </c>
      <c r="D421" s="178"/>
      <c r="E421" s="157" t="s">
        <v>636</v>
      </c>
      <c r="F421" s="223" t="s">
        <v>305</v>
      </c>
      <c r="G421" s="223"/>
      <c r="H421" s="224" t="s">
        <v>306</v>
      </c>
      <c r="I421" s="157"/>
      <c r="J421" s="172"/>
      <c r="K421" s="157"/>
      <c r="L421" s="223" t="s">
        <v>296</v>
      </c>
      <c r="M421" s="173"/>
      <c r="N421" s="173"/>
      <c r="O421" s="157" t="s">
        <v>307</v>
      </c>
      <c r="P421" s="158"/>
      <c r="Q421" s="185"/>
      <c r="R421" s="175"/>
      <c r="S421" s="174">
        <f t="shared" si="18"/>
        <v>0</v>
      </c>
      <c r="T421" s="157"/>
      <c r="U421" s="177">
        <v>-32.82</v>
      </c>
      <c r="V421" s="157"/>
      <c r="W421" s="157"/>
      <c r="X421" s="176">
        <f t="shared" si="19"/>
        <v>-32.82</v>
      </c>
      <c r="Y421" s="228"/>
      <c r="Z421" s="311"/>
      <c r="AA421" s="157"/>
      <c r="AB421" s="157"/>
      <c r="AC421" s="157"/>
    </row>
    <row r="422" spans="1:29" outlineLevel="1">
      <c r="A422" s="170" t="s">
        <v>302</v>
      </c>
      <c r="B422" s="157" t="s">
        <v>303</v>
      </c>
      <c r="C422" s="171">
        <v>42842</v>
      </c>
      <c r="D422" s="178"/>
      <c r="E422" s="157" t="s">
        <v>637</v>
      </c>
      <c r="F422" s="223" t="s">
        <v>305</v>
      </c>
      <c r="G422" s="223"/>
      <c r="H422" s="224" t="s">
        <v>306</v>
      </c>
      <c r="I422" s="157" t="s">
        <v>1009</v>
      </c>
      <c r="J422" s="157" t="s">
        <v>1009</v>
      </c>
      <c r="K422" s="157" t="s">
        <v>1009</v>
      </c>
      <c r="L422" s="223" t="s">
        <v>296</v>
      </c>
      <c r="M422" s="173"/>
      <c r="N422" s="173"/>
      <c r="O422" s="157" t="s">
        <v>271</v>
      </c>
      <c r="P422" s="158">
        <v>2051.8200000000002</v>
      </c>
      <c r="Q422" s="185"/>
      <c r="R422" s="175"/>
      <c r="S422" s="174">
        <f t="shared" si="18"/>
        <v>2051.8200000000002</v>
      </c>
      <c r="T422" s="157"/>
      <c r="U422" s="177"/>
      <c r="V422" s="157"/>
      <c r="W422" s="157"/>
      <c r="X422" s="176">
        <f t="shared" si="19"/>
        <v>0</v>
      </c>
      <c r="Y422" s="228"/>
      <c r="Z422" s="311"/>
      <c r="AA422" s="157"/>
      <c r="AB422" s="157"/>
      <c r="AC422" s="157"/>
    </row>
    <row r="423" spans="1:29" outlineLevel="1">
      <c r="A423" s="170" t="s">
        <v>302</v>
      </c>
      <c r="B423" s="157" t="s">
        <v>303</v>
      </c>
      <c r="C423" s="171">
        <v>42842</v>
      </c>
      <c r="D423" s="178"/>
      <c r="E423" s="157" t="s">
        <v>638</v>
      </c>
      <c r="F423" s="223" t="s">
        <v>305</v>
      </c>
      <c r="G423" s="223"/>
      <c r="H423" s="224" t="s">
        <v>306</v>
      </c>
      <c r="I423" s="157" t="s">
        <v>1009</v>
      </c>
      <c r="J423" s="157" t="s">
        <v>1009</v>
      </c>
      <c r="K423" s="157" t="s">
        <v>1009</v>
      </c>
      <c r="L423" s="223" t="s">
        <v>296</v>
      </c>
      <c r="M423" s="173"/>
      <c r="N423" s="173"/>
      <c r="O423" s="157" t="s">
        <v>271</v>
      </c>
      <c r="P423" s="158">
        <v>1830.45</v>
      </c>
      <c r="Q423" s="185"/>
      <c r="R423" s="175"/>
      <c r="S423" s="174">
        <f t="shared" si="18"/>
        <v>1830.45</v>
      </c>
      <c r="T423" s="157"/>
      <c r="U423" s="177"/>
      <c r="V423" s="157"/>
      <c r="W423" s="157"/>
      <c r="X423" s="176">
        <f t="shared" si="19"/>
        <v>0</v>
      </c>
      <c r="Y423" s="228"/>
      <c r="Z423" s="311"/>
      <c r="AA423" s="157"/>
      <c r="AB423" s="157"/>
      <c r="AC423" s="157"/>
    </row>
    <row r="424" spans="1:29" outlineLevel="1">
      <c r="A424" s="170" t="s">
        <v>302</v>
      </c>
      <c r="B424" s="157" t="s">
        <v>303</v>
      </c>
      <c r="C424" s="171">
        <v>42842</v>
      </c>
      <c r="D424" s="178"/>
      <c r="E424" s="157" t="s">
        <v>639</v>
      </c>
      <c r="F424" s="223" t="s">
        <v>305</v>
      </c>
      <c r="G424" s="223"/>
      <c r="H424" s="224" t="s">
        <v>306</v>
      </c>
      <c r="I424" s="157" t="s">
        <v>1009</v>
      </c>
      <c r="J424" s="157" t="s">
        <v>1009</v>
      </c>
      <c r="K424" s="157" t="s">
        <v>1009</v>
      </c>
      <c r="L424" s="223" t="s">
        <v>296</v>
      </c>
      <c r="M424" s="173"/>
      <c r="N424" s="173"/>
      <c r="O424" s="157" t="s">
        <v>271</v>
      </c>
      <c r="P424" s="158">
        <v>1047.04</v>
      </c>
      <c r="Q424" s="185"/>
      <c r="R424" s="175"/>
      <c r="S424" s="174">
        <f t="shared" si="18"/>
        <v>1047.04</v>
      </c>
      <c r="T424" s="157"/>
      <c r="U424" s="177"/>
      <c r="V424" s="157"/>
      <c r="W424" s="157"/>
      <c r="X424" s="176">
        <f t="shared" si="19"/>
        <v>0</v>
      </c>
      <c r="Y424" s="228"/>
      <c r="Z424" s="311"/>
      <c r="AA424" s="157"/>
      <c r="AB424" s="157"/>
      <c r="AC424" s="157"/>
    </row>
    <row r="425" spans="1:29" outlineLevel="1">
      <c r="A425" s="170" t="s">
        <v>302</v>
      </c>
      <c r="B425" s="157" t="s">
        <v>303</v>
      </c>
      <c r="C425" s="171">
        <v>42843</v>
      </c>
      <c r="D425" s="178"/>
      <c r="E425" s="157" t="s">
        <v>640</v>
      </c>
      <c r="F425" s="223" t="s">
        <v>305</v>
      </c>
      <c r="G425" s="223"/>
      <c r="H425" s="224" t="s">
        <v>306</v>
      </c>
      <c r="I425" s="157"/>
      <c r="J425" s="172"/>
      <c r="K425" s="157"/>
      <c r="L425" s="223" t="s">
        <v>296</v>
      </c>
      <c r="M425" s="173"/>
      <c r="N425" s="173"/>
      <c r="O425" s="157" t="s">
        <v>307</v>
      </c>
      <c r="P425" s="158"/>
      <c r="Q425" s="185"/>
      <c r="R425" s="175"/>
      <c r="S425" s="174">
        <f t="shared" si="18"/>
        <v>0</v>
      </c>
      <c r="T425" s="157"/>
      <c r="U425" s="177">
        <v>-66.33</v>
      </c>
      <c r="V425" s="157"/>
      <c r="W425" s="157"/>
      <c r="X425" s="176">
        <f t="shared" si="19"/>
        <v>-66.33</v>
      </c>
      <c r="Y425" s="228"/>
      <c r="Z425" s="311"/>
      <c r="AA425" s="157"/>
      <c r="AB425" s="157"/>
      <c r="AC425" s="157"/>
    </row>
    <row r="426" spans="1:29" outlineLevel="1">
      <c r="A426" s="170" t="s">
        <v>302</v>
      </c>
      <c r="B426" s="157" t="s">
        <v>303</v>
      </c>
      <c r="C426" s="171">
        <v>42843</v>
      </c>
      <c r="D426" s="178"/>
      <c r="E426" s="157" t="s">
        <v>641</v>
      </c>
      <c r="F426" s="223" t="s">
        <v>305</v>
      </c>
      <c r="G426" s="223"/>
      <c r="H426" s="224" t="s">
        <v>306</v>
      </c>
      <c r="I426" s="157"/>
      <c r="J426" s="172"/>
      <c r="K426" s="157"/>
      <c r="L426" s="223" t="s">
        <v>296</v>
      </c>
      <c r="M426" s="173"/>
      <c r="N426" s="173"/>
      <c r="O426" s="157" t="s">
        <v>307</v>
      </c>
      <c r="P426" s="158"/>
      <c r="Q426" s="185"/>
      <c r="R426" s="175"/>
      <c r="S426" s="174">
        <f t="shared" si="18"/>
        <v>0</v>
      </c>
      <c r="T426" s="157"/>
      <c r="U426" s="177">
        <v>-456.86</v>
      </c>
      <c r="V426" s="157"/>
      <c r="W426" s="157"/>
      <c r="X426" s="176">
        <f t="shared" si="19"/>
        <v>-456.86</v>
      </c>
      <c r="Y426" s="228"/>
      <c r="Z426" s="311"/>
      <c r="AA426" s="157"/>
      <c r="AB426" s="157"/>
      <c r="AC426" s="157"/>
    </row>
    <row r="427" spans="1:29" outlineLevel="1">
      <c r="A427" s="170" t="s">
        <v>302</v>
      </c>
      <c r="B427" s="157" t="s">
        <v>303</v>
      </c>
      <c r="C427" s="171">
        <v>42843</v>
      </c>
      <c r="D427" s="178"/>
      <c r="E427" s="157" t="s">
        <v>642</v>
      </c>
      <c r="F427" s="223" t="s">
        <v>305</v>
      </c>
      <c r="G427" s="223"/>
      <c r="H427" s="224" t="s">
        <v>306</v>
      </c>
      <c r="I427" s="157"/>
      <c r="J427" s="172"/>
      <c r="K427" s="157"/>
      <c r="L427" s="223" t="s">
        <v>296</v>
      </c>
      <c r="M427" s="173"/>
      <c r="N427" s="173"/>
      <c r="O427" s="157" t="s">
        <v>307</v>
      </c>
      <c r="P427" s="158"/>
      <c r="Q427" s="185"/>
      <c r="R427" s="175"/>
      <c r="S427" s="174">
        <f t="shared" si="18"/>
        <v>0</v>
      </c>
      <c r="T427" s="157"/>
      <c r="U427" s="177">
        <v>-35.950000000000003</v>
      </c>
      <c r="V427" s="157"/>
      <c r="W427" s="157"/>
      <c r="X427" s="176">
        <f t="shared" si="19"/>
        <v>-35.950000000000003</v>
      </c>
      <c r="Y427" s="228"/>
      <c r="Z427" s="311"/>
      <c r="AA427" s="157"/>
      <c r="AB427" s="157"/>
      <c r="AC427" s="157"/>
    </row>
    <row r="428" spans="1:29" outlineLevel="1">
      <c r="A428" s="170" t="s">
        <v>302</v>
      </c>
      <c r="B428" s="157" t="s">
        <v>303</v>
      </c>
      <c r="C428" s="171">
        <v>42843</v>
      </c>
      <c r="D428" s="178"/>
      <c r="E428" s="157" t="s">
        <v>643</v>
      </c>
      <c r="F428" s="223" t="s">
        <v>305</v>
      </c>
      <c r="G428" s="223"/>
      <c r="H428" s="224" t="s">
        <v>306</v>
      </c>
      <c r="I428" s="157"/>
      <c r="J428" s="172"/>
      <c r="K428" s="157"/>
      <c r="L428" s="223" t="s">
        <v>296</v>
      </c>
      <c r="M428" s="173"/>
      <c r="N428" s="173"/>
      <c r="O428" s="157" t="s">
        <v>307</v>
      </c>
      <c r="P428" s="158"/>
      <c r="Q428" s="185"/>
      <c r="R428" s="175"/>
      <c r="S428" s="174">
        <f t="shared" si="18"/>
        <v>0</v>
      </c>
      <c r="T428" s="157"/>
      <c r="U428" s="177">
        <v>-83.51</v>
      </c>
      <c r="V428" s="157"/>
      <c r="W428" s="157"/>
      <c r="X428" s="176">
        <f t="shared" si="19"/>
        <v>-83.51</v>
      </c>
      <c r="Y428" s="228"/>
      <c r="Z428" s="311"/>
      <c r="AA428" s="157"/>
      <c r="AB428" s="157"/>
      <c r="AC428" s="157"/>
    </row>
    <row r="429" spans="1:29" outlineLevel="1">
      <c r="A429" s="170" t="s">
        <v>302</v>
      </c>
      <c r="B429" s="157" t="s">
        <v>303</v>
      </c>
      <c r="C429" s="171">
        <v>42843</v>
      </c>
      <c r="D429" s="178"/>
      <c r="E429" s="157" t="s">
        <v>644</v>
      </c>
      <c r="F429" s="223" t="s">
        <v>305</v>
      </c>
      <c r="G429" s="223"/>
      <c r="H429" s="224" t="s">
        <v>306</v>
      </c>
      <c r="I429" s="157"/>
      <c r="J429" s="172"/>
      <c r="K429" s="157"/>
      <c r="L429" s="223" t="s">
        <v>296</v>
      </c>
      <c r="M429" s="173"/>
      <c r="N429" s="173"/>
      <c r="O429" s="157" t="s">
        <v>307</v>
      </c>
      <c r="P429" s="158"/>
      <c r="Q429" s="185"/>
      <c r="R429" s="175"/>
      <c r="S429" s="174">
        <f t="shared" si="18"/>
        <v>0</v>
      </c>
      <c r="T429" s="157"/>
      <c r="U429" s="177">
        <v>-55.13</v>
      </c>
      <c r="V429" s="157"/>
      <c r="W429" s="157"/>
      <c r="X429" s="176">
        <f t="shared" si="19"/>
        <v>-55.13</v>
      </c>
      <c r="Y429" s="228"/>
      <c r="Z429" s="311"/>
      <c r="AA429" s="157"/>
      <c r="AB429" s="157"/>
      <c r="AC429" s="157"/>
    </row>
    <row r="430" spans="1:29" outlineLevel="1">
      <c r="A430" s="170" t="s">
        <v>302</v>
      </c>
      <c r="B430" s="157" t="s">
        <v>303</v>
      </c>
      <c r="C430" s="171">
        <v>42843</v>
      </c>
      <c r="D430" s="178"/>
      <c r="E430" s="157" t="s">
        <v>645</v>
      </c>
      <c r="F430" s="223" t="s">
        <v>305</v>
      </c>
      <c r="G430" s="223"/>
      <c r="H430" s="224" t="s">
        <v>306</v>
      </c>
      <c r="I430" s="157" t="s">
        <v>1009</v>
      </c>
      <c r="J430" s="157" t="s">
        <v>1009</v>
      </c>
      <c r="K430" s="157" t="s">
        <v>1009</v>
      </c>
      <c r="L430" s="223" t="s">
        <v>296</v>
      </c>
      <c r="M430" s="173"/>
      <c r="N430" s="173"/>
      <c r="O430" s="157" t="s">
        <v>271</v>
      </c>
      <c r="P430" s="158">
        <v>622.61</v>
      </c>
      <c r="Q430" s="185"/>
      <c r="R430" s="175"/>
      <c r="S430" s="174">
        <f t="shared" si="18"/>
        <v>622.61</v>
      </c>
      <c r="T430" s="157"/>
      <c r="U430" s="177"/>
      <c r="V430" s="157"/>
      <c r="W430" s="157"/>
      <c r="X430" s="176">
        <f t="shared" si="19"/>
        <v>0</v>
      </c>
      <c r="Y430" s="228"/>
      <c r="Z430" s="311"/>
      <c r="AA430" s="157"/>
      <c r="AB430" s="157"/>
      <c r="AC430" s="157"/>
    </row>
    <row r="431" spans="1:29" outlineLevel="1">
      <c r="A431" s="170" t="s">
        <v>302</v>
      </c>
      <c r="B431" s="157" t="s">
        <v>303</v>
      </c>
      <c r="C431" s="171">
        <v>42844</v>
      </c>
      <c r="D431" s="178"/>
      <c r="E431" s="157" t="s">
        <v>646</v>
      </c>
      <c r="F431" s="223" t="s">
        <v>305</v>
      </c>
      <c r="G431" s="223"/>
      <c r="H431" s="224" t="s">
        <v>306</v>
      </c>
      <c r="I431" s="157"/>
      <c r="J431" s="172"/>
      <c r="K431" s="157"/>
      <c r="L431" s="223" t="s">
        <v>296</v>
      </c>
      <c r="M431" s="173"/>
      <c r="N431" s="173"/>
      <c r="O431" s="157" t="s">
        <v>307</v>
      </c>
      <c r="P431" s="158"/>
      <c r="Q431" s="185"/>
      <c r="R431" s="175"/>
      <c r="S431" s="174">
        <f t="shared" si="18"/>
        <v>0</v>
      </c>
      <c r="T431" s="157"/>
      <c r="U431" s="177">
        <v>-14.43</v>
      </c>
      <c r="V431" s="157"/>
      <c r="W431" s="157"/>
      <c r="X431" s="176">
        <f t="shared" si="19"/>
        <v>-14.43</v>
      </c>
      <c r="Y431" s="228"/>
      <c r="Z431" s="311"/>
      <c r="AA431" s="157"/>
      <c r="AB431" s="157"/>
      <c r="AC431" s="157"/>
    </row>
    <row r="432" spans="1:29" outlineLevel="1">
      <c r="A432" s="170" t="s">
        <v>302</v>
      </c>
      <c r="B432" s="157" t="s">
        <v>303</v>
      </c>
      <c r="C432" s="171">
        <v>42844</v>
      </c>
      <c r="D432" s="178"/>
      <c r="E432" s="157" t="s">
        <v>647</v>
      </c>
      <c r="F432" s="223" t="s">
        <v>305</v>
      </c>
      <c r="G432" s="223"/>
      <c r="H432" s="224" t="s">
        <v>306</v>
      </c>
      <c r="I432" s="157"/>
      <c r="J432" s="172"/>
      <c r="K432" s="157"/>
      <c r="L432" s="223" t="s">
        <v>296</v>
      </c>
      <c r="M432" s="173"/>
      <c r="N432" s="173"/>
      <c r="O432" s="157" t="s">
        <v>307</v>
      </c>
      <c r="P432" s="158"/>
      <c r="Q432" s="185"/>
      <c r="R432" s="175"/>
      <c r="S432" s="174">
        <f t="shared" si="18"/>
        <v>0</v>
      </c>
      <c r="T432" s="157"/>
      <c r="U432" s="177">
        <v>-420.87</v>
      </c>
      <c r="V432" s="157"/>
      <c r="W432" s="157"/>
      <c r="X432" s="176">
        <f t="shared" si="19"/>
        <v>-420.87</v>
      </c>
      <c r="Y432" s="228"/>
      <c r="Z432" s="311"/>
      <c r="AA432" s="157"/>
      <c r="AB432" s="157"/>
      <c r="AC432" s="157"/>
    </row>
    <row r="433" spans="1:29" outlineLevel="1">
      <c r="A433" s="170" t="s">
        <v>302</v>
      </c>
      <c r="B433" s="157" t="s">
        <v>303</v>
      </c>
      <c r="C433" s="171">
        <v>42844</v>
      </c>
      <c r="D433" s="178"/>
      <c r="E433" s="157" t="s">
        <v>648</v>
      </c>
      <c r="F433" s="223" t="s">
        <v>305</v>
      </c>
      <c r="G433" s="223"/>
      <c r="H433" s="224" t="s">
        <v>306</v>
      </c>
      <c r="I433" s="157"/>
      <c r="J433" s="172"/>
      <c r="K433" s="157"/>
      <c r="L433" s="223" t="s">
        <v>296</v>
      </c>
      <c r="M433" s="173"/>
      <c r="N433" s="173"/>
      <c r="O433" s="157" t="s">
        <v>307</v>
      </c>
      <c r="P433" s="158"/>
      <c r="Q433" s="185"/>
      <c r="R433" s="175"/>
      <c r="S433" s="174">
        <f t="shared" si="18"/>
        <v>0</v>
      </c>
      <c r="T433" s="157"/>
      <c r="U433" s="177">
        <v>-10.85</v>
      </c>
      <c r="V433" s="157"/>
      <c r="W433" s="157"/>
      <c r="X433" s="176">
        <f t="shared" si="19"/>
        <v>-10.85</v>
      </c>
      <c r="Y433" s="228"/>
      <c r="Z433" s="311"/>
      <c r="AA433" s="157"/>
      <c r="AB433" s="157"/>
      <c r="AC433" s="157"/>
    </row>
    <row r="434" spans="1:29" outlineLevel="1">
      <c r="A434" s="170" t="s">
        <v>302</v>
      </c>
      <c r="B434" s="157" t="s">
        <v>303</v>
      </c>
      <c r="C434" s="171">
        <v>42844</v>
      </c>
      <c r="D434" s="178"/>
      <c r="E434" s="157" t="s">
        <v>649</v>
      </c>
      <c r="F434" s="223" t="s">
        <v>305</v>
      </c>
      <c r="G434" s="223"/>
      <c r="H434" s="224" t="s">
        <v>306</v>
      </c>
      <c r="I434" s="157"/>
      <c r="J434" s="172"/>
      <c r="K434" s="157"/>
      <c r="L434" s="223" t="s">
        <v>296</v>
      </c>
      <c r="M434" s="173"/>
      <c r="N434" s="173"/>
      <c r="O434" s="157" t="s">
        <v>307</v>
      </c>
      <c r="P434" s="158"/>
      <c r="Q434" s="185"/>
      <c r="R434" s="175"/>
      <c r="S434" s="174">
        <f t="shared" si="18"/>
        <v>0</v>
      </c>
      <c r="T434" s="157"/>
      <c r="U434" s="177">
        <v>-47.13</v>
      </c>
      <c r="V434" s="157"/>
      <c r="W434" s="157"/>
      <c r="X434" s="176">
        <f t="shared" si="19"/>
        <v>-47.13</v>
      </c>
      <c r="Y434" s="228"/>
      <c r="Z434" s="311"/>
      <c r="AA434" s="157"/>
      <c r="AB434" s="157"/>
      <c r="AC434" s="157"/>
    </row>
    <row r="435" spans="1:29" outlineLevel="1">
      <c r="A435" s="170" t="s">
        <v>302</v>
      </c>
      <c r="B435" s="157" t="s">
        <v>303</v>
      </c>
      <c r="C435" s="171">
        <v>42844</v>
      </c>
      <c r="D435" s="178"/>
      <c r="E435" s="157" t="s">
        <v>650</v>
      </c>
      <c r="F435" s="223" t="s">
        <v>305</v>
      </c>
      <c r="G435" s="223"/>
      <c r="H435" s="224" t="s">
        <v>306</v>
      </c>
      <c r="I435" s="157"/>
      <c r="J435" s="172"/>
      <c r="K435" s="157"/>
      <c r="L435" s="223" t="s">
        <v>296</v>
      </c>
      <c r="M435" s="173"/>
      <c r="N435" s="173"/>
      <c r="O435" s="157" t="s">
        <v>307</v>
      </c>
      <c r="P435" s="158"/>
      <c r="Q435" s="185"/>
      <c r="R435" s="175"/>
      <c r="S435" s="174">
        <f t="shared" si="18"/>
        <v>0</v>
      </c>
      <c r="T435" s="157"/>
      <c r="U435" s="177">
        <v>-10.74</v>
      </c>
      <c r="V435" s="157"/>
      <c r="W435" s="157"/>
      <c r="X435" s="176">
        <f t="shared" si="19"/>
        <v>-10.74</v>
      </c>
      <c r="Y435" s="228"/>
      <c r="Z435" s="311"/>
      <c r="AA435" s="157"/>
      <c r="AB435" s="157"/>
      <c r="AC435" s="157"/>
    </row>
    <row r="436" spans="1:29" outlineLevel="1">
      <c r="A436" s="170" t="s">
        <v>302</v>
      </c>
      <c r="B436" s="157" t="s">
        <v>303</v>
      </c>
      <c r="C436" s="171">
        <v>42844</v>
      </c>
      <c r="D436" s="178"/>
      <c r="E436" s="157" t="s">
        <v>651</v>
      </c>
      <c r="F436" s="223" t="s">
        <v>305</v>
      </c>
      <c r="G436" s="223"/>
      <c r="H436" s="224" t="s">
        <v>306</v>
      </c>
      <c r="I436" s="157" t="s">
        <v>1009</v>
      </c>
      <c r="J436" s="157" t="s">
        <v>1009</v>
      </c>
      <c r="K436" s="157" t="s">
        <v>1009</v>
      </c>
      <c r="L436" s="223" t="s">
        <v>296</v>
      </c>
      <c r="M436" s="173"/>
      <c r="N436" s="173"/>
      <c r="O436" s="157" t="s">
        <v>271</v>
      </c>
      <c r="P436" s="158">
        <v>1074.5</v>
      </c>
      <c r="Q436" s="185"/>
      <c r="R436" s="175"/>
      <c r="S436" s="174">
        <f t="shared" si="18"/>
        <v>1074.5</v>
      </c>
      <c r="T436" s="157"/>
      <c r="U436" s="177"/>
      <c r="V436" s="157"/>
      <c r="W436" s="157"/>
      <c r="X436" s="176">
        <f t="shared" si="19"/>
        <v>0</v>
      </c>
      <c r="Y436" s="228"/>
      <c r="Z436" s="311"/>
      <c r="AA436" s="157"/>
      <c r="AB436" s="157"/>
      <c r="AC436" s="157"/>
    </row>
    <row r="437" spans="1:29" outlineLevel="1">
      <c r="A437" s="170" t="s">
        <v>302</v>
      </c>
      <c r="B437" s="157" t="s">
        <v>303</v>
      </c>
      <c r="C437" s="171">
        <v>42844</v>
      </c>
      <c r="D437" s="178"/>
      <c r="E437" s="157" t="s">
        <v>652</v>
      </c>
      <c r="F437" s="223" t="s">
        <v>305</v>
      </c>
      <c r="G437" s="223"/>
      <c r="H437" s="224" t="s">
        <v>306</v>
      </c>
      <c r="I437" s="157" t="s">
        <v>1009</v>
      </c>
      <c r="J437" s="157" t="s">
        <v>1009</v>
      </c>
      <c r="K437" s="157" t="s">
        <v>1009</v>
      </c>
      <c r="L437" s="223" t="s">
        <v>296</v>
      </c>
      <c r="M437" s="173"/>
      <c r="N437" s="173"/>
      <c r="O437" s="157" t="s">
        <v>271</v>
      </c>
      <c r="P437" s="158">
        <v>425.17</v>
      </c>
      <c r="Q437" s="185"/>
      <c r="R437" s="175"/>
      <c r="S437" s="174">
        <f t="shared" si="18"/>
        <v>425.17</v>
      </c>
      <c r="T437" s="157"/>
      <c r="U437" s="177"/>
      <c r="V437" s="157"/>
      <c r="W437" s="157"/>
      <c r="X437" s="176">
        <f t="shared" si="19"/>
        <v>0</v>
      </c>
      <c r="Y437" s="228"/>
      <c r="Z437" s="311"/>
      <c r="AA437" s="157"/>
      <c r="AB437" s="157"/>
      <c r="AC437" s="157"/>
    </row>
    <row r="438" spans="1:29" outlineLevel="1">
      <c r="A438" s="170" t="s">
        <v>302</v>
      </c>
      <c r="B438" s="157" t="s">
        <v>303</v>
      </c>
      <c r="C438" s="171">
        <v>42845</v>
      </c>
      <c r="D438" s="178"/>
      <c r="E438" s="157" t="s">
        <v>653</v>
      </c>
      <c r="F438" s="223" t="s">
        <v>305</v>
      </c>
      <c r="G438" s="223"/>
      <c r="H438" s="224" t="s">
        <v>306</v>
      </c>
      <c r="I438" s="157"/>
      <c r="J438" s="172"/>
      <c r="K438" s="157"/>
      <c r="L438" s="223" t="s">
        <v>296</v>
      </c>
      <c r="M438" s="173"/>
      <c r="N438" s="173"/>
      <c r="O438" s="157" t="s">
        <v>307</v>
      </c>
      <c r="P438" s="158"/>
      <c r="Q438" s="185"/>
      <c r="R438" s="175"/>
      <c r="S438" s="174">
        <f t="shared" si="18"/>
        <v>0</v>
      </c>
      <c r="T438" s="157"/>
      <c r="U438" s="177">
        <v>-23.25</v>
      </c>
      <c r="V438" s="157"/>
      <c r="W438" s="157"/>
      <c r="X438" s="176">
        <f t="shared" si="19"/>
        <v>-23.25</v>
      </c>
      <c r="Y438" s="228"/>
      <c r="Z438" s="311"/>
      <c r="AA438" s="157"/>
      <c r="AB438" s="157"/>
      <c r="AC438" s="157"/>
    </row>
    <row r="439" spans="1:29" outlineLevel="1">
      <c r="A439" s="170" t="s">
        <v>302</v>
      </c>
      <c r="B439" s="157" t="s">
        <v>303</v>
      </c>
      <c r="C439" s="171">
        <v>42845</v>
      </c>
      <c r="D439" s="178"/>
      <c r="E439" s="157" t="s">
        <v>654</v>
      </c>
      <c r="F439" s="223" t="s">
        <v>305</v>
      </c>
      <c r="G439" s="223"/>
      <c r="H439" s="224" t="s">
        <v>306</v>
      </c>
      <c r="I439" s="157" t="s">
        <v>1009</v>
      </c>
      <c r="J439" s="157" t="s">
        <v>1009</v>
      </c>
      <c r="K439" s="157" t="s">
        <v>1009</v>
      </c>
      <c r="L439" s="223" t="s">
        <v>296</v>
      </c>
      <c r="M439" s="173"/>
      <c r="N439" s="173"/>
      <c r="O439" s="157" t="s">
        <v>271</v>
      </c>
      <c r="P439" s="158">
        <v>1396.61</v>
      </c>
      <c r="Q439" s="185"/>
      <c r="R439" s="175"/>
      <c r="S439" s="174">
        <f t="shared" si="18"/>
        <v>1396.61</v>
      </c>
      <c r="T439" s="157"/>
      <c r="U439" s="177"/>
      <c r="V439" s="157"/>
      <c r="W439" s="157"/>
      <c r="X439" s="176">
        <f t="shared" si="19"/>
        <v>0</v>
      </c>
      <c r="Y439" s="228"/>
      <c r="Z439" s="311"/>
      <c r="AA439" s="157"/>
      <c r="AB439" s="157"/>
      <c r="AC439" s="157"/>
    </row>
    <row r="440" spans="1:29" outlineLevel="1">
      <c r="A440" s="170" t="s">
        <v>302</v>
      </c>
      <c r="B440" s="157" t="s">
        <v>303</v>
      </c>
      <c r="C440" s="171">
        <v>42846</v>
      </c>
      <c r="D440" s="178"/>
      <c r="E440" s="157" t="s">
        <v>655</v>
      </c>
      <c r="F440" s="223" t="s">
        <v>305</v>
      </c>
      <c r="G440" s="223"/>
      <c r="H440" s="224" t="s">
        <v>306</v>
      </c>
      <c r="I440" s="157"/>
      <c r="J440" s="172"/>
      <c r="K440" s="157"/>
      <c r="L440" s="223" t="s">
        <v>296</v>
      </c>
      <c r="M440" s="173"/>
      <c r="N440" s="173"/>
      <c r="O440" s="157" t="s">
        <v>307</v>
      </c>
      <c r="P440" s="158"/>
      <c r="Q440" s="185"/>
      <c r="R440" s="175"/>
      <c r="S440" s="174">
        <f t="shared" si="18"/>
        <v>0</v>
      </c>
      <c r="T440" s="157"/>
      <c r="U440" s="177">
        <v>-212.73</v>
      </c>
      <c r="V440" s="157"/>
      <c r="W440" s="157"/>
      <c r="X440" s="176">
        <f t="shared" si="19"/>
        <v>-212.73</v>
      </c>
      <c r="Y440" s="228"/>
      <c r="Z440" s="311"/>
      <c r="AA440" s="157"/>
      <c r="AB440" s="157"/>
      <c r="AC440" s="157"/>
    </row>
    <row r="441" spans="1:29" outlineLevel="1">
      <c r="A441" s="170" t="s">
        <v>302</v>
      </c>
      <c r="B441" s="157" t="s">
        <v>303</v>
      </c>
      <c r="C441" s="171">
        <v>42846</v>
      </c>
      <c r="D441" s="178"/>
      <c r="E441" s="157" t="s">
        <v>656</v>
      </c>
      <c r="F441" s="223" t="s">
        <v>305</v>
      </c>
      <c r="G441" s="223"/>
      <c r="H441" s="224" t="s">
        <v>306</v>
      </c>
      <c r="I441" s="157"/>
      <c r="J441" s="172"/>
      <c r="K441" s="157"/>
      <c r="L441" s="223" t="s">
        <v>296</v>
      </c>
      <c r="M441" s="173"/>
      <c r="N441" s="173"/>
      <c r="O441" s="157" t="s">
        <v>307</v>
      </c>
      <c r="P441" s="158"/>
      <c r="Q441" s="185"/>
      <c r="R441" s="175"/>
      <c r="S441" s="174">
        <f t="shared" si="18"/>
        <v>0</v>
      </c>
      <c r="T441" s="157"/>
      <c r="U441" s="177">
        <v>-64.87</v>
      </c>
      <c r="V441" s="157"/>
      <c r="W441" s="157"/>
      <c r="X441" s="176">
        <f t="shared" si="19"/>
        <v>-64.87</v>
      </c>
      <c r="Y441" s="228"/>
      <c r="Z441" s="311"/>
      <c r="AA441" s="157"/>
      <c r="AB441" s="157"/>
      <c r="AC441" s="157"/>
    </row>
    <row r="442" spans="1:29" outlineLevel="1">
      <c r="A442" s="170" t="s">
        <v>302</v>
      </c>
      <c r="B442" s="157" t="s">
        <v>303</v>
      </c>
      <c r="C442" s="171">
        <v>42846</v>
      </c>
      <c r="D442" s="178"/>
      <c r="E442" s="157" t="s">
        <v>657</v>
      </c>
      <c r="F442" s="223" t="s">
        <v>305</v>
      </c>
      <c r="G442" s="223"/>
      <c r="H442" s="224" t="s">
        <v>306</v>
      </c>
      <c r="I442" s="157"/>
      <c r="J442" s="172"/>
      <c r="K442" s="157"/>
      <c r="L442" s="223" t="s">
        <v>296</v>
      </c>
      <c r="M442" s="173"/>
      <c r="N442" s="173"/>
      <c r="O442" s="157" t="s">
        <v>307</v>
      </c>
      <c r="P442" s="158"/>
      <c r="Q442" s="185"/>
      <c r="R442" s="175"/>
      <c r="S442" s="174">
        <f t="shared" si="18"/>
        <v>0</v>
      </c>
      <c r="T442" s="157"/>
      <c r="U442" s="177">
        <v>-57.86</v>
      </c>
      <c r="V442" s="157"/>
      <c r="W442" s="157"/>
      <c r="X442" s="176">
        <f t="shared" si="19"/>
        <v>-57.86</v>
      </c>
      <c r="Y442" s="228"/>
      <c r="Z442" s="311"/>
      <c r="AA442" s="157"/>
      <c r="AB442" s="157"/>
      <c r="AC442" s="157"/>
    </row>
    <row r="443" spans="1:29" outlineLevel="1">
      <c r="A443" s="170" t="s">
        <v>302</v>
      </c>
      <c r="B443" s="157" t="s">
        <v>303</v>
      </c>
      <c r="C443" s="171">
        <v>42846</v>
      </c>
      <c r="D443" s="178"/>
      <c r="E443" s="157" t="s">
        <v>658</v>
      </c>
      <c r="F443" s="223" t="s">
        <v>305</v>
      </c>
      <c r="G443" s="223"/>
      <c r="H443" s="224" t="s">
        <v>306</v>
      </c>
      <c r="I443" s="157"/>
      <c r="J443" s="172"/>
      <c r="K443" s="157"/>
      <c r="L443" s="223" t="s">
        <v>296</v>
      </c>
      <c r="M443" s="173"/>
      <c r="N443" s="173"/>
      <c r="O443" s="157" t="s">
        <v>307</v>
      </c>
      <c r="P443" s="158"/>
      <c r="Q443" s="185"/>
      <c r="R443" s="175"/>
      <c r="S443" s="174">
        <f t="shared" si="18"/>
        <v>0</v>
      </c>
      <c r="T443" s="157"/>
      <c r="U443" s="177">
        <v>-12.15</v>
      </c>
      <c r="V443" s="157"/>
      <c r="W443" s="157"/>
      <c r="X443" s="176">
        <f t="shared" si="19"/>
        <v>-12.15</v>
      </c>
      <c r="Y443" s="228"/>
      <c r="Z443" s="311"/>
      <c r="AA443" s="157"/>
      <c r="AB443" s="157"/>
      <c r="AC443" s="157"/>
    </row>
    <row r="444" spans="1:29" outlineLevel="1">
      <c r="A444" s="170" t="s">
        <v>302</v>
      </c>
      <c r="B444" s="157" t="s">
        <v>303</v>
      </c>
      <c r="C444" s="171">
        <v>42846</v>
      </c>
      <c r="D444" s="178"/>
      <c r="E444" s="157" t="s">
        <v>659</v>
      </c>
      <c r="F444" s="223" t="s">
        <v>305</v>
      </c>
      <c r="G444" s="223"/>
      <c r="H444" s="224" t="s">
        <v>306</v>
      </c>
      <c r="I444" s="157"/>
      <c r="J444" s="172"/>
      <c r="K444" s="157"/>
      <c r="L444" s="223" t="s">
        <v>296</v>
      </c>
      <c r="M444" s="173"/>
      <c r="N444" s="173"/>
      <c r="O444" s="157" t="s">
        <v>307</v>
      </c>
      <c r="P444" s="158"/>
      <c r="Q444" s="185"/>
      <c r="R444" s="175"/>
      <c r="S444" s="174">
        <f t="shared" si="18"/>
        <v>0</v>
      </c>
      <c r="T444" s="157"/>
      <c r="U444" s="177">
        <v>-22.98</v>
      </c>
      <c r="V444" s="157"/>
      <c r="W444" s="157"/>
      <c r="X444" s="176">
        <f t="shared" si="19"/>
        <v>-22.98</v>
      </c>
      <c r="Y444" s="228"/>
      <c r="Z444" s="311"/>
      <c r="AA444" s="157"/>
      <c r="AB444" s="157"/>
      <c r="AC444" s="157"/>
    </row>
    <row r="445" spans="1:29" outlineLevel="1">
      <c r="A445" s="170" t="s">
        <v>302</v>
      </c>
      <c r="B445" s="157" t="s">
        <v>303</v>
      </c>
      <c r="C445" s="171">
        <v>42846</v>
      </c>
      <c r="D445" s="178"/>
      <c r="E445" s="157" t="s">
        <v>660</v>
      </c>
      <c r="F445" s="223" t="s">
        <v>305</v>
      </c>
      <c r="G445" s="223"/>
      <c r="H445" s="224" t="s">
        <v>306</v>
      </c>
      <c r="I445" s="157"/>
      <c r="J445" s="172"/>
      <c r="K445" s="157"/>
      <c r="L445" s="223" t="s">
        <v>296</v>
      </c>
      <c r="M445" s="173"/>
      <c r="N445" s="173"/>
      <c r="O445" s="157" t="s">
        <v>307</v>
      </c>
      <c r="P445" s="158"/>
      <c r="Q445" s="185"/>
      <c r="R445" s="175"/>
      <c r="S445" s="174">
        <f t="shared" si="18"/>
        <v>0</v>
      </c>
      <c r="T445" s="157"/>
      <c r="U445" s="177">
        <v>-94</v>
      </c>
      <c r="V445" s="157"/>
      <c r="W445" s="157"/>
      <c r="X445" s="176">
        <f t="shared" si="19"/>
        <v>-94</v>
      </c>
      <c r="Y445" s="228"/>
      <c r="Z445" s="311"/>
      <c r="AA445" s="157"/>
      <c r="AB445" s="157"/>
      <c r="AC445" s="157"/>
    </row>
    <row r="446" spans="1:29" outlineLevel="1">
      <c r="A446" s="170" t="s">
        <v>302</v>
      </c>
      <c r="B446" s="157" t="s">
        <v>303</v>
      </c>
      <c r="C446" s="171">
        <v>42846</v>
      </c>
      <c r="D446" s="178"/>
      <c r="E446" s="157" t="s">
        <v>661</v>
      </c>
      <c r="F446" s="223" t="s">
        <v>305</v>
      </c>
      <c r="G446" s="223"/>
      <c r="H446" s="224" t="s">
        <v>306</v>
      </c>
      <c r="I446" s="157" t="s">
        <v>1009</v>
      </c>
      <c r="J446" s="157" t="s">
        <v>1009</v>
      </c>
      <c r="K446" s="157" t="s">
        <v>1009</v>
      </c>
      <c r="L446" s="223" t="s">
        <v>296</v>
      </c>
      <c r="M446" s="173"/>
      <c r="N446" s="173"/>
      <c r="O446" s="157" t="s">
        <v>271</v>
      </c>
      <c r="P446" s="158">
        <v>1086.73</v>
      </c>
      <c r="Q446" s="185"/>
      <c r="R446" s="175"/>
      <c r="S446" s="174">
        <f t="shared" si="18"/>
        <v>1086.73</v>
      </c>
      <c r="T446" s="157"/>
      <c r="U446" s="177"/>
      <c r="V446" s="157"/>
      <c r="W446" s="157"/>
      <c r="X446" s="176">
        <f t="shared" si="19"/>
        <v>0</v>
      </c>
      <c r="Y446" s="228"/>
      <c r="Z446" s="311"/>
      <c r="AA446" s="157"/>
      <c r="AB446" s="157"/>
      <c r="AC446" s="157"/>
    </row>
    <row r="447" spans="1:29" outlineLevel="1">
      <c r="A447" s="170" t="s">
        <v>302</v>
      </c>
      <c r="B447" s="157" t="s">
        <v>303</v>
      </c>
      <c r="C447" s="171">
        <v>42849</v>
      </c>
      <c r="D447" s="178"/>
      <c r="E447" s="157" t="s">
        <v>304</v>
      </c>
      <c r="F447" s="223" t="s">
        <v>305</v>
      </c>
      <c r="G447" s="223"/>
      <c r="H447" s="224" t="s">
        <v>306</v>
      </c>
      <c r="I447" s="157"/>
      <c r="J447" s="172"/>
      <c r="K447" s="157"/>
      <c r="L447" s="223" t="s">
        <v>296</v>
      </c>
      <c r="M447" s="173"/>
      <c r="N447" s="173"/>
      <c r="O447" s="157" t="s">
        <v>308</v>
      </c>
      <c r="P447" s="158"/>
      <c r="Q447" s="185"/>
      <c r="R447" s="175"/>
      <c r="S447" s="174">
        <f t="shared" si="18"/>
        <v>0</v>
      </c>
      <c r="T447" s="157"/>
      <c r="U447" s="177">
        <v>-404.5</v>
      </c>
      <c r="V447" s="157"/>
      <c r="W447" s="157"/>
      <c r="X447" s="176">
        <f t="shared" si="19"/>
        <v>-404.5</v>
      </c>
      <c r="Y447" s="228"/>
      <c r="Z447" s="311"/>
      <c r="AA447" s="157"/>
      <c r="AB447" s="157"/>
      <c r="AC447" s="157"/>
    </row>
    <row r="448" spans="1:29" outlineLevel="1">
      <c r="A448" s="170" t="s">
        <v>302</v>
      </c>
      <c r="B448" s="157" t="s">
        <v>303</v>
      </c>
      <c r="C448" s="171">
        <v>42849</v>
      </c>
      <c r="D448" s="178"/>
      <c r="E448" s="157" t="s">
        <v>304</v>
      </c>
      <c r="F448" s="223" t="s">
        <v>305</v>
      </c>
      <c r="G448" s="223"/>
      <c r="H448" s="224" t="s">
        <v>306</v>
      </c>
      <c r="I448" s="157"/>
      <c r="J448" s="172"/>
      <c r="K448" s="157"/>
      <c r="L448" s="223" t="s">
        <v>296</v>
      </c>
      <c r="M448" s="173"/>
      <c r="N448" s="173"/>
      <c r="O448" s="157" t="s">
        <v>308</v>
      </c>
      <c r="P448" s="158"/>
      <c r="Q448" s="185"/>
      <c r="R448" s="175"/>
      <c r="S448" s="174">
        <f t="shared" si="18"/>
        <v>0</v>
      </c>
      <c r="T448" s="157"/>
      <c r="U448" s="177">
        <v>-446.5</v>
      </c>
      <c r="V448" s="157"/>
      <c r="W448" s="157"/>
      <c r="X448" s="176">
        <f t="shared" si="19"/>
        <v>-446.5</v>
      </c>
      <c r="Y448" s="228"/>
      <c r="Z448" s="311"/>
      <c r="AA448" s="157"/>
      <c r="AB448" s="157"/>
      <c r="AC448" s="157"/>
    </row>
    <row r="449" spans="1:29" outlineLevel="1">
      <c r="A449" s="170" t="s">
        <v>302</v>
      </c>
      <c r="B449" s="157" t="s">
        <v>303</v>
      </c>
      <c r="C449" s="171">
        <v>42849</v>
      </c>
      <c r="D449" s="178"/>
      <c r="E449" s="157" t="s">
        <v>304</v>
      </c>
      <c r="F449" s="223" t="s">
        <v>305</v>
      </c>
      <c r="G449" s="223"/>
      <c r="H449" s="224" t="s">
        <v>306</v>
      </c>
      <c r="I449" s="157"/>
      <c r="J449" s="172"/>
      <c r="K449" s="157"/>
      <c r="L449" s="223" t="s">
        <v>296</v>
      </c>
      <c r="M449" s="173"/>
      <c r="N449" s="173"/>
      <c r="O449" s="157" t="s">
        <v>308</v>
      </c>
      <c r="P449" s="158"/>
      <c r="Q449" s="185"/>
      <c r="R449" s="175"/>
      <c r="S449" s="174">
        <f t="shared" si="18"/>
        <v>0</v>
      </c>
      <c r="T449" s="157"/>
      <c r="U449" s="177">
        <v>-655</v>
      </c>
      <c r="V449" s="157"/>
      <c r="W449" s="157"/>
      <c r="X449" s="176">
        <f t="shared" si="19"/>
        <v>-655</v>
      </c>
      <c r="Y449" s="228"/>
      <c r="Z449" s="311"/>
      <c r="AA449" s="157"/>
      <c r="AB449" s="157"/>
      <c r="AC449" s="157"/>
    </row>
    <row r="450" spans="1:29" outlineLevel="1">
      <c r="A450" s="170" t="s">
        <v>302</v>
      </c>
      <c r="B450" s="157" t="s">
        <v>303</v>
      </c>
      <c r="C450" s="171">
        <v>42849</v>
      </c>
      <c r="D450" s="178"/>
      <c r="E450" s="157" t="s">
        <v>662</v>
      </c>
      <c r="F450" s="223" t="s">
        <v>305</v>
      </c>
      <c r="G450" s="223"/>
      <c r="H450" s="224" t="s">
        <v>306</v>
      </c>
      <c r="I450" s="157"/>
      <c r="J450" s="172"/>
      <c r="K450" s="157"/>
      <c r="L450" s="223" t="s">
        <v>296</v>
      </c>
      <c r="M450" s="173"/>
      <c r="N450" s="173"/>
      <c r="O450" s="157" t="s">
        <v>307</v>
      </c>
      <c r="P450" s="158"/>
      <c r="Q450" s="185"/>
      <c r="R450" s="175"/>
      <c r="S450" s="174">
        <f t="shared" si="18"/>
        <v>0</v>
      </c>
      <c r="T450" s="157"/>
      <c r="U450" s="177">
        <v>-107.54</v>
      </c>
      <c r="V450" s="157"/>
      <c r="W450" s="157"/>
      <c r="X450" s="176">
        <f t="shared" si="19"/>
        <v>-107.54</v>
      </c>
      <c r="Y450" s="228"/>
      <c r="Z450" s="311"/>
      <c r="AA450" s="157"/>
      <c r="AB450" s="157"/>
      <c r="AC450" s="157"/>
    </row>
    <row r="451" spans="1:29" outlineLevel="1">
      <c r="A451" s="170" t="s">
        <v>302</v>
      </c>
      <c r="B451" s="157" t="s">
        <v>303</v>
      </c>
      <c r="C451" s="171">
        <v>42849</v>
      </c>
      <c r="D451" s="178"/>
      <c r="E451" s="157" t="s">
        <v>663</v>
      </c>
      <c r="F451" s="223" t="s">
        <v>305</v>
      </c>
      <c r="G451" s="223"/>
      <c r="H451" s="224" t="s">
        <v>306</v>
      </c>
      <c r="I451" s="157"/>
      <c r="J451" s="172"/>
      <c r="K451" s="157"/>
      <c r="L451" s="223" t="s">
        <v>296</v>
      </c>
      <c r="M451" s="173"/>
      <c r="N451" s="173"/>
      <c r="O451" s="157" t="s">
        <v>307</v>
      </c>
      <c r="P451" s="158"/>
      <c r="Q451" s="185"/>
      <c r="R451" s="175"/>
      <c r="S451" s="174">
        <f t="shared" si="18"/>
        <v>0</v>
      </c>
      <c r="T451" s="157"/>
      <c r="U451" s="177">
        <v>-40.67</v>
      </c>
      <c r="V451" s="157"/>
      <c r="W451" s="157"/>
      <c r="X451" s="176">
        <f t="shared" si="19"/>
        <v>-40.67</v>
      </c>
      <c r="Y451" s="228"/>
      <c r="Z451" s="311"/>
      <c r="AA451" s="157"/>
      <c r="AB451" s="157"/>
      <c r="AC451" s="157"/>
    </row>
    <row r="452" spans="1:29" outlineLevel="1">
      <c r="A452" s="170" t="s">
        <v>302</v>
      </c>
      <c r="B452" s="157" t="s">
        <v>303</v>
      </c>
      <c r="C452" s="171">
        <v>42849</v>
      </c>
      <c r="D452" s="178"/>
      <c r="E452" s="157" t="s">
        <v>664</v>
      </c>
      <c r="F452" s="223" t="s">
        <v>305</v>
      </c>
      <c r="G452" s="223"/>
      <c r="H452" s="224" t="s">
        <v>306</v>
      </c>
      <c r="I452" s="157"/>
      <c r="J452" s="172"/>
      <c r="K452" s="157"/>
      <c r="L452" s="223" t="s">
        <v>296</v>
      </c>
      <c r="M452" s="173"/>
      <c r="N452" s="173"/>
      <c r="O452" s="157" t="s">
        <v>307</v>
      </c>
      <c r="P452" s="158"/>
      <c r="Q452" s="185"/>
      <c r="R452" s="175"/>
      <c r="S452" s="174">
        <f t="shared" si="18"/>
        <v>0</v>
      </c>
      <c r="T452" s="157"/>
      <c r="U452" s="177">
        <v>-5.61</v>
      </c>
      <c r="V452" s="157"/>
      <c r="W452" s="157"/>
      <c r="X452" s="176">
        <f t="shared" si="19"/>
        <v>-5.61</v>
      </c>
      <c r="Y452" s="228"/>
      <c r="Z452" s="311"/>
      <c r="AA452" s="157"/>
      <c r="AB452" s="157"/>
      <c r="AC452" s="157"/>
    </row>
    <row r="453" spans="1:29" outlineLevel="1">
      <c r="A453" s="170" t="s">
        <v>302</v>
      </c>
      <c r="B453" s="157" t="s">
        <v>303</v>
      </c>
      <c r="C453" s="171">
        <v>42849</v>
      </c>
      <c r="D453" s="178"/>
      <c r="E453" s="157" t="s">
        <v>665</v>
      </c>
      <c r="F453" s="223" t="s">
        <v>305</v>
      </c>
      <c r="G453" s="223"/>
      <c r="H453" s="224" t="s">
        <v>306</v>
      </c>
      <c r="I453" s="157"/>
      <c r="J453" s="172"/>
      <c r="K453" s="157"/>
      <c r="L453" s="223" t="s">
        <v>296</v>
      </c>
      <c r="M453" s="173"/>
      <c r="N453" s="173"/>
      <c r="O453" s="157" t="s">
        <v>307</v>
      </c>
      <c r="P453" s="158"/>
      <c r="Q453" s="185"/>
      <c r="R453" s="175"/>
      <c r="S453" s="174">
        <f t="shared" si="18"/>
        <v>0</v>
      </c>
      <c r="T453" s="157"/>
      <c r="U453" s="177">
        <v>-103.23</v>
      </c>
      <c r="V453" s="157"/>
      <c r="W453" s="157"/>
      <c r="X453" s="176">
        <f t="shared" si="19"/>
        <v>-103.23</v>
      </c>
      <c r="Y453" s="228"/>
      <c r="Z453" s="311"/>
      <c r="AA453" s="157"/>
      <c r="AB453" s="157"/>
      <c r="AC453" s="157"/>
    </row>
    <row r="454" spans="1:29" outlineLevel="1">
      <c r="A454" s="170" t="s">
        <v>302</v>
      </c>
      <c r="B454" s="157" t="s">
        <v>303</v>
      </c>
      <c r="C454" s="171">
        <v>42849</v>
      </c>
      <c r="D454" s="178"/>
      <c r="E454" s="157" t="s">
        <v>666</v>
      </c>
      <c r="F454" s="223" t="s">
        <v>305</v>
      </c>
      <c r="G454" s="223"/>
      <c r="H454" s="224" t="s">
        <v>306</v>
      </c>
      <c r="I454" s="157"/>
      <c r="J454" s="172"/>
      <c r="K454" s="157"/>
      <c r="L454" s="223" t="s">
        <v>296</v>
      </c>
      <c r="M454" s="173"/>
      <c r="N454" s="173"/>
      <c r="O454" s="157" t="s">
        <v>307</v>
      </c>
      <c r="P454" s="158"/>
      <c r="Q454" s="185"/>
      <c r="R454" s="175"/>
      <c r="S454" s="174">
        <f t="shared" si="18"/>
        <v>0</v>
      </c>
      <c r="T454" s="157"/>
      <c r="U454" s="177">
        <v>-6.52</v>
      </c>
      <c r="V454" s="157"/>
      <c r="W454" s="157"/>
      <c r="X454" s="176">
        <f t="shared" si="19"/>
        <v>-6.52</v>
      </c>
      <c r="Y454" s="228"/>
      <c r="Z454" s="311"/>
      <c r="AA454" s="157"/>
      <c r="AB454" s="157"/>
      <c r="AC454" s="157"/>
    </row>
    <row r="455" spans="1:29" outlineLevel="1">
      <c r="A455" s="170" t="s">
        <v>302</v>
      </c>
      <c r="B455" s="157" t="s">
        <v>303</v>
      </c>
      <c r="C455" s="171">
        <v>42849</v>
      </c>
      <c r="D455" s="178"/>
      <c r="E455" s="157" t="s">
        <v>667</v>
      </c>
      <c r="F455" s="223" t="s">
        <v>305</v>
      </c>
      <c r="G455" s="223"/>
      <c r="H455" s="224" t="s">
        <v>306</v>
      </c>
      <c r="I455" s="157"/>
      <c r="J455" s="172"/>
      <c r="K455" s="157"/>
      <c r="L455" s="223" t="s">
        <v>296</v>
      </c>
      <c r="M455" s="173"/>
      <c r="N455" s="173"/>
      <c r="O455" s="157" t="s">
        <v>307</v>
      </c>
      <c r="P455" s="158"/>
      <c r="Q455" s="185"/>
      <c r="R455" s="175"/>
      <c r="S455" s="174">
        <f t="shared" si="18"/>
        <v>0</v>
      </c>
      <c r="T455" s="157"/>
      <c r="U455" s="177">
        <v>-17.52</v>
      </c>
      <c r="V455" s="157"/>
      <c r="W455" s="157"/>
      <c r="X455" s="176">
        <f t="shared" si="19"/>
        <v>-17.52</v>
      </c>
      <c r="Y455" s="228"/>
      <c r="Z455" s="311"/>
      <c r="AA455" s="157"/>
      <c r="AB455" s="157"/>
      <c r="AC455" s="157"/>
    </row>
    <row r="456" spans="1:29" outlineLevel="1">
      <c r="A456" s="170" t="s">
        <v>302</v>
      </c>
      <c r="B456" s="157" t="s">
        <v>303</v>
      </c>
      <c r="C456" s="171">
        <v>42849</v>
      </c>
      <c r="D456" s="178"/>
      <c r="E456" s="157" t="s">
        <v>668</v>
      </c>
      <c r="F456" s="223" t="s">
        <v>305</v>
      </c>
      <c r="G456" s="223"/>
      <c r="H456" s="224" t="s">
        <v>306</v>
      </c>
      <c r="I456" s="157"/>
      <c r="J456" s="172"/>
      <c r="K456" s="157"/>
      <c r="L456" s="223" t="s">
        <v>296</v>
      </c>
      <c r="M456" s="173"/>
      <c r="N456" s="173"/>
      <c r="O456" s="157" t="s">
        <v>307</v>
      </c>
      <c r="P456" s="158"/>
      <c r="Q456" s="185"/>
      <c r="R456" s="175"/>
      <c r="S456" s="174">
        <f t="shared" si="18"/>
        <v>0</v>
      </c>
      <c r="T456" s="157"/>
      <c r="U456" s="177">
        <v>-26.03</v>
      </c>
      <c r="V456" s="157"/>
      <c r="W456" s="157"/>
      <c r="X456" s="176">
        <f t="shared" si="19"/>
        <v>-26.03</v>
      </c>
      <c r="Y456" s="228"/>
      <c r="Z456" s="311"/>
      <c r="AA456" s="157"/>
      <c r="AB456" s="157"/>
      <c r="AC456" s="157"/>
    </row>
    <row r="457" spans="1:29" outlineLevel="1">
      <c r="A457" s="170" t="s">
        <v>302</v>
      </c>
      <c r="B457" s="157" t="s">
        <v>303</v>
      </c>
      <c r="C457" s="171">
        <v>42849</v>
      </c>
      <c r="D457" s="178"/>
      <c r="E457" s="157" t="s">
        <v>669</v>
      </c>
      <c r="F457" s="223" t="s">
        <v>305</v>
      </c>
      <c r="G457" s="223"/>
      <c r="H457" s="224" t="s">
        <v>306</v>
      </c>
      <c r="I457" s="157"/>
      <c r="J457" s="172"/>
      <c r="K457" s="157"/>
      <c r="L457" s="223" t="s">
        <v>296</v>
      </c>
      <c r="M457" s="173"/>
      <c r="N457" s="173"/>
      <c r="O457" s="157" t="s">
        <v>307</v>
      </c>
      <c r="P457" s="158"/>
      <c r="Q457" s="185"/>
      <c r="R457" s="175"/>
      <c r="S457" s="174">
        <f t="shared" si="18"/>
        <v>0</v>
      </c>
      <c r="T457" s="157"/>
      <c r="U457" s="177">
        <v>-52.79</v>
      </c>
      <c r="V457" s="157"/>
      <c r="W457" s="157"/>
      <c r="X457" s="176">
        <f t="shared" si="19"/>
        <v>-52.79</v>
      </c>
      <c r="Y457" s="228"/>
      <c r="Z457" s="311"/>
      <c r="AA457" s="157"/>
      <c r="AB457" s="157"/>
      <c r="AC457" s="157"/>
    </row>
    <row r="458" spans="1:29" outlineLevel="1">
      <c r="A458" s="170" t="s">
        <v>302</v>
      </c>
      <c r="B458" s="157" t="s">
        <v>303</v>
      </c>
      <c r="C458" s="171">
        <v>42849</v>
      </c>
      <c r="D458" s="178"/>
      <c r="E458" s="157" t="s">
        <v>670</v>
      </c>
      <c r="F458" s="223" t="s">
        <v>305</v>
      </c>
      <c r="G458" s="223"/>
      <c r="H458" s="224" t="s">
        <v>306</v>
      </c>
      <c r="I458" s="157" t="s">
        <v>1009</v>
      </c>
      <c r="J458" s="157" t="s">
        <v>1009</v>
      </c>
      <c r="K458" s="157" t="s">
        <v>1009</v>
      </c>
      <c r="L458" s="223" t="s">
        <v>296</v>
      </c>
      <c r="M458" s="173"/>
      <c r="N458" s="173"/>
      <c r="O458" s="157" t="s">
        <v>271</v>
      </c>
      <c r="P458" s="158">
        <v>3587.1</v>
      </c>
      <c r="Q458" s="185"/>
      <c r="R458" s="175"/>
      <c r="S458" s="174">
        <f t="shared" si="18"/>
        <v>3587.1</v>
      </c>
      <c r="T458" s="157"/>
      <c r="U458" s="177"/>
      <c r="V458" s="157"/>
      <c r="W458" s="157"/>
      <c r="X458" s="176">
        <f t="shared" si="19"/>
        <v>0</v>
      </c>
      <c r="Y458" s="228"/>
      <c r="Z458" s="311"/>
      <c r="AA458" s="157"/>
      <c r="AB458" s="157"/>
      <c r="AC458" s="157"/>
    </row>
    <row r="459" spans="1:29" outlineLevel="1">
      <c r="A459" s="170" t="s">
        <v>302</v>
      </c>
      <c r="B459" s="157" t="s">
        <v>303</v>
      </c>
      <c r="C459" s="171">
        <v>42849</v>
      </c>
      <c r="D459" s="178"/>
      <c r="E459" s="157" t="s">
        <v>671</v>
      </c>
      <c r="F459" s="223" t="s">
        <v>305</v>
      </c>
      <c r="G459" s="223"/>
      <c r="H459" s="224" t="s">
        <v>306</v>
      </c>
      <c r="I459" s="157" t="s">
        <v>1009</v>
      </c>
      <c r="J459" s="157" t="s">
        <v>1009</v>
      </c>
      <c r="K459" s="157" t="s">
        <v>1009</v>
      </c>
      <c r="L459" s="223" t="s">
        <v>296</v>
      </c>
      <c r="M459" s="173"/>
      <c r="N459" s="173"/>
      <c r="O459" s="157" t="s">
        <v>271</v>
      </c>
      <c r="P459" s="158">
        <v>1116.8499999999999</v>
      </c>
      <c r="Q459" s="185"/>
      <c r="R459" s="175"/>
      <c r="S459" s="174">
        <f t="shared" si="18"/>
        <v>1116.8499999999999</v>
      </c>
      <c r="T459" s="157"/>
      <c r="U459" s="177"/>
      <c r="V459" s="157"/>
      <c r="W459" s="157"/>
      <c r="X459" s="176">
        <f t="shared" si="19"/>
        <v>0</v>
      </c>
      <c r="Y459" s="228"/>
      <c r="Z459" s="311"/>
      <c r="AA459" s="157"/>
      <c r="AB459" s="157"/>
      <c r="AC459" s="157"/>
    </row>
    <row r="460" spans="1:29" outlineLevel="1">
      <c r="A460" s="170" t="s">
        <v>302</v>
      </c>
      <c r="B460" s="157" t="s">
        <v>303</v>
      </c>
      <c r="C460" s="171">
        <v>42850</v>
      </c>
      <c r="D460" s="178"/>
      <c r="E460" s="157" t="s">
        <v>672</v>
      </c>
      <c r="F460" s="223" t="s">
        <v>305</v>
      </c>
      <c r="G460" s="223"/>
      <c r="H460" s="224" t="s">
        <v>306</v>
      </c>
      <c r="I460" s="157"/>
      <c r="J460" s="172"/>
      <c r="K460" s="157"/>
      <c r="L460" s="223" t="s">
        <v>296</v>
      </c>
      <c r="M460" s="173"/>
      <c r="N460" s="173"/>
      <c r="O460" s="157" t="s">
        <v>307</v>
      </c>
      <c r="P460" s="158"/>
      <c r="Q460" s="185"/>
      <c r="R460" s="175"/>
      <c r="S460" s="174">
        <f t="shared" si="18"/>
        <v>0</v>
      </c>
      <c r="T460" s="157"/>
      <c r="U460" s="177">
        <v>-13.18</v>
      </c>
      <c r="V460" s="157"/>
      <c r="W460" s="157"/>
      <c r="X460" s="176">
        <f t="shared" si="19"/>
        <v>-13.18</v>
      </c>
      <c r="Y460" s="228"/>
      <c r="Z460" s="311"/>
      <c r="AA460" s="157"/>
      <c r="AB460" s="157"/>
      <c r="AC460" s="157"/>
    </row>
    <row r="461" spans="1:29" outlineLevel="1">
      <c r="A461" s="170" t="s">
        <v>302</v>
      </c>
      <c r="B461" s="157" t="s">
        <v>303</v>
      </c>
      <c r="C461" s="171">
        <v>42850</v>
      </c>
      <c r="D461" s="178"/>
      <c r="E461" s="157" t="s">
        <v>673</v>
      </c>
      <c r="F461" s="223" t="s">
        <v>305</v>
      </c>
      <c r="G461" s="223"/>
      <c r="H461" s="224" t="s">
        <v>306</v>
      </c>
      <c r="I461" s="157"/>
      <c r="J461" s="172"/>
      <c r="K461" s="157"/>
      <c r="L461" s="223" t="s">
        <v>296</v>
      </c>
      <c r="M461" s="173"/>
      <c r="N461" s="173"/>
      <c r="O461" s="157" t="s">
        <v>307</v>
      </c>
      <c r="P461" s="158"/>
      <c r="Q461" s="185"/>
      <c r="R461" s="175"/>
      <c r="S461" s="174">
        <f t="shared" si="18"/>
        <v>0</v>
      </c>
      <c r="T461" s="157"/>
      <c r="U461" s="177">
        <v>-95.31</v>
      </c>
      <c r="V461" s="157"/>
      <c r="W461" s="157"/>
      <c r="X461" s="176">
        <f t="shared" si="19"/>
        <v>-95.31</v>
      </c>
      <c r="Y461" s="228"/>
      <c r="Z461" s="311"/>
      <c r="AA461" s="157"/>
      <c r="AB461" s="157"/>
      <c r="AC461" s="157"/>
    </row>
    <row r="462" spans="1:29" outlineLevel="1">
      <c r="A462" s="170" t="s">
        <v>302</v>
      </c>
      <c r="B462" s="157" t="s">
        <v>303</v>
      </c>
      <c r="C462" s="171">
        <v>42850</v>
      </c>
      <c r="D462" s="178"/>
      <c r="E462" s="157" t="s">
        <v>674</v>
      </c>
      <c r="F462" s="223" t="s">
        <v>305</v>
      </c>
      <c r="G462" s="223"/>
      <c r="H462" s="224" t="s">
        <v>306</v>
      </c>
      <c r="I462" s="157"/>
      <c r="J462" s="172"/>
      <c r="K462" s="157"/>
      <c r="L462" s="223" t="s">
        <v>296</v>
      </c>
      <c r="M462" s="173"/>
      <c r="N462" s="173"/>
      <c r="O462" s="157" t="s">
        <v>307</v>
      </c>
      <c r="P462" s="158"/>
      <c r="Q462" s="185"/>
      <c r="R462" s="175"/>
      <c r="S462" s="174">
        <f t="shared" si="18"/>
        <v>0</v>
      </c>
      <c r="T462" s="157"/>
      <c r="U462" s="177">
        <v>-311.91000000000003</v>
      </c>
      <c r="V462" s="157"/>
      <c r="W462" s="157"/>
      <c r="X462" s="176">
        <f t="shared" si="19"/>
        <v>-311.91000000000003</v>
      </c>
      <c r="Y462" s="228"/>
      <c r="Z462" s="311"/>
      <c r="AA462" s="157"/>
      <c r="AB462" s="157"/>
      <c r="AC462" s="157"/>
    </row>
    <row r="463" spans="1:29" outlineLevel="1">
      <c r="A463" s="170" t="s">
        <v>302</v>
      </c>
      <c r="B463" s="157" t="s">
        <v>303</v>
      </c>
      <c r="C463" s="171">
        <v>42850</v>
      </c>
      <c r="D463" s="178"/>
      <c r="E463" s="157" t="s">
        <v>675</v>
      </c>
      <c r="F463" s="223" t="s">
        <v>305</v>
      </c>
      <c r="G463" s="223"/>
      <c r="H463" s="224" t="s">
        <v>306</v>
      </c>
      <c r="I463" s="157" t="s">
        <v>1009</v>
      </c>
      <c r="J463" s="157" t="s">
        <v>1009</v>
      </c>
      <c r="K463" s="157" t="s">
        <v>1009</v>
      </c>
      <c r="L463" s="223" t="s">
        <v>296</v>
      </c>
      <c r="M463" s="173"/>
      <c r="N463" s="173"/>
      <c r="O463" s="157" t="s">
        <v>271</v>
      </c>
      <c r="P463" s="158">
        <v>550.39</v>
      </c>
      <c r="Q463" s="185"/>
      <c r="R463" s="175"/>
      <c r="S463" s="174">
        <f t="shared" si="18"/>
        <v>550.39</v>
      </c>
      <c r="T463" s="157"/>
      <c r="U463" s="177"/>
      <c r="V463" s="157"/>
      <c r="W463" s="157"/>
      <c r="X463" s="176">
        <f t="shared" si="19"/>
        <v>0</v>
      </c>
      <c r="Y463" s="228"/>
      <c r="Z463" s="311"/>
      <c r="AA463" s="157"/>
      <c r="AB463" s="157"/>
      <c r="AC463" s="157"/>
    </row>
    <row r="464" spans="1:29" outlineLevel="1">
      <c r="A464" s="170" t="s">
        <v>302</v>
      </c>
      <c r="B464" s="157" t="s">
        <v>303</v>
      </c>
      <c r="C464" s="171">
        <v>42851</v>
      </c>
      <c r="D464" s="178"/>
      <c r="E464" s="157" t="s">
        <v>676</v>
      </c>
      <c r="F464" s="223" t="s">
        <v>305</v>
      </c>
      <c r="G464" s="223"/>
      <c r="H464" s="224" t="s">
        <v>306</v>
      </c>
      <c r="I464" s="157"/>
      <c r="J464" s="172"/>
      <c r="K464" s="157"/>
      <c r="L464" s="223" t="s">
        <v>296</v>
      </c>
      <c r="M464" s="173"/>
      <c r="N464" s="173"/>
      <c r="O464" s="157" t="s">
        <v>307</v>
      </c>
      <c r="P464" s="158"/>
      <c r="Q464" s="185"/>
      <c r="R464" s="175"/>
      <c r="S464" s="174">
        <f t="shared" si="18"/>
        <v>0</v>
      </c>
      <c r="T464" s="157"/>
      <c r="U464" s="177">
        <v>-39.799999999999997</v>
      </c>
      <c r="V464" s="157"/>
      <c r="W464" s="157"/>
      <c r="X464" s="176">
        <f t="shared" si="19"/>
        <v>-39.799999999999997</v>
      </c>
      <c r="Y464" s="228"/>
      <c r="Z464" s="311"/>
      <c r="AA464" s="157"/>
      <c r="AB464" s="157"/>
      <c r="AC464" s="157"/>
    </row>
    <row r="465" spans="1:29" outlineLevel="1">
      <c r="A465" s="170" t="s">
        <v>302</v>
      </c>
      <c r="B465" s="157" t="s">
        <v>303</v>
      </c>
      <c r="C465" s="171">
        <v>42851</v>
      </c>
      <c r="D465" s="178"/>
      <c r="E465" s="157" t="s">
        <v>677</v>
      </c>
      <c r="F465" s="223" t="s">
        <v>305</v>
      </c>
      <c r="G465" s="223"/>
      <c r="H465" s="224" t="s">
        <v>306</v>
      </c>
      <c r="I465" s="157"/>
      <c r="J465" s="172"/>
      <c r="K465" s="157"/>
      <c r="L465" s="223" t="s">
        <v>296</v>
      </c>
      <c r="M465" s="173"/>
      <c r="N465" s="173"/>
      <c r="O465" s="157" t="s">
        <v>307</v>
      </c>
      <c r="P465" s="158"/>
      <c r="Q465" s="185"/>
      <c r="R465" s="175"/>
      <c r="S465" s="174">
        <f t="shared" si="18"/>
        <v>0</v>
      </c>
      <c r="T465" s="157"/>
      <c r="U465" s="177">
        <v>-11.94</v>
      </c>
      <c r="V465" s="157"/>
      <c r="W465" s="157"/>
      <c r="X465" s="176">
        <f t="shared" si="19"/>
        <v>-11.94</v>
      </c>
      <c r="Y465" s="228"/>
      <c r="Z465" s="311"/>
      <c r="AA465" s="157"/>
      <c r="AB465" s="157"/>
      <c r="AC465" s="157"/>
    </row>
    <row r="466" spans="1:29" outlineLevel="1">
      <c r="A466" s="170" t="s">
        <v>302</v>
      </c>
      <c r="B466" s="157" t="s">
        <v>303</v>
      </c>
      <c r="C466" s="171">
        <v>42851</v>
      </c>
      <c r="D466" s="178"/>
      <c r="E466" s="157" t="s">
        <v>678</v>
      </c>
      <c r="F466" s="223" t="s">
        <v>305</v>
      </c>
      <c r="G466" s="223"/>
      <c r="H466" s="224" t="s">
        <v>306</v>
      </c>
      <c r="I466" s="157"/>
      <c r="J466" s="172"/>
      <c r="K466" s="157"/>
      <c r="L466" s="223" t="s">
        <v>296</v>
      </c>
      <c r="M466" s="173"/>
      <c r="N466" s="173"/>
      <c r="O466" s="157" t="s">
        <v>307</v>
      </c>
      <c r="P466" s="158"/>
      <c r="Q466" s="185"/>
      <c r="R466" s="175"/>
      <c r="S466" s="174">
        <f t="shared" si="18"/>
        <v>0</v>
      </c>
      <c r="T466" s="157"/>
      <c r="U466" s="177">
        <v>-48.1</v>
      </c>
      <c r="V466" s="157"/>
      <c r="W466" s="157"/>
      <c r="X466" s="176">
        <f t="shared" si="19"/>
        <v>-48.1</v>
      </c>
      <c r="Y466" s="228"/>
      <c r="Z466" s="311"/>
      <c r="AA466" s="157"/>
      <c r="AB466" s="157"/>
      <c r="AC466" s="157"/>
    </row>
    <row r="467" spans="1:29" outlineLevel="1">
      <c r="A467" s="170" t="s">
        <v>302</v>
      </c>
      <c r="B467" s="157" t="s">
        <v>303</v>
      </c>
      <c r="C467" s="171">
        <v>42851</v>
      </c>
      <c r="D467" s="178"/>
      <c r="E467" s="157" t="s">
        <v>679</v>
      </c>
      <c r="F467" s="223" t="s">
        <v>305</v>
      </c>
      <c r="G467" s="223"/>
      <c r="H467" s="224" t="s">
        <v>306</v>
      </c>
      <c r="I467" s="157" t="s">
        <v>1009</v>
      </c>
      <c r="J467" s="157" t="s">
        <v>1009</v>
      </c>
      <c r="K467" s="157" t="s">
        <v>1009</v>
      </c>
      <c r="L467" s="223" t="s">
        <v>296</v>
      </c>
      <c r="M467" s="173"/>
      <c r="N467" s="173"/>
      <c r="O467" s="157" t="s">
        <v>271</v>
      </c>
      <c r="P467" s="158">
        <v>1021.62</v>
      </c>
      <c r="Q467" s="185"/>
      <c r="R467" s="175"/>
      <c r="S467" s="174">
        <f t="shared" ref="S467:S473" si="20">P467</f>
        <v>1021.62</v>
      </c>
      <c r="T467" s="157"/>
      <c r="U467" s="177"/>
      <c r="V467" s="157"/>
      <c r="W467" s="157"/>
      <c r="X467" s="176">
        <f t="shared" si="19"/>
        <v>0</v>
      </c>
      <c r="Y467" s="228"/>
      <c r="Z467" s="311"/>
      <c r="AA467" s="157"/>
      <c r="AB467" s="157"/>
      <c r="AC467" s="157"/>
    </row>
    <row r="468" spans="1:29" outlineLevel="1">
      <c r="A468" s="170" t="s">
        <v>302</v>
      </c>
      <c r="B468" s="157" t="s">
        <v>303</v>
      </c>
      <c r="C468" s="171">
        <v>42851</v>
      </c>
      <c r="D468" s="178"/>
      <c r="E468" s="157" t="s">
        <v>680</v>
      </c>
      <c r="F468" s="223" t="s">
        <v>305</v>
      </c>
      <c r="G468" s="223"/>
      <c r="H468" s="224" t="s">
        <v>306</v>
      </c>
      <c r="I468" s="157" t="s">
        <v>1009</v>
      </c>
      <c r="J468" s="157" t="s">
        <v>1009</v>
      </c>
      <c r="K468" s="157" t="s">
        <v>1009</v>
      </c>
      <c r="L468" s="223" t="s">
        <v>296</v>
      </c>
      <c r="M468" s="173"/>
      <c r="N468" s="173"/>
      <c r="O468" s="157" t="s">
        <v>271</v>
      </c>
      <c r="P468" s="158">
        <v>421.13</v>
      </c>
      <c r="Q468" s="185"/>
      <c r="R468" s="175"/>
      <c r="S468" s="174">
        <f t="shared" si="20"/>
        <v>421.13</v>
      </c>
      <c r="T468" s="157"/>
      <c r="U468" s="177"/>
      <c r="V468" s="157"/>
      <c r="W468" s="157"/>
      <c r="X468" s="176">
        <f t="shared" si="19"/>
        <v>0</v>
      </c>
      <c r="Y468" s="228"/>
      <c r="Z468" s="311"/>
      <c r="AA468" s="157"/>
      <c r="AB468" s="157"/>
      <c r="AC468" s="157"/>
    </row>
    <row r="469" spans="1:29" outlineLevel="1">
      <c r="A469" s="170" t="s">
        <v>302</v>
      </c>
      <c r="B469" s="157" t="s">
        <v>303</v>
      </c>
      <c r="C469" s="171">
        <v>42852</v>
      </c>
      <c r="D469" s="178"/>
      <c r="E469" s="157" t="s">
        <v>681</v>
      </c>
      <c r="F469" s="223" t="s">
        <v>305</v>
      </c>
      <c r="G469" s="223"/>
      <c r="H469" s="224" t="s">
        <v>306</v>
      </c>
      <c r="I469" s="157"/>
      <c r="J469" s="172"/>
      <c r="K469" s="157"/>
      <c r="L469" s="223" t="s">
        <v>296</v>
      </c>
      <c r="M469" s="173"/>
      <c r="N469" s="173"/>
      <c r="O469" s="157" t="s">
        <v>307</v>
      </c>
      <c r="P469" s="158"/>
      <c r="Q469" s="185"/>
      <c r="R469" s="175"/>
      <c r="S469" s="174">
        <f t="shared" si="20"/>
        <v>0</v>
      </c>
      <c r="T469" s="157"/>
      <c r="U469" s="177">
        <v>-25.19</v>
      </c>
      <c r="V469" s="157"/>
      <c r="W469" s="157"/>
      <c r="X469" s="176">
        <f t="shared" si="19"/>
        <v>-25.19</v>
      </c>
      <c r="Y469" s="228"/>
      <c r="Z469" s="311"/>
      <c r="AA469" s="157"/>
      <c r="AB469" s="157"/>
      <c r="AC469" s="157"/>
    </row>
    <row r="470" spans="1:29" outlineLevel="1">
      <c r="A470" s="170" t="s">
        <v>302</v>
      </c>
      <c r="B470" s="157" t="s">
        <v>303</v>
      </c>
      <c r="C470" s="171">
        <v>42852</v>
      </c>
      <c r="D470" s="178"/>
      <c r="E470" s="157" t="s">
        <v>682</v>
      </c>
      <c r="F470" s="223" t="s">
        <v>305</v>
      </c>
      <c r="G470" s="223"/>
      <c r="H470" s="224" t="s">
        <v>306</v>
      </c>
      <c r="I470" s="157"/>
      <c r="J470" s="172"/>
      <c r="K470" s="157"/>
      <c r="L470" s="223" t="s">
        <v>296</v>
      </c>
      <c r="M470" s="173"/>
      <c r="N470" s="173"/>
      <c r="O470" s="157" t="s">
        <v>307</v>
      </c>
      <c r="P470" s="158"/>
      <c r="Q470" s="185"/>
      <c r="R470" s="175"/>
      <c r="S470" s="174">
        <f t="shared" si="20"/>
        <v>0</v>
      </c>
      <c r="T470" s="157"/>
      <c r="U470" s="177">
        <v>-69.61</v>
      </c>
      <c r="V470" s="157"/>
      <c r="W470" s="157"/>
      <c r="X470" s="176">
        <f t="shared" si="19"/>
        <v>-69.61</v>
      </c>
      <c r="Y470" s="228"/>
      <c r="Z470" s="311"/>
      <c r="AA470" s="157"/>
      <c r="AB470" s="157"/>
      <c r="AC470" s="157"/>
    </row>
    <row r="471" spans="1:29" outlineLevel="1">
      <c r="A471" s="170" t="s">
        <v>302</v>
      </c>
      <c r="B471" s="157" t="s">
        <v>303</v>
      </c>
      <c r="C471" s="171">
        <v>42852</v>
      </c>
      <c r="D471" s="178"/>
      <c r="E471" s="157" t="s">
        <v>683</v>
      </c>
      <c r="F471" s="223" t="s">
        <v>305</v>
      </c>
      <c r="G471" s="223"/>
      <c r="H471" s="224" t="s">
        <v>306</v>
      </c>
      <c r="I471" s="157" t="s">
        <v>1009</v>
      </c>
      <c r="J471" s="157" t="s">
        <v>1009</v>
      </c>
      <c r="K471" s="157" t="s">
        <v>1009</v>
      </c>
      <c r="L471" s="223" t="s">
        <v>296</v>
      </c>
      <c r="M471" s="173"/>
      <c r="N471" s="173"/>
      <c r="O471" s="157" t="s">
        <v>271</v>
      </c>
      <c r="P471" s="158">
        <v>1271.31</v>
      </c>
      <c r="Q471" s="185"/>
      <c r="R471" s="175"/>
      <c r="S471" s="174">
        <f t="shared" si="20"/>
        <v>1271.31</v>
      </c>
      <c r="T471" s="157"/>
      <c r="U471" s="177"/>
      <c r="V471" s="157"/>
      <c r="W471" s="157"/>
      <c r="X471" s="176">
        <f t="shared" si="19"/>
        <v>0</v>
      </c>
      <c r="Y471" s="228"/>
      <c r="Z471" s="311"/>
      <c r="AA471" s="157"/>
      <c r="AB471" s="157"/>
      <c r="AC471" s="157"/>
    </row>
    <row r="472" spans="1:29" outlineLevel="1">
      <c r="A472" s="170" t="s">
        <v>302</v>
      </c>
      <c r="B472" s="157" t="s">
        <v>303</v>
      </c>
      <c r="C472" s="171">
        <v>42853</v>
      </c>
      <c r="D472" s="178"/>
      <c r="E472" s="157" t="s">
        <v>684</v>
      </c>
      <c r="F472" s="223" t="s">
        <v>305</v>
      </c>
      <c r="G472" s="223"/>
      <c r="H472" s="224" t="s">
        <v>306</v>
      </c>
      <c r="I472" s="157"/>
      <c r="J472" s="172"/>
      <c r="K472" s="157"/>
      <c r="L472" s="223" t="s">
        <v>296</v>
      </c>
      <c r="M472" s="173"/>
      <c r="N472" s="173"/>
      <c r="O472" s="157" t="s">
        <v>307</v>
      </c>
      <c r="P472" s="158"/>
      <c r="Q472" s="185"/>
      <c r="R472" s="175"/>
      <c r="S472" s="174">
        <f t="shared" si="20"/>
        <v>0</v>
      </c>
      <c r="T472" s="157"/>
      <c r="U472" s="177">
        <v>-110.16</v>
      </c>
      <c r="V472" s="157"/>
      <c r="W472" s="157"/>
      <c r="X472" s="176">
        <f t="shared" si="19"/>
        <v>-110.16</v>
      </c>
      <c r="Y472" s="228"/>
      <c r="Z472" s="311"/>
      <c r="AA472" s="157"/>
      <c r="AB472" s="157"/>
      <c r="AC472" s="157"/>
    </row>
    <row r="473" spans="1:29">
      <c r="A473" s="170" t="s">
        <v>302</v>
      </c>
      <c r="B473" s="157" t="s">
        <v>303</v>
      </c>
      <c r="C473" s="171">
        <v>42853</v>
      </c>
      <c r="D473" s="178"/>
      <c r="E473" s="157" t="s">
        <v>685</v>
      </c>
      <c r="F473" s="223" t="s">
        <v>305</v>
      </c>
      <c r="G473" s="223"/>
      <c r="H473" s="224" t="s">
        <v>306</v>
      </c>
      <c r="I473" s="157" t="s">
        <v>1009</v>
      </c>
      <c r="J473" s="157" t="s">
        <v>1009</v>
      </c>
      <c r="K473" s="157" t="s">
        <v>1009</v>
      </c>
      <c r="L473" s="223" t="s">
        <v>296</v>
      </c>
      <c r="M473" s="173"/>
      <c r="N473" s="173"/>
      <c r="O473" s="157" t="s">
        <v>271</v>
      </c>
      <c r="P473" s="158">
        <v>1069.1099999999999</v>
      </c>
      <c r="Q473" s="185"/>
      <c r="R473" s="175"/>
      <c r="S473" s="174">
        <f t="shared" si="20"/>
        <v>1069.1099999999999</v>
      </c>
      <c r="T473" s="157"/>
      <c r="U473" s="177"/>
      <c r="V473" s="157"/>
      <c r="W473" s="157"/>
      <c r="X473" s="176">
        <f t="shared" si="19"/>
        <v>0</v>
      </c>
      <c r="Y473" s="228"/>
      <c r="Z473" s="311"/>
      <c r="AA473" s="157"/>
      <c r="AB473" s="157"/>
      <c r="AC473" s="157"/>
    </row>
    <row r="474" spans="1:29" ht="12" thickBot="1">
      <c r="A474" s="170"/>
      <c r="B474" s="157"/>
      <c r="C474" s="171"/>
      <c r="D474" s="178"/>
      <c r="E474" s="157"/>
      <c r="F474" s="223"/>
      <c r="G474" s="223"/>
      <c r="I474" s="157"/>
      <c r="J474" s="172"/>
      <c r="K474" s="157"/>
      <c r="L474" s="223"/>
      <c r="M474" s="173"/>
      <c r="N474" s="173"/>
      <c r="O474" s="157"/>
      <c r="P474" s="297">
        <f>SUM(P346:P473)</f>
        <v>41877.929999999993</v>
      </c>
      <c r="Q474" s="297">
        <f t="shared" ref="Q474:X474" si="21">SUM(Q346:Q473)</f>
        <v>0</v>
      </c>
      <c r="R474" s="297">
        <f t="shared" si="21"/>
        <v>0</v>
      </c>
      <c r="S474" s="297">
        <f t="shared" si="21"/>
        <v>41877.929999999993</v>
      </c>
      <c r="T474" s="297">
        <f t="shared" si="21"/>
        <v>0</v>
      </c>
      <c r="U474" s="297">
        <f t="shared" si="21"/>
        <v>-24256.709999999995</v>
      </c>
      <c r="V474" s="297">
        <f t="shared" si="21"/>
        <v>0</v>
      </c>
      <c r="W474" s="297">
        <f t="shared" si="21"/>
        <v>0</v>
      </c>
      <c r="X474" s="297">
        <f t="shared" si="21"/>
        <v>-24256.709999999995</v>
      </c>
      <c r="Y474" s="297">
        <f>X474+S474</f>
        <v>17621.219999999998</v>
      </c>
      <c r="Z474" s="312">
        <f>Y474/S474</f>
        <v>0.42077581198497632</v>
      </c>
      <c r="AA474" s="157"/>
      <c r="AB474" s="157"/>
      <c r="AC474" s="157"/>
    </row>
    <row r="475" spans="1:29" ht="12" customHeight="1" outlineLevel="1" thickTop="1">
      <c r="A475" s="170" t="s">
        <v>302</v>
      </c>
      <c r="B475" s="157" t="s">
        <v>303</v>
      </c>
      <c r="C475" s="171">
        <v>42856</v>
      </c>
      <c r="D475" s="178"/>
      <c r="E475" s="157" t="s">
        <v>304</v>
      </c>
      <c r="F475" s="223" t="s">
        <v>305</v>
      </c>
      <c r="G475" s="223"/>
      <c r="H475" s="224" t="s">
        <v>306</v>
      </c>
      <c r="I475" s="157"/>
      <c r="J475" s="172"/>
      <c r="K475" s="157"/>
      <c r="L475" s="223" t="s">
        <v>296</v>
      </c>
      <c r="M475" s="173"/>
      <c r="N475" s="173"/>
      <c r="O475" s="157" t="s">
        <v>308</v>
      </c>
      <c r="P475" s="158"/>
      <c r="Q475" s="185"/>
      <c r="R475" s="175"/>
      <c r="S475" s="174">
        <f t="shared" ref="S475:S538" si="22">P475</f>
        <v>0</v>
      </c>
      <c r="T475" s="157"/>
      <c r="U475" s="177">
        <v>-615</v>
      </c>
      <c r="V475" s="157"/>
      <c r="W475" s="157"/>
      <c r="X475" s="176">
        <f t="shared" ref="X475:X538" si="23">U475</f>
        <v>-615</v>
      </c>
      <c r="Y475" s="184"/>
      <c r="Z475" s="179"/>
      <c r="AA475" s="157"/>
      <c r="AB475" s="157"/>
      <c r="AC475" s="157"/>
    </row>
    <row r="476" spans="1:29" ht="12" customHeight="1" outlineLevel="1">
      <c r="A476" s="170" t="s">
        <v>302</v>
      </c>
      <c r="B476" s="157" t="s">
        <v>303</v>
      </c>
      <c r="C476" s="171">
        <v>42856</v>
      </c>
      <c r="D476" s="178"/>
      <c r="E476" s="157" t="s">
        <v>686</v>
      </c>
      <c r="F476" s="223" t="s">
        <v>305</v>
      </c>
      <c r="G476" s="223"/>
      <c r="H476" s="224" t="s">
        <v>306</v>
      </c>
      <c r="I476" s="157"/>
      <c r="J476" s="172"/>
      <c r="K476" s="157"/>
      <c r="L476" s="223" t="s">
        <v>296</v>
      </c>
      <c r="M476" s="173"/>
      <c r="N476" s="173"/>
      <c r="O476" s="157" t="s">
        <v>307</v>
      </c>
      <c r="P476" s="158"/>
      <c r="Q476" s="185"/>
      <c r="R476" s="175"/>
      <c r="S476" s="174">
        <f t="shared" si="22"/>
        <v>0</v>
      </c>
      <c r="T476" s="157"/>
      <c r="U476" s="177">
        <v>-81.34</v>
      </c>
      <c r="V476" s="157"/>
      <c r="W476" s="157"/>
      <c r="X476" s="176">
        <f t="shared" si="23"/>
        <v>-81.34</v>
      </c>
      <c r="Y476" s="184"/>
      <c r="Z476" s="179"/>
      <c r="AA476" s="157"/>
      <c r="AB476" s="157"/>
      <c r="AC476" s="157"/>
    </row>
    <row r="477" spans="1:29" ht="12" customHeight="1" outlineLevel="1">
      <c r="A477" s="170" t="s">
        <v>302</v>
      </c>
      <c r="B477" s="157" t="s">
        <v>303</v>
      </c>
      <c r="C477" s="171">
        <v>42856</v>
      </c>
      <c r="D477" s="178"/>
      <c r="E477" s="157" t="s">
        <v>687</v>
      </c>
      <c r="F477" s="223" t="s">
        <v>305</v>
      </c>
      <c r="G477" s="223"/>
      <c r="H477" s="224" t="s">
        <v>306</v>
      </c>
      <c r="I477" s="157"/>
      <c r="J477" s="172"/>
      <c r="K477" s="157"/>
      <c r="L477" s="223" t="s">
        <v>296</v>
      </c>
      <c r="M477" s="173"/>
      <c r="N477" s="173"/>
      <c r="O477" s="157" t="s">
        <v>307</v>
      </c>
      <c r="P477" s="158"/>
      <c r="Q477" s="185"/>
      <c r="R477" s="175"/>
      <c r="S477" s="174">
        <f t="shared" si="22"/>
        <v>0</v>
      </c>
      <c r="T477" s="157"/>
      <c r="U477" s="177">
        <v>-27.36</v>
      </c>
      <c r="V477" s="157"/>
      <c r="W477" s="157"/>
      <c r="X477" s="176">
        <f t="shared" si="23"/>
        <v>-27.36</v>
      </c>
      <c r="Y477" s="184"/>
      <c r="Z477" s="179"/>
      <c r="AA477" s="157"/>
      <c r="AB477" s="157"/>
      <c r="AC477" s="157"/>
    </row>
    <row r="478" spans="1:29" ht="12" customHeight="1" outlineLevel="1">
      <c r="A478" s="170" t="s">
        <v>302</v>
      </c>
      <c r="B478" s="157" t="s">
        <v>303</v>
      </c>
      <c r="C478" s="171">
        <v>42856</v>
      </c>
      <c r="D478" s="178"/>
      <c r="E478" s="157" t="s">
        <v>688</v>
      </c>
      <c r="F478" s="223" t="s">
        <v>305</v>
      </c>
      <c r="G478" s="223"/>
      <c r="H478" s="224" t="s">
        <v>306</v>
      </c>
      <c r="I478" s="157"/>
      <c r="J478" s="172"/>
      <c r="K478" s="157"/>
      <c r="L478" s="223" t="s">
        <v>296</v>
      </c>
      <c r="M478" s="173"/>
      <c r="N478" s="173"/>
      <c r="O478" s="157" t="s">
        <v>307</v>
      </c>
      <c r="P478" s="158"/>
      <c r="Q478" s="185"/>
      <c r="R478" s="175"/>
      <c r="S478" s="174">
        <f t="shared" si="22"/>
        <v>0</v>
      </c>
      <c r="T478" s="157"/>
      <c r="U478" s="177">
        <v>-58.24</v>
      </c>
      <c r="V478" s="157"/>
      <c r="W478" s="157"/>
      <c r="X478" s="176">
        <f t="shared" si="23"/>
        <v>-58.24</v>
      </c>
      <c r="Y478" s="184"/>
      <c r="Z478" s="179"/>
      <c r="AA478" s="157"/>
      <c r="AB478" s="157"/>
      <c r="AC478" s="157"/>
    </row>
    <row r="479" spans="1:29" ht="12" customHeight="1" outlineLevel="1">
      <c r="A479" s="170" t="s">
        <v>302</v>
      </c>
      <c r="B479" s="157" t="s">
        <v>303</v>
      </c>
      <c r="C479" s="171">
        <v>42856</v>
      </c>
      <c r="D479" s="178"/>
      <c r="E479" s="157" t="s">
        <v>689</v>
      </c>
      <c r="F479" s="223" t="s">
        <v>305</v>
      </c>
      <c r="G479" s="223"/>
      <c r="H479" s="224" t="s">
        <v>306</v>
      </c>
      <c r="I479" s="157"/>
      <c r="J479" s="172"/>
      <c r="K479" s="157"/>
      <c r="L479" s="223" t="s">
        <v>296</v>
      </c>
      <c r="M479" s="173"/>
      <c r="N479" s="173"/>
      <c r="O479" s="157" t="s">
        <v>307</v>
      </c>
      <c r="P479" s="158"/>
      <c r="Q479" s="185"/>
      <c r="R479" s="175"/>
      <c r="S479" s="174">
        <f t="shared" si="22"/>
        <v>0</v>
      </c>
      <c r="T479" s="157"/>
      <c r="U479" s="177">
        <v>-97.51</v>
      </c>
      <c r="V479" s="157"/>
      <c r="W479" s="157"/>
      <c r="X479" s="176">
        <f t="shared" si="23"/>
        <v>-97.51</v>
      </c>
      <c r="Y479" s="184"/>
      <c r="Z479" s="179"/>
      <c r="AA479" s="157"/>
      <c r="AB479" s="157"/>
      <c r="AC479" s="157"/>
    </row>
    <row r="480" spans="1:29" ht="12" customHeight="1" outlineLevel="1">
      <c r="A480" s="170" t="s">
        <v>302</v>
      </c>
      <c r="B480" s="157" t="s">
        <v>303</v>
      </c>
      <c r="C480" s="171">
        <v>42856</v>
      </c>
      <c r="D480" s="178"/>
      <c r="E480" s="157" t="s">
        <v>690</v>
      </c>
      <c r="F480" s="223" t="s">
        <v>305</v>
      </c>
      <c r="G480" s="223"/>
      <c r="H480" s="224" t="s">
        <v>306</v>
      </c>
      <c r="I480" s="157"/>
      <c r="J480" s="172"/>
      <c r="K480" s="157"/>
      <c r="L480" s="223" t="s">
        <v>296</v>
      </c>
      <c r="M480" s="173"/>
      <c r="N480" s="173"/>
      <c r="O480" s="157" t="s">
        <v>307</v>
      </c>
      <c r="P480" s="158"/>
      <c r="Q480" s="185"/>
      <c r="R480" s="175"/>
      <c r="S480" s="174">
        <f t="shared" si="22"/>
        <v>0</v>
      </c>
      <c r="T480" s="157"/>
      <c r="U480" s="177">
        <v>-12</v>
      </c>
      <c r="V480" s="157"/>
      <c r="W480" s="157"/>
      <c r="X480" s="176">
        <f t="shared" si="23"/>
        <v>-12</v>
      </c>
      <c r="Y480" s="184"/>
      <c r="Z480" s="179"/>
      <c r="AA480" s="157"/>
      <c r="AB480" s="157"/>
      <c r="AC480" s="157"/>
    </row>
    <row r="481" spans="1:29" ht="12" customHeight="1" outlineLevel="1">
      <c r="A481" s="170" t="s">
        <v>302</v>
      </c>
      <c r="B481" s="157" t="s">
        <v>303</v>
      </c>
      <c r="C481" s="171">
        <v>42856</v>
      </c>
      <c r="D481" s="178"/>
      <c r="E481" s="157" t="s">
        <v>691</v>
      </c>
      <c r="F481" s="223" t="s">
        <v>305</v>
      </c>
      <c r="G481" s="223"/>
      <c r="H481" s="224" t="s">
        <v>306</v>
      </c>
      <c r="I481" s="157" t="s">
        <v>1009</v>
      </c>
      <c r="J481" s="157" t="s">
        <v>1009</v>
      </c>
      <c r="K481" s="157" t="s">
        <v>1009</v>
      </c>
      <c r="L481" s="223" t="s">
        <v>296</v>
      </c>
      <c r="M481" s="173"/>
      <c r="N481" s="173"/>
      <c r="O481" s="157" t="s">
        <v>271</v>
      </c>
      <c r="P481" s="158">
        <v>1954.19</v>
      </c>
      <c r="Q481" s="185"/>
      <c r="R481" s="175"/>
      <c r="S481" s="174">
        <f t="shared" si="22"/>
        <v>1954.19</v>
      </c>
      <c r="T481" s="157"/>
      <c r="U481" s="177"/>
      <c r="V481" s="157"/>
      <c r="W481" s="157"/>
      <c r="X481" s="176">
        <f t="shared" si="23"/>
        <v>0</v>
      </c>
      <c r="Y481" s="184"/>
      <c r="Z481" s="179"/>
      <c r="AA481" s="157"/>
      <c r="AB481" s="157"/>
      <c r="AC481" s="157"/>
    </row>
    <row r="482" spans="1:29" ht="12" customHeight="1" outlineLevel="1">
      <c r="A482" s="170" t="s">
        <v>302</v>
      </c>
      <c r="B482" s="157" t="s">
        <v>303</v>
      </c>
      <c r="C482" s="171">
        <v>42856</v>
      </c>
      <c r="D482" s="178"/>
      <c r="E482" s="157" t="s">
        <v>692</v>
      </c>
      <c r="F482" s="223" t="s">
        <v>305</v>
      </c>
      <c r="G482" s="223"/>
      <c r="H482" s="224" t="s">
        <v>306</v>
      </c>
      <c r="I482" s="157" t="s">
        <v>1009</v>
      </c>
      <c r="J482" s="157" t="s">
        <v>1009</v>
      </c>
      <c r="K482" s="157" t="s">
        <v>1009</v>
      </c>
      <c r="L482" s="223" t="s">
        <v>296</v>
      </c>
      <c r="M482" s="173"/>
      <c r="N482" s="173"/>
      <c r="O482" s="157" t="s">
        <v>271</v>
      </c>
      <c r="P482" s="158">
        <v>1893.81</v>
      </c>
      <c r="Q482" s="185"/>
      <c r="R482" s="175"/>
      <c r="S482" s="174">
        <f t="shared" si="22"/>
        <v>1893.81</v>
      </c>
      <c r="T482" s="157"/>
      <c r="U482" s="177"/>
      <c r="V482" s="157"/>
      <c r="W482" s="157"/>
      <c r="X482" s="176">
        <f t="shared" si="23"/>
        <v>0</v>
      </c>
      <c r="Y482" s="184"/>
      <c r="Z482" s="179"/>
      <c r="AA482" s="157"/>
      <c r="AB482" s="157"/>
      <c r="AC482" s="157"/>
    </row>
    <row r="483" spans="1:29" ht="12" customHeight="1" outlineLevel="1">
      <c r="A483" s="170" t="s">
        <v>302</v>
      </c>
      <c r="B483" s="157" t="s">
        <v>303</v>
      </c>
      <c r="C483" s="171">
        <v>42856</v>
      </c>
      <c r="D483" s="178"/>
      <c r="E483" s="157" t="s">
        <v>693</v>
      </c>
      <c r="F483" s="223" t="s">
        <v>305</v>
      </c>
      <c r="G483" s="223"/>
      <c r="H483" s="224" t="s">
        <v>306</v>
      </c>
      <c r="I483" s="157" t="s">
        <v>1009</v>
      </c>
      <c r="J483" s="157" t="s">
        <v>1009</v>
      </c>
      <c r="K483" s="157" t="s">
        <v>1009</v>
      </c>
      <c r="L483" s="223" t="s">
        <v>296</v>
      </c>
      <c r="M483" s="173"/>
      <c r="N483" s="173"/>
      <c r="O483" s="157" t="s">
        <v>271</v>
      </c>
      <c r="P483" s="158">
        <v>1766.97</v>
      </c>
      <c r="Q483" s="185"/>
      <c r="R483" s="175"/>
      <c r="S483" s="174">
        <f t="shared" si="22"/>
        <v>1766.97</v>
      </c>
      <c r="T483" s="157"/>
      <c r="U483" s="177"/>
      <c r="V483" s="157"/>
      <c r="W483" s="157"/>
      <c r="X483" s="176">
        <f t="shared" si="23"/>
        <v>0</v>
      </c>
      <c r="Y483" s="184"/>
      <c r="Z483" s="179"/>
      <c r="AA483" s="157"/>
      <c r="AB483" s="157"/>
      <c r="AC483" s="157"/>
    </row>
    <row r="484" spans="1:29" ht="12" customHeight="1" outlineLevel="1">
      <c r="A484" s="170" t="s">
        <v>302</v>
      </c>
      <c r="B484" s="157" t="s">
        <v>303</v>
      </c>
      <c r="C484" s="171">
        <v>42857</v>
      </c>
      <c r="D484" s="178"/>
      <c r="E484" s="157" t="s">
        <v>694</v>
      </c>
      <c r="F484" s="223" t="s">
        <v>305</v>
      </c>
      <c r="G484" s="223"/>
      <c r="H484" s="224" t="s">
        <v>306</v>
      </c>
      <c r="I484" s="157"/>
      <c r="J484" s="172"/>
      <c r="K484" s="157"/>
      <c r="L484" s="223" t="s">
        <v>296</v>
      </c>
      <c r="M484" s="173"/>
      <c r="N484" s="173"/>
      <c r="O484" s="157" t="s">
        <v>307</v>
      </c>
      <c r="P484" s="158"/>
      <c r="Q484" s="185"/>
      <c r="R484" s="175"/>
      <c r="S484" s="174">
        <f t="shared" si="22"/>
        <v>0</v>
      </c>
      <c r="T484" s="157"/>
      <c r="U484" s="177">
        <v>-3.57</v>
      </c>
      <c r="V484" s="157"/>
      <c r="W484" s="157"/>
      <c r="X484" s="176">
        <f t="shared" si="23"/>
        <v>-3.57</v>
      </c>
      <c r="Y484" s="184"/>
      <c r="Z484" s="179"/>
      <c r="AA484" s="157"/>
      <c r="AB484" s="157"/>
      <c r="AC484" s="157"/>
    </row>
    <row r="485" spans="1:29" ht="12" customHeight="1" outlineLevel="1">
      <c r="A485" s="170" t="s">
        <v>302</v>
      </c>
      <c r="B485" s="157" t="s">
        <v>303</v>
      </c>
      <c r="C485" s="171">
        <v>42857</v>
      </c>
      <c r="D485" s="178"/>
      <c r="E485" s="157" t="s">
        <v>695</v>
      </c>
      <c r="F485" s="223" t="s">
        <v>305</v>
      </c>
      <c r="G485" s="223"/>
      <c r="H485" s="224" t="s">
        <v>306</v>
      </c>
      <c r="I485" s="157"/>
      <c r="J485" s="172"/>
      <c r="K485" s="157"/>
      <c r="L485" s="223" t="s">
        <v>296</v>
      </c>
      <c r="M485" s="173"/>
      <c r="N485" s="173"/>
      <c r="O485" s="157" t="s">
        <v>307</v>
      </c>
      <c r="P485" s="158"/>
      <c r="Q485" s="185"/>
      <c r="R485" s="175"/>
      <c r="S485" s="174">
        <f t="shared" si="22"/>
        <v>0</v>
      </c>
      <c r="T485" s="157"/>
      <c r="U485" s="177">
        <v>-224.32</v>
      </c>
      <c r="V485" s="157"/>
      <c r="W485" s="157"/>
      <c r="X485" s="176">
        <f t="shared" si="23"/>
        <v>-224.32</v>
      </c>
      <c r="Y485" s="184"/>
      <c r="Z485" s="179"/>
      <c r="AA485" s="157"/>
      <c r="AB485" s="157"/>
      <c r="AC485" s="157"/>
    </row>
    <row r="486" spans="1:29" ht="12" customHeight="1" outlineLevel="1">
      <c r="A486" s="170" t="s">
        <v>302</v>
      </c>
      <c r="B486" s="157" t="s">
        <v>303</v>
      </c>
      <c r="C486" s="171">
        <v>42857</v>
      </c>
      <c r="D486" s="178"/>
      <c r="E486" s="157" t="s">
        <v>696</v>
      </c>
      <c r="F486" s="223" t="s">
        <v>305</v>
      </c>
      <c r="G486" s="223"/>
      <c r="H486" s="224" t="s">
        <v>306</v>
      </c>
      <c r="I486" s="157" t="s">
        <v>1009</v>
      </c>
      <c r="J486" s="157" t="s">
        <v>1009</v>
      </c>
      <c r="K486" s="157" t="s">
        <v>1009</v>
      </c>
      <c r="L486" s="223" t="s">
        <v>296</v>
      </c>
      <c r="M486" s="173"/>
      <c r="N486" s="173"/>
      <c r="O486" s="157" t="s">
        <v>271</v>
      </c>
      <c r="P486" s="158">
        <v>752.37</v>
      </c>
      <c r="Q486" s="185"/>
      <c r="R486" s="175"/>
      <c r="S486" s="174">
        <f t="shared" si="22"/>
        <v>752.37</v>
      </c>
      <c r="T486" s="157"/>
      <c r="U486" s="177"/>
      <c r="V486" s="157"/>
      <c r="W486" s="157"/>
      <c r="X486" s="176">
        <f t="shared" si="23"/>
        <v>0</v>
      </c>
      <c r="Y486" s="184"/>
      <c r="Z486" s="179"/>
      <c r="AA486" s="157"/>
      <c r="AB486" s="157"/>
      <c r="AC486" s="157"/>
    </row>
    <row r="487" spans="1:29" ht="12" customHeight="1" outlineLevel="1">
      <c r="A487" s="170" t="s">
        <v>302</v>
      </c>
      <c r="B487" s="157" t="s">
        <v>303</v>
      </c>
      <c r="C487" s="171">
        <v>42858</v>
      </c>
      <c r="D487" s="178"/>
      <c r="E487" s="157" t="s">
        <v>304</v>
      </c>
      <c r="F487" s="223" t="s">
        <v>305</v>
      </c>
      <c r="G487" s="223"/>
      <c r="H487" s="224" t="s">
        <v>306</v>
      </c>
      <c r="I487" s="157"/>
      <c r="J487" s="172"/>
      <c r="K487" s="157"/>
      <c r="L487" s="223" t="s">
        <v>296</v>
      </c>
      <c r="M487" s="173"/>
      <c r="N487" s="173"/>
      <c r="O487" s="157" t="s">
        <v>308</v>
      </c>
      <c r="P487" s="158"/>
      <c r="Q487" s="185"/>
      <c r="R487" s="175"/>
      <c r="S487" s="174">
        <f t="shared" si="22"/>
        <v>0</v>
      </c>
      <c r="T487" s="157"/>
      <c r="U487" s="177">
        <v>-418</v>
      </c>
      <c r="V487" s="157"/>
      <c r="W487" s="157"/>
      <c r="X487" s="176">
        <f t="shared" si="23"/>
        <v>-418</v>
      </c>
      <c r="Y487" s="184"/>
      <c r="Z487" s="179"/>
      <c r="AA487" s="157"/>
      <c r="AB487" s="157"/>
      <c r="AC487" s="157"/>
    </row>
    <row r="488" spans="1:29" ht="12" customHeight="1" outlineLevel="1">
      <c r="A488" s="170" t="s">
        <v>302</v>
      </c>
      <c r="B488" s="157" t="s">
        <v>303</v>
      </c>
      <c r="C488" s="171">
        <v>42858</v>
      </c>
      <c r="D488" s="178"/>
      <c r="E488" s="157" t="s">
        <v>304</v>
      </c>
      <c r="F488" s="223" t="s">
        <v>305</v>
      </c>
      <c r="G488" s="223"/>
      <c r="H488" s="224" t="s">
        <v>306</v>
      </c>
      <c r="I488" s="157"/>
      <c r="J488" s="172"/>
      <c r="K488" s="157"/>
      <c r="L488" s="223" t="s">
        <v>296</v>
      </c>
      <c r="M488" s="173"/>
      <c r="N488" s="173"/>
      <c r="O488" s="157" t="s">
        <v>308</v>
      </c>
      <c r="P488" s="158"/>
      <c r="Q488" s="185"/>
      <c r="R488" s="175"/>
      <c r="S488" s="174">
        <f t="shared" si="22"/>
        <v>0</v>
      </c>
      <c r="T488" s="157"/>
      <c r="U488" s="177">
        <v>-375</v>
      </c>
      <c r="V488" s="157"/>
      <c r="W488" s="157"/>
      <c r="X488" s="176">
        <f t="shared" si="23"/>
        <v>-375</v>
      </c>
      <c r="Y488" s="184"/>
      <c r="Z488" s="179"/>
      <c r="AA488" s="157"/>
      <c r="AB488" s="157"/>
      <c r="AC488" s="157"/>
    </row>
    <row r="489" spans="1:29" ht="12" customHeight="1" outlineLevel="1">
      <c r="A489" s="170" t="s">
        <v>302</v>
      </c>
      <c r="B489" s="157" t="s">
        <v>303</v>
      </c>
      <c r="C489" s="171">
        <v>42858</v>
      </c>
      <c r="D489" s="178"/>
      <c r="E489" s="157" t="s">
        <v>697</v>
      </c>
      <c r="F489" s="223" t="s">
        <v>305</v>
      </c>
      <c r="G489" s="223"/>
      <c r="H489" s="224" t="s">
        <v>306</v>
      </c>
      <c r="I489" s="157"/>
      <c r="J489" s="172"/>
      <c r="K489" s="157"/>
      <c r="L489" s="223" t="s">
        <v>296</v>
      </c>
      <c r="M489" s="173"/>
      <c r="N489" s="173"/>
      <c r="O489" s="157" t="s">
        <v>307</v>
      </c>
      <c r="P489" s="158"/>
      <c r="Q489" s="185"/>
      <c r="R489" s="175"/>
      <c r="S489" s="174">
        <f t="shared" si="22"/>
        <v>0</v>
      </c>
      <c r="T489" s="157"/>
      <c r="U489" s="177">
        <v>-10.98</v>
      </c>
      <c r="V489" s="157"/>
      <c r="W489" s="157"/>
      <c r="X489" s="176">
        <f t="shared" si="23"/>
        <v>-10.98</v>
      </c>
      <c r="Y489" s="184"/>
      <c r="Z489" s="179"/>
      <c r="AA489" s="157"/>
      <c r="AB489" s="157"/>
      <c r="AC489" s="157"/>
    </row>
    <row r="490" spans="1:29" ht="12" customHeight="1" outlineLevel="1">
      <c r="A490" s="170" t="s">
        <v>302</v>
      </c>
      <c r="B490" s="157" t="s">
        <v>303</v>
      </c>
      <c r="C490" s="171">
        <v>42858</v>
      </c>
      <c r="D490" s="178"/>
      <c r="E490" s="157" t="s">
        <v>698</v>
      </c>
      <c r="F490" s="223" t="s">
        <v>305</v>
      </c>
      <c r="G490" s="223"/>
      <c r="H490" s="224" t="s">
        <v>306</v>
      </c>
      <c r="I490" s="157"/>
      <c r="J490" s="172"/>
      <c r="K490" s="157"/>
      <c r="L490" s="223" t="s">
        <v>296</v>
      </c>
      <c r="M490" s="173"/>
      <c r="N490" s="173"/>
      <c r="O490" s="157" t="s">
        <v>307</v>
      </c>
      <c r="P490" s="158"/>
      <c r="Q490" s="185"/>
      <c r="R490" s="175"/>
      <c r="S490" s="174">
        <f t="shared" si="22"/>
        <v>0</v>
      </c>
      <c r="T490" s="157"/>
      <c r="U490" s="177">
        <v>-76.319999999999993</v>
      </c>
      <c r="V490" s="157"/>
      <c r="W490" s="157"/>
      <c r="X490" s="176">
        <f t="shared" si="23"/>
        <v>-76.319999999999993</v>
      </c>
      <c r="Y490" s="184"/>
      <c r="Z490" s="179"/>
      <c r="AA490" s="157"/>
      <c r="AB490" s="157"/>
      <c r="AC490" s="157"/>
    </row>
    <row r="491" spans="1:29" ht="12" customHeight="1" outlineLevel="1">
      <c r="A491" s="170" t="s">
        <v>302</v>
      </c>
      <c r="B491" s="157" t="s">
        <v>303</v>
      </c>
      <c r="C491" s="171">
        <v>42858</v>
      </c>
      <c r="D491" s="178"/>
      <c r="E491" s="157" t="s">
        <v>699</v>
      </c>
      <c r="F491" s="223" t="s">
        <v>305</v>
      </c>
      <c r="G491" s="223"/>
      <c r="H491" s="224" t="s">
        <v>306</v>
      </c>
      <c r="I491" s="157"/>
      <c r="J491" s="172"/>
      <c r="K491" s="157"/>
      <c r="L491" s="223" t="s">
        <v>296</v>
      </c>
      <c r="M491" s="173"/>
      <c r="N491" s="173"/>
      <c r="O491" s="157" t="s">
        <v>307</v>
      </c>
      <c r="P491" s="158"/>
      <c r="Q491" s="185"/>
      <c r="R491" s="175"/>
      <c r="S491" s="174">
        <f t="shared" si="22"/>
        <v>0</v>
      </c>
      <c r="T491" s="157"/>
      <c r="U491" s="177">
        <v>-19.28</v>
      </c>
      <c r="V491" s="157"/>
      <c r="W491" s="157"/>
      <c r="X491" s="176">
        <f t="shared" si="23"/>
        <v>-19.28</v>
      </c>
      <c r="Y491" s="184"/>
      <c r="Z491" s="179"/>
      <c r="AA491" s="157"/>
      <c r="AB491" s="157"/>
      <c r="AC491" s="157"/>
    </row>
    <row r="492" spans="1:29" ht="12" customHeight="1" outlineLevel="1">
      <c r="A492" s="170" t="s">
        <v>302</v>
      </c>
      <c r="B492" s="157" t="s">
        <v>303</v>
      </c>
      <c r="C492" s="171">
        <v>42858</v>
      </c>
      <c r="D492" s="178"/>
      <c r="E492" s="157" t="s">
        <v>700</v>
      </c>
      <c r="F492" s="223" t="s">
        <v>305</v>
      </c>
      <c r="G492" s="223"/>
      <c r="H492" s="224" t="s">
        <v>306</v>
      </c>
      <c r="I492" s="157" t="s">
        <v>1009</v>
      </c>
      <c r="J492" s="157" t="s">
        <v>1009</v>
      </c>
      <c r="K492" s="157" t="s">
        <v>1009</v>
      </c>
      <c r="L492" s="223" t="s">
        <v>296</v>
      </c>
      <c r="M492" s="173"/>
      <c r="N492" s="173"/>
      <c r="O492" s="157" t="s">
        <v>271</v>
      </c>
      <c r="P492" s="158">
        <v>1159.69</v>
      </c>
      <c r="Q492" s="185"/>
      <c r="R492" s="175"/>
      <c r="S492" s="174">
        <f t="shared" si="22"/>
        <v>1159.69</v>
      </c>
      <c r="T492" s="157"/>
      <c r="U492" s="177"/>
      <c r="V492" s="157"/>
      <c r="W492" s="157"/>
      <c r="X492" s="176">
        <f t="shared" si="23"/>
        <v>0</v>
      </c>
      <c r="Y492" s="184"/>
      <c r="Z492" s="179"/>
      <c r="AA492" s="157"/>
      <c r="AB492" s="157"/>
      <c r="AC492" s="157"/>
    </row>
    <row r="493" spans="1:29" ht="12" customHeight="1" outlineLevel="1">
      <c r="A493" s="170" t="s">
        <v>302</v>
      </c>
      <c r="B493" s="157" t="s">
        <v>303</v>
      </c>
      <c r="C493" s="171">
        <v>42858</v>
      </c>
      <c r="D493" s="178"/>
      <c r="E493" s="157" t="s">
        <v>701</v>
      </c>
      <c r="F493" s="223" t="s">
        <v>305</v>
      </c>
      <c r="G493" s="223"/>
      <c r="H493" s="224" t="s">
        <v>306</v>
      </c>
      <c r="I493" s="157" t="s">
        <v>1009</v>
      </c>
      <c r="J493" s="157" t="s">
        <v>1009</v>
      </c>
      <c r="K493" s="157" t="s">
        <v>1009</v>
      </c>
      <c r="L493" s="223" t="s">
        <v>296</v>
      </c>
      <c r="M493" s="173"/>
      <c r="N493" s="173"/>
      <c r="O493" s="157" t="s">
        <v>271</v>
      </c>
      <c r="P493" s="158">
        <v>289.10000000000002</v>
      </c>
      <c r="Q493" s="185"/>
      <c r="R493" s="175"/>
      <c r="S493" s="174">
        <f t="shared" si="22"/>
        <v>289.10000000000002</v>
      </c>
      <c r="T493" s="157"/>
      <c r="U493" s="177"/>
      <c r="V493" s="157"/>
      <c r="W493" s="157"/>
      <c r="X493" s="176">
        <f t="shared" si="23"/>
        <v>0</v>
      </c>
      <c r="Y493" s="184"/>
      <c r="Z493" s="179"/>
      <c r="AA493" s="157"/>
      <c r="AB493" s="157"/>
      <c r="AC493" s="157"/>
    </row>
    <row r="494" spans="1:29" ht="12" customHeight="1" outlineLevel="1">
      <c r="A494" s="170" t="s">
        <v>302</v>
      </c>
      <c r="B494" s="157" t="s">
        <v>303</v>
      </c>
      <c r="C494" s="171">
        <v>42859</v>
      </c>
      <c r="D494" s="178"/>
      <c r="E494" s="157" t="s">
        <v>702</v>
      </c>
      <c r="F494" s="223" t="s">
        <v>305</v>
      </c>
      <c r="G494" s="223"/>
      <c r="H494" s="224" t="s">
        <v>306</v>
      </c>
      <c r="I494" s="157"/>
      <c r="J494" s="172"/>
      <c r="K494" s="157"/>
      <c r="L494" s="223" t="s">
        <v>296</v>
      </c>
      <c r="M494" s="173"/>
      <c r="N494" s="173"/>
      <c r="O494" s="157" t="s">
        <v>307</v>
      </c>
      <c r="P494" s="158"/>
      <c r="Q494" s="185"/>
      <c r="R494" s="175"/>
      <c r="S494" s="174">
        <f t="shared" si="22"/>
        <v>0</v>
      </c>
      <c r="T494" s="157"/>
      <c r="U494" s="177">
        <v>-13.86</v>
      </c>
      <c r="V494" s="157"/>
      <c r="W494" s="157"/>
      <c r="X494" s="176">
        <f t="shared" si="23"/>
        <v>-13.86</v>
      </c>
      <c r="Y494" s="184"/>
      <c r="Z494" s="179"/>
      <c r="AA494" s="157"/>
      <c r="AB494" s="157"/>
      <c r="AC494" s="157"/>
    </row>
    <row r="495" spans="1:29" ht="12" customHeight="1" outlineLevel="1">
      <c r="A495" s="170" t="s">
        <v>302</v>
      </c>
      <c r="B495" s="157" t="s">
        <v>303</v>
      </c>
      <c r="C495" s="171">
        <v>42859</v>
      </c>
      <c r="D495" s="178"/>
      <c r="E495" s="157" t="s">
        <v>703</v>
      </c>
      <c r="F495" s="223" t="s">
        <v>305</v>
      </c>
      <c r="G495" s="223"/>
      <c r="H495" s="224" t="s">
        <v>306</v>
      </c>
      <c r="I495" s="157"/>
      <c r="J495" s="172"/>
      <c r="K495" s="157"/>
      <c r="L495" s="223" t="s">
        <v>296</v>
      </c>
      <c r="M495" s="173"/>
      <c r="N495" s="173"/>
      <c r="O495" s="157" t="s">
        <v>307</v>
      </c>
      <c r="P495" s="158"/>
      <c r="Q495" s="185"/>
      <c r="R495" s="175"/>
      <c r="S495" s="174">
        <f t="shared" si="22"/>
        <v>0</v>
      </c>
      <c r="T495" s="157"/>
      <c r="U495" s="177">
        <v>-15.65</v>
      </c>
      <c r="V495" s="157"/>
      <c r="W495" s="157"/>
      <c r="X495" s="176">
        <f t="shared" si="23"/>
        <v>-15.65</v>
      </c>
      <c r="Y495" s="184"/>
      <c r="Z495" s="179"/>
      <c r="AA495" s="157"/>
      <c r="AB495" s="157"/>
      <c r="AC495" s="157"/>
    </row>
    <row r="496" spans="1:29" ht="12" customHeight="1" outlineLevel="1">
      <c r="A496" s="170" t="s">
        <v>302</v>
      </c>
      <c r="B496" s="157" t="s">
        <v>303</v>
      </c>
      <c r="C496" s="171">
        <v>42859</v>
      </c>
      <c r="D496" s="178"/>
      <c r="E496" s="157" t="s">
        <v>704</v>
      </c>
      <c r="F496" s="223" t="s">
        <v>305</v>
      </c>
      <c r="G496" s="223"/>
      <c r="H496" s="224" t="s">
        <v>306</v>
      </c>
      <c r="I496" s="157"/>
      <c r="J496" s="172"/>
      <c r="K496" s="157"/>
      <c r="L496" s="223" t="s">
        <v>296</v>
      </c>
      <c r="M496" s="173"/>
      <c r="N496" s="173"/>
      <c r="O496" s="157" t="s">
        <v>307</v>
      </c>
      <c r="P496" s="158"/>
      <c r="Q496" s="185"/>
      <c r="R496" s="175"/>
      <c r="S496" s="174">
        <f t="shared" si="22"/>
        <v>0</v>
      </c>
      <c r="T496" s="157"/>
      <c r="U496" s="177">
        <v>-333.33</v>
      </c>
      <c r="V496" s="157"/>
      <c r="W496" s="157"/>
      <c r="X496" s="176">
        <f t="shared" si="23"/>
        <v>-333.33</v>
      </c>
      <c r="Y496" s="184"/>
      <c r="Z496" s="179"/>
      <c r="AA496" s="157"/>
      <c r="AB496" s="157"/>
      <c r="AC496" s="157"/>
    </row>
    <row r="497" spans="1:29" ht="12" customHeight="1" outlineLevel="1">
      <c r="A497" s="170" t="s">
        <v>302</v>
      </c>
      <c r="B497" s="157" t="s">
        <v>303</v>
      </c>
      <c r="C497" s="171">
        <v>42859</v>
      </c>
      <c r="D497" s="178"/>
      <c r="E497" s="157" t="s">
        <v>705</v>
      </c>
      <c r="F497" s="223" t="s">
        <v>305</v>
      </c>
      <c r="G497" s="223"/>
      <c r="H497" s="224" t="s">
        <v>306</v>
      </c>
      <c r="I497" s="157"/>
      <c r="J497" s="172"/>
      <c r="K497" s="157"/>
      <c r="L497" s="223" t="s">
        <v>296</v>
      </c>
      <c r="M497" s="173"/>
      <c r="N497" s="173"/>
      <c r="O497" s="157" t="s">
        <v>307</v>
      </c>
      <c r="P497" s="158"/>
      <c r="Q497" s="185"/>
      <c r="R497" s="175"/>
      <c r="S497" s="174">
        <f t="shared" si="22"/>
        <v>0</v>
      </c>
      <c r="T497" s="157"/>
      <c r="U497" s="177">
        <v>-237.91</v>
      </c>
      <c r="V497" s="157"/>
      <c r="W497" s="157"/>
      <c r="X497" s="176">
        <f t="shared" si="23"/>
        <v>-237.91</v>
      </c>
      <c r="Y497" s="184"/>
      <c r="Z497" s="179"/>
      <c r="AA497" s="157"/>
      <c r="AB497" s="157"/>
      <c r="AC497" s="157"/>
    </row>
    <row r="498" spans="1:29" ht="12" customHeight="1" outlineLevel="1">
      <c r="A498" s="170" t="s">
        <v>302</v>
      </c>
      <c r="B498" s="157" t="s">
        <v>303</v>
      </c>
      <c r="C498" s="171">
        <v>42859</v>
      </c>
      <c r="D498" s="178"/>
      <c r="E498" s="157" t="s">
        <v>706</v>
      </c>
      <c r="F498" s="223" t="s">
        <v>305</v>
      </c>
      <c r="G498" s="223"/>
      <c r="H498" s="224" t="s">
        <v>306</v>
      </c>
      <c r="I498" s="157"/>
      <c r="J498" s="172"/>
      <c r="K498" s="157"/>
      <c r="L498" s="223" t="s">
        <v>296</v>
      </c>
      <c r="M498" s="173"/>
      <c r="N498" s="173"/>
      <c r="O498" s="157" t="s">
        <v>307</v>
      </c>
      <c r="P498" s="158"/>
      <c r="Q498" s="185"/>
      <c r="R498" s="175"/>
      <c r="S498" s="174">
        <f t="shared" si="22"/>
        <v>0</v>
      </c>
      <c r="T498" s="157"/>
      <c r="U498" s="177">
        <v>-8.5399999999999991</v>
      </c>
      <c r="V498" s="157"/>
      <c r="W498" s="157"/>
      <c r="X498" s="176">
        <f t="shared" si="23"/>
        <v>-8.5399999999999991</v>
      </c>
      <c r="Y498" s="184"/>
      <c r="Z498" s="179"/>
      <c r="AA498" s="157"/>
      <c r="AB498" s="157"/>
      <c r="AC498" s="157"/>
    </row>
    <row r="499" spans="1:29" ht="12" customHeight="1" outlineLevel="1">
      <c r="A499" s="170" t="s">
        <v>302</v>
      </c>
      <c r="B499" s="157" t="s">
        <v>303</v>
      </c>
      <c r="C499" s="171">
        <v>42859</v>
      </c>
      <c r="D499" s="178"/>
      <c r="E499" s="157" t="s">
        <v>707</v>
      </c>
      <c r="F499" s="223" t="s">
        <v>305</v>
      </c>
      <c r="G499" s="223"/>
      <c r="H499" s="224" t="s">
        <v>306</v>
      </c>
      <c r="I499" s="157" t="s">
        <v>1009</v>
      </c>
      <c r="J499" s="157" t="s">
        <v>1009</v>
      </c>
      <c r="K499" s="157" t="s">
        <v>1009</v>
      </c>
      <c r="L499" s="223" t="s">
        <v>296</v>
      </c>
      <c r="M499" s="173"/>
      <c r="N499" s="173"/>
      <c r="O499" s="157" t="s">
        <v>271</v>
      </c>
      <c r="P499" s="158">
        <v>1000</v>
      </c>
      <c r="Q499" s="185"/>
      <c r="R499" s="175"/>
      <c r="S499" s="174">
        <f t="shared" si="22"/>
        <v>1000</v>
      </c>
      <c r="T499" s="157"/>
      <c r="U499" s="177"/>
      <c r="V499" s="157"/>
      <c r="W499" s="157"/>
      <c r="X499" s="176">
        <f t="shared" si="23"/>
        <v>0</v>
      </c>
      <c r="Y499" s="184"/>
      <c r="Z499" s="179"/>
      <c r="AA499" s="157"/>
      <c r="AB499" s="157"/>
      <c r="AC499" s="157"/>
    </row>
    <row r="500" spans="1:29" ht="12" customHeight="1" outlineLevel="1">
      <c r="A500" s="170" t="s">
        <v>302</v>
      </c>
      <c r="B500" s="157" t="s">
        <v>303</v>
      </c>
      <c r="C500" s="171">
        <v>42860</v>
      </c>
      <c r="D500" s="178"/>
      <c r="E500" s="157" t="s">
        <v>708</v>
      </c>
      <c r="F500" s="223" t="s">
        <v>305</v>
      </c>
      <c r="G500" s="223"/>
      <c r="H500" s="224" t="s">
        <v>306</v>
      </c>
      <c r="I500" s="157"/>
      <c r="J500" s="172"/>
      <c r="K500" s="157"/>
      <c r="L500" s="223" t="s">
        <v>296</v>
      </c>
      <c r="M500" s="173"/>
      <c r="N500" s="173"/>
      <c r="O500" s="157" t="s">
        <v>307</v>
      </c>
      <c r="P500" s="158"/>
      <c r="Q500" s="185"/>
      <c r="R500" s="175"/>
      <c r="S500" s="174">
        <f t="shared" si="22"/>
        <v>0</v>
      </c>
      <c r="T500" s="157"/>
      <c r="U500" s="177">
        <v>-60.27</v>
      </c>
      <c r="V500" s="157"/>
      <c r="W500" s="157"/>
      <c r="X500" s="176">
        <f t="shared" si="23"/>
        <v>-60.27</v>
      </c>
      <c r="Y500" s="184"/>
      <c r="Z500" s="179"/>
      <c r="AA500" s="157"/>
      <c r="AB500" s="157"/>
      <c r="AC500" s="157"/>
    </row>
    <row r="501" spans="1:29" ht="12" customHeight="1" outlineLevel="1">
      <c r="A501" s="170" t="s">
        <v>302</v>
      </c>
      <c r="B501" s="157" t="s">
        <v>303</v>
      </c>
      <c r="C501" s="171">
        <v>42860</v>
      </c>
      <c r="D501" s="178"/>
      <c r="E501" s="157" t="s">
        <v>709</v>
      </c>
      <c r="F501" s="223" t="s">
        <v>305</v>
      </c>
      <c r="G501" s="223"/>
      <c r="H501" s="224" t="s">
        <v>306</v>
      </c>
      <c r="I501" s="157"/>
      <c r="J501" s="172"/>
      <c r="K501" s="157"/>
      <c r="L501" s="223" t="s">
        <v>296</v>
      </c>
      <c r="M501" s="173"/>
      <c r="N501" s="173"/>
      <c r="O501" s="157" t="s">
        <v>307</v>
      </c>
      <c r="P501" s="158"/>
      <c r="Q501" s="185"/>
      <c r="R501" s="175"/>
      <c r="S501" s="174">
        <f t="shared" si="22"/>
        <v>0</v>
      </c>
      <c r="T501" s="157"/>
      <c r="U501" s="177">
        <v>-38.76</v>
      </c>
      <c r="V501" s="157"/>
      <c r="W501" s="157"/>
      <c r="X501" s="176">
        <f t="shared" si="23"/>
        <v>-38.76</v>
      </c>
      <c r="Y501" s="184"/>
      <c r="Z501" s="179"/>
      <c r="AA501" s="157"/>
      <c r="AB501" s="157"/>
      <c r="AC501" s="157"/>
    </row>
    <row r="502" spans="1:29" ht="12" customHeight="1" outlineLevel="1">
      <c r="A502" s="170" t="s">
        <v>302</v>
      </c>
      <c r="B502" s="157" t="s">
        <v>303</v>
      </c>
      <c r="C502" s="171">
        <v>42860</v>
      </c>
      <c r="D502" s="178"/>
      <c r="E502" s="157" t="s">
        <v>710</v>
      </c>
      <c r="F502" s="223" t="s">
        <v>305</v>
      </c>
      <c r="G502" s="223"/>
      <c r="H502" s="224" t="s">
        <v>306</v>
      </c>
      <c r="I502" s="157" t="s">
        <v>1009</v>
      </c>
      <c r="J502" s="157" t="s">
        <v>1009</v>
      </c>
      <c r="K502" s="157" t="s">
        <v>1009</v>
      </c>
      <c r="L502" s="223" t="s">
        <v>296</v>
      </c>
      <c r="M502" s="173"/>
      <c r="N502" s="173"/>
      <c r="O502" s="157" t="s">
        <v>271</v>
      </c>
      <c r="P502" s="158">
        <v>1301.8499999999999</v>
      </c>
      <c r="Q502" s="185"/>
      <c r="R502" s="175"/>
      <c r="S502" s="174">
        <f t="shared" si="22"/>
        <v>1301.8499999999999</v>
      </c>
      <c r="T502" s="157"/>
      <c r="U502" s="177"/>
      <c r="V502" s="157"/>
      <c r="W502" s="157"/>
      <c r="X502" s="176">
        <f t="shared" si="23"/>
        <v>0</v>
      </c>
      <c r="Y502" s="184"/>
      <c r="Z502" s="179"/>
      <c r="AA502" s="157"/>
      <c r="AB502" s="157"/>
      <c r="AC502" s="157"/>
    </row>
    <row r="503" spans="1:29" ht="12" customHeight="1" outlineLevel="1">
      <c r="A503" s="170" t="s">
        <v>302</v>
      </c>
      <c r="B503" s="157" t="s">
        <v>303</v>
      </c>
      <c r="C503" s="171">
        <v>42863</v>
      </c>
      <c r="D503" s="178"/>
      <c r="E503" s="157" t="s">
        <v>304</v>
      </c>
      <c r="F503" s="223" t="s">
        <v>305</v>
      </c>
      <c r="G503" s="223"/>
      <c r="H503" s="224" t="s">
        <v>306</v>
      </c>
      <c r="I503" s="157"/>
      <c r="J503" s="172"/>
      <c r="K503" s="157"/>
      <c r="L503" s="223" t="s">
        <v>296</v>
      </c>
      <c r="M503" s="173"/>
      <c r="N503" s="173"/>
      <c r="O503" s="157" t="s">
        <v>308</v>
      </c>
      <c r="P503" s="158"/>
      <c r="Q503" s="185"/>
      <c r="R503" s="175"/>
      <c r="S503" s="174">
        <f t="shared" si="22"/>
        <v>0</v>
      </c>
      <c r="T503" s="157"/>
      <c r="U503" s="177">
        <v>-573</v>
      </c>
      <c r="V503" s="157"/>
      <c r="W503" s="157"/>
      <c r="X503" s="176">
        <f t="shared" si="23"/>
        <v>-573</v>
      </c>
      <c r="Y503" s="184"/>
      <c r="Z503" s="179"/>
      <c r="AA503" s="157"/>
      <c r="AB503" s="157"/>
      <c r="AC503" s="157"/>
    </row>
    <row r="504" spans="1:29" ht="12" customHeight="1" outlineLevel="1">
      <c r="A504" s="170" t="s">
        <v>302</v>
      </c>
      <c r="B504" s="157" t="s">
        <v>303</v>
      </c>
      <c r="C504" s="171">
        <v>42863</v>
      </c>
      <c r="D504" s="178"/>
      <c r="E504" s="157" t="s">
        <v>304</v>
      </c>
      <c r="F504" s="223" t="s">
        <v>305</v>
      </c>
      <c r="G504" s="223"/>
      <c r="H504" s="224" t="s">
        <v>306</v>
      </c>
      <c r="I504" s="157"/>
      <c r="J504" s="172"/>
      <c r="K504" s="157"/>
      <c r="L504" s="223" t="s">
        <v>296</v>
      </c>
      <c r="M504" s="173"/>
      <c r="N504" s="173"/>
      <c r="O504" s="157" t="s">
        <v>308</v>
      </c>
      <c r="P504" s="158"/>
      <c r="Q504" s="185"/>
      <c r="R504" s="175"/>
      <c r="S504" s="174">
        <f t="shared" si="22"/>
        <v>0</v>
      </c>
      <c r="T504" s="157"/>
      <c r="U504" s="177">
        <v>-346.5</v>
      </c>
      <c r="V504" s="157"/>
      <c r="W504" s="157"/>
      <c r="X504" s="176">
        <f t="shared" si="23"/>
        <v>-346.5</v>
      </c>
      <c r="Y504" s="184"/>
      <c r="Z504" s="179"/>
      <c r="AA504" s="157"/>
      <c r="AB504" s="157"/>
      <c r="AC504" s="157"/>
    </row>
    <row r="505" spans="1:29" ht="12" customHeight="1" outlineLevel="1">
      <c r="A505" s="170" t="s">
        <v>302</v>
      </c>
      <c r="B505" s="157" t="s">
        <v>303</v>
      </c>
      <c r="C505" s="171">
        <v>42863</v>
      </c>
      <c r="D505" s="178"/>
      <c r="E505" s="157" t="s">
        <v>711</v>
      </c>
      <c r="F505" s="223" t="s">
        <v>305</v>
      </c>
      <c r="G505" s="223"/>
      <c r="H505" s="224" t="s">
        <v>306</v>
      </c>
      <c r="I505" s="157"/>
      <c r="J505" s="172"/>
      <c r="K505" s="157"/>
      <c r="L505" s="223" t="s">
        <v>296</v>
      </c>
      <c r="M505" s="173"/>
      <c r="N505" s="173"/>
      <c r="O505" s="157" t="s">
        <v>307</v>
      </c>
      <c r="P505" s="158"/>
      <c r="Q505" s="185"/>
      <c r="R505" s="175"/>
      <c r="S505" s="174">
        <f t="shared" si="22"/>
        <v>0</v>
      </c>
      <c r="T505" s="157"/>
      <c r="U505" s="177">
        <v>-9.1199999999999992</v>
      </c>
      <c r="V505" s="157"/>
      <c r="W505" s="157"/>
      <c r="X505" s="176">
        <f t="shared" si="23"/>
        <v>-9.1199999999999992</v>
      </c>
      <c r="Y505" s="184"/>
      <c r="Z505" s="179"/>
      <c r="AA505" s="157"/>
      <c r="AB505" s="157"/>
      <c r="AC505" s="157"/>
    </row>
    <row r="506" spans="1:29" ht="12" customHeight="1" outlineLevel="1">
      <c r="A506" s="170" t="s">
        <v>302</v>
      </c>
      <c r="B506" s="157" t="s">
        <v>303</v>
      </c>
      <c r="C506" s="171">
        <v>42863</v>
      </c>
      <c r="D506" s="178"/>
      <c r="E506" s="157" t="s">
        <v>712</v>
      </c>
      <c r="F506" s="223" t="s">
        <v>305</v>
      </c>
      <c r="G506" s="223"/>
      <c r="H506" s="224" t="s">
        <v>306</v>
      </c>
      <c r="I506" s="157"/>
      <c r="J506" s="172"/>
      <c r="K506" s="157"/>
      <c r="L506" s="223" t="s">
        <v>296</v>
      </c>
      <c r="M506" s="173"/>
      <c r="N506" s="173"/>
      <c r="O506" s="157" t="s">
        <v>307</v>
      </c>
      <c r="P506" s="158"/>
      <c r="Q506" s="185"/>
      <c r="R506" s="175"/>
      <c r="S506" s="174">
        <f t="shared" si="22"/>
        <v>0</v>
      </c>
      <c r="T506" s="157"/>
      <c r="U506" s="177">
        <v>-19.28</v>
      </c>
      <c r="V506" s="157"/>
      <c r="W506" s="157"/>
      <c r="X506" s="176">
        <f t="shared" si="23"/>
        <v>-19.28</v>
      </c>
      <c r="Y506" s="184"/>
      <c r="Z506" s="179"/>
      <c r="AA506" s="157"/>
      <c r="AB506" s="157"/>
      <c r="AC506" s="157"/>
    </row>
    <row r="507" spans="1:29" ht="12" customHeight="1" outlineLevel="1">
      <c r="A507" s="170" t="s">
        <v>302</v>
      </c>
      <c r="B507" s="157" t="s">
        <v>303</v>
      </c>
      <c r="C507" s="171">
        <v>42863</v>
      </c>
      <c r="D507" s="178"/>
      <c r="E507" s="157" t="s">
        <v>713</v>
      </c>
      <c r="F507" s="223" t="s">
        <v>305</v>
      </c>
      <c r="G507" s="223"/>
      <c r="H507" s="224" t="s">
        <v>306</v>
      </c>
      <c r="I507" s="157"/>
      <c r="J507" s="172"/>
      <c r="K507" s="157"/>
      <c r="L507" s="223" t="s">
        <v>296</v>
      </c>
      <c r="M507" s="173"/>
      <c r="N507" s="173"/>
      <c r="O507" s="157" t="s">
        <v>307</v>
      </c>
      <c r="P507" s="158"/>
      <c r="Q507" s="185"/>
      <c r="R507" s="175"/>
      <c r="S507" s="174">
        <f t="shared" si="22"/>
        <v>0</v>
      </c>
      <c r="T507" s="157"/>
      <c r="U507" s="177">
        <v>-54.42</v>
      </c>
      <c r="V507" s="157"/>
      <c r="W507" s="157"/>
      <c r="X507" s="176">
        <f t="shared" si="23"/>
        <v>-54.42</v>
      </c>
      <c r="Y507" s="184"/>
      <c r="Z507" s="179"/>
      <c r="AA507" s="157"/>
      <c r="AB507" s="157"/>
      <c r="AC507" s="157"/>
    </row>
    <row r="508" spans="1:29" ht="12" customHeight="1" outlineLevel="1">
      <c r="A508" s="170" t="s">
        <v>302</v>
      </c>
      <c r="B508" s="157" t="s">
        <v>303</v>
      </c>
      <c r="C508" s="171">
        <v>42863</v>
      </c>
      <c r="D508" s="178"/>
      <c r="E508" s="157" t="s">
        <v>714</v>
      </c>
      <c r="F508" s="223" t="s">
        <v>305</v>
      </c>
      <c r="G508" s="223"/>
      <c r="H508" s="224" t="s">
        <v>306</v>
      </c>
      <c r="I508" s="157"/>
      <c r="J508" s="172"/>
      <c r="K508" s="157"/>
      <c r="L508" s="223" t="s">
        <v>296</v>
      </c>
      <c r="M508" s="173"/>
      <c r="N508" s="173"/>
      <c r="O508" s="157" t="s">
        <v>307</v>
      </c>
      <c r="P508" s="158"/>
      <c r="Q508" s="185"/>
      <c r="R508" s="175"/>
      <c r="S508" s="174">
        <f t="shared" si="22"/>
        <v>0</v>
      </c>
      <c r="T508" s="157"/>
      <c r="U508" s="177">
        <v>-24.47</v>
      </c>
      <c r="V508" s="157"/>
      <c r="W508" s="157"/>
      <c r="X508" s="176">
        <f t="shared" si="23"/>
        <v>-24.47</v>
      </c>
      <c r="Y508" s="184"/>
      <c r="Z508" s="179"/>
      <c r="AA508" s="157"/>
      <c r="AB508" s="157"/>
      <c r="AC508" s="157"/>
    </row>
    <row r="509" spans="1:29" ht="12" customHeight="1" outlineLevel="1">
      <c r="A509" s="170" t="s">
        <v>302</v>
      </c>
      <c r="B509" s="157" t="s">
        <v>303</v>
      </c>
      <c r="C509" s="171">
        <v>42863</v>
      </c>
      <c r="D509" s="178"/>
      <c r="E509" s="157" t="s">
        <v>715</v>
      </c>
      <c r="F509" s="223" t="s">
        <v>305</v>
      </c>
      <c r="G509" s="223"/>
      <c r="H509" s="224" t="s">
        <v>306</v>
      </c>
      <c r="I509" s="157"/>
      <c r="J509" s="172"/>
      <c r="K509" s="157"/>
      <c r="L509" s="223" t="s">
        <v>296</v>
      </c>
      <c r="M509" s="173"/>
      <c r="N509" s="173"/>
      <c r="O509" s="157" t="s">
        <v>307</v>
      </c>
      <c r="P509" s="158"/>
      <c r="Q509" s="185"/>
      <c r="R509" s="175"/>
      <c r="S509" s="174">
        <f t="shared" si="22"/>
        <v>0</v>
      </c>
      <c r="T509" s="157"/>
      <c r="U509" s="177">
        <v>-86.17</v>
      </c>
      <c r="V509" s="157"/>
      <c r="W509" s="157"/>
      <c r="X509" s="176">
        <f t="shared" si="23"/>
        <v>-86.17</v>
      </c>
      <c r="Y509" s="184"/>
      <c r="Z509" s="179"/>
      <c r="AA509" s="157"/>
      <c r="AB509" s="157"/>
      <c r="AC509" s="157"/>
    </row>
    <row r="510" spans="1:29" ht="12" customHeight="1" outlineLevel="1">
      <c r="A510" s="170" t="s">
        <v>302</v>
      </c>
      <c r="B510" s="157" t="s">
        <v>303</v>
      </c>
      <c r="C510" s="171">
        <v>42863</v>
      </c>
      <c r="D510" s="178"/>
      <c r="E510" s="157" t="s">
        <v>716</v>
      </c>
      <c r="F510" s="223" t="s">
        <v>305</v>
      </c>
      <c r="G510" s="223"/>
      <c r="H510" s="224" t="s">
        <v>306</v>
      </c>
      <c r="I510" s="157"/>
      <c r="J510" s="172"/>
      <c r="K510" s="157"/>
      <c r="L510" s="223" t="s">
        <v>296</v>
      </c>
      <c r="M510" s="173"/>
      <c r="N510" s="173"/>
      <c r="O510" s="157" t="s">
        <v>307</v>
      </c>
      <c r="P510" s="158"/>
      <c r="Q510" s="185"/>
      <c r="R510" s="175"/>
      <c r="S510" s="174">
        <f t="shared" si="22"/>
        <v>0</v>
      </c>
      <c r="T510" s="157"/>
      <c r="U510" s="177">
        <v>-9.91</v>
      </c>
      <c r="V510" s="157"/>
      <c r="W510" s="157"/>
      <c r="X510" s="176">
        <f t="shared" si="23"/>
        <v>-9.91</v>
      </c>
      <c r="Y510" s="184"/>
      <c r="Z510" s="179"/>
      <c r="AA510" s="157"/>
      <c r="AB510" s="157"/>
      <c r="AC510" s="157"/>
    </row>
    <row r="511" spans="1:29" ht="12" customHeight="1" outlineLevel="1">
      <c r="A511" s="170" t="s">
        <v>302</v>
      </c>
      <c r="B511" s="157" t="s">
        <v>303</v>
      </c>
      <c r="C511" s="171">
        <v>42863</v>
      </c>
      <c r="D511" s="178"/>
      <c r="E511" s="157" t="s">
        <v>717</v>
      </c>
      <c r="F511" s="223" t="s">
        <v>305</v>
      </c>
      <c r="G511" s="223"/>
      <c r="H511" s="224" t="s">
        <v>306</v>
      </c>
      <c r="I511" s="157"/>
      <c r="J511" s="172"/>
      <c r="K511" s="157"/>
      <c r="L511" s="223" t="s">
        <v>296</v>
      </c>
      <c r="M511" s="173"/>
      <c r="N511" s="173"/>
      <c r="O511" s="157" t="s">
        <v>307</v>
      </c>
      <c r="P511" s="158"/>
      <c r="Q511" s="185"/>
      <c r="R511" s="175"/>
      <c r="S511" s="174">
        <f t="shared" si="22"/>
        <v>0</v>
      </c>
      <c r="T511" s="157"/>
      <c r="U511" s="177">
        <v>-8.5399999999999991</v>
      </c>
      <c r="V511" s="157"/>
      <c r="W511" s="157"/>
      <c r="X511" s="176">
        <f t="shared" si="23"/>
        <v>-8.5399999999999991</v>
      </c>
      <c r="Y511" s="184"/>
      <c r="Z511" s="179"/>
      <c r="AA511" s="157"/>
      <c r="AB511" s="157"/>
      <c r="AC511" s="157"/>
    </row>
    <row r="512" spans="1:29" ht="12" customHeight="1" outlineLevel="1">
      <c r="A512" s="170" t="s">
        <v>302</v>
      </c>
      <c r="B512" s="157" t="s">
        <v>303</v>
      </c>
      <c r="C512" s="171">
        <v>42863</v>
      </c>
      <c r="D512" s="178"/>
      <c r="E512" s="157" t="s">
        <v>718</v>
      </c>
      <c r="F512" s="223" t="s">
        <v>305</v>
      </c>
      <c r="G512" s="223"/>
      <c r="H512" s="224" t="s">
        <v>306</v>
      </c>
      <c r="I512" s="157" t="s">
        <v>1009</v>
      </c>
      <c r="J512" s="157" t="s">
        <v>1009</v>
      </c>
      <c r="K512" s="157" t="s">
        <v>1009</v>
      </c>
      <c r="L512" s="223" t="s">
        <v>296</v>
      </c>
      <c r="M512" s="173"/>
      <c r="N512" s="173"/>
      <c r="O512" s="157" t="s">
        <v>271</v>
      </c>
      <c r="P512" s="158">
        <v>2499.9</v>
      </c>
      <c r="Q512" s="185"/>
      <c r="R512" s="175"/>
      <c r="S512" s="174">
        <f t="shared" si="22"/>
        <v>2499.9</v>
      </c>
      <c r="T512" s="157"/>
      <c r="U512" s="177"/>
      <c r="V512" s="157"/>
      <c r="W512" s="157"/>
      <c r="X512" s="176">
        <f t="shared" si="23"/>
        <v>0</v>
      </c>
      <c r="Y512" s="184"/>
      <c r="Z512" s="179"/>
      <c r="AA512" s="157"/>
      <c r="AB512" s="157"/>
      <c r="AC512" s="157"/>
    </row>
    <row r="513" spans="1:29" ht="12" customHeight="1" outlineLevel="1">
      <c r="A513" s="170" t="s">
        <v>302</v>
      </c>
      <c r="B513" s="157" t="s">
        <v>303</v>
      </c>
      <c r="C513" s="171">
        <v>42863</v>
      </c>
      <c r="D513" s="178"/>
      <c r="E513" s="157" t="s">
        <v>719</v>
      </c>
      <c r="F513" s="223" t="s">
        <v>305</v>
      </c>
      <c r="G513" s="223"/>
      <c r="H513" s="224" t="s">
        <v>306</v>
      </c>
      <c r="I513" s="157" t="s">
        <v>1009</v>
      </c>
      <c r="J513" s="157" t="s">
        <v>1009</v>
      </c>
      <c r="K513" s="157" t="s">
        <v>1009</v>
      </c>
      <c r="L513" s="223" t="s">
        <v>296</v>
      </c>
      <c r="M513" s="173"/>
      <c r="N513" s="173"/>
      <c r="O513" s="157" t="s">
        <v>271</v>
      </c>
      <c r="P513" s="158">
        <v>1672.04</v>
      </c>
      <c r="Q513" s="185"/>
      <c r="R513" s="175"/>
      <c r="S513" s="174">
        <f t="shared" si="22"/>
        <v>1672.04</v>
      </c>
      <c r="T513" s="157"/>
      <c r="U513" s="177"/>
      <c r="V513" s="157"/>
      <c r="W513" s="157"/>
      <c r="X513" s="176">
        <f t="shared" si="23"/>
        <v>0</v>
      </c>
      <c r="Y513" s="184"/>
      <c r="Z513" s="179"/>
      <c r="AA513" s="157"/>
      <c r="AB513" s="157"/>
      <c r="AC513" s="157"/>
    </row>
    <row r="514" spans="1:29" ht="12" customHeight="1" outlineLevel="1">
      <c r="A514" s="170" t="s">
        <v>302</v>
      </c>
      <c r="B514" s="157" t="s">
        <v>303</v>
      </c>
      <c r="C514" s="171">
        <v>42863</v>
      </c>
      <c r="D514" s="178"/>
      <c r="E514" s="157" t="s">
        <v>720</v>
      </c>
      <c r="F514" s="223" t="s">
        <v>305</v>
      </c>
      <c r="G514" s="223"/>
      <c r="H514" s="224" t="s">
        <v>306</v>
      </c>
      <c r="I514" s="157" t="s">
        <v>1009</v>
      </c>
      <c r="J514" s="157" t="s">
        <v>1009</v>
      </c>
      <c r="K514" s="157" t="s">
        <v>1009</v>
      </c>
      <c r="L514" s="223" t="s">
        <v>296</v>
      </c>
      <c r="M514" s="173"/>
      <c r="N514" s="173"/>
      <c r="O514" s="157" t="s">
        <v>271</v>
      </c>
      <c r="P514" s="158">
        <v>817.96</v>
      </c>
      <c r="Q514" s="185"/>
      <c r="R514" s="175"/>
      <c r="S514" s="174">
        <f t="shared" si="22"/>
        <v>817.96</v>
      </c>
      <c r="T514" s="157"/>
      <c r="U514" s="177"/>
      <c r="V514" s="157"/>
      <c r="W514" s="157"/>
      <c r="X514" s="176">
        <f t="shared" si="23"/>
        <v>0</v>
      </c>
      <c r="Y514" s="184"/>
      <c r="Z514" s="179"/>
      <c r="AA514" s="157"/>
      <c r="AB514" s="157"/>
      <c r="AC514" s="157"/>
    </row>
    <row r="515" spans="1:29" ht="12" customHeight="1" outlineLevel="1">
      <c r="A515" s="170" t="s">
        <v>302</v>
      </c>
      <c r="B515" s="157" t="s">
        <v>303</v>
      </c>
      <c r="C515" s="171">
        <v>42864</v>
      </c>
      <c r="D515" s="178"/>
      <c r="E515" s="157" t="s">
        <v>721</v>
      </c>
      <c r="F515" s="223" t="s">
        <v>305</v>
      </c>
      <c r="G515" s="223"/>
      <c r="H515" s="224" t="s">
        <v>306</v>
      </c>
      <c r="I515" s="157"/>
      <c r="J515" s="172"/>
      <c r="K515" s="157"/>
      <c r="L515" s="223" t="s">
        <v>296</v>
      </c>
      <c r="M515" s="173"/>
      <c r="N515" s="173"/>
      <c r="O515" s="157" t="s">
        <v>307</v>
      </c>
      <c r="P515" s="158"/>
      <c r="Q515" s="185"/>
      <c r="R515" s="175"/>
      <c r="S515" s="174">
        <f t="shared" si="22"/>
        <v>0</v>
      </c>
      <c r="T515" s="157"/>
      <c r="U515" s="177">
        <v>-41.61</v>
      </c>
      <c r="V515" s="157"/>
      <c r="W515" s="157"/>
      <c r="X515" s="176">
        <f t="shared" si="23"/>
        <v>-41.61</v>
      </c>
      <c r="Y515" s="184"/>
      <c r="Z515" s="179"/>
      <c r="AA515" s="157"/>
      <c r="AB515" s="157"/>
      <c r="AC515" s="157"/>
    </row>
    <row r="516" spans="1:29" ht="12" customHeight="1" outlineLevel="1">
      <c r="A516" s="170" t="s">
        <v>302</v>
      </c>
      <c r="B516" s="157" t="s">
        <v>303</v>
      </c>
      <c r="C516" s="171">
        <v>42864</v>
      </c>
      <c r="D516" s="178"/>
      <c r="E516" s="157" t="s">
        <v>722</v>
      </c>
      <c r="F516" s="223" t="s">
        <v>305</v>
      </c>
      <c r="G516" s="223"/>
      <c r="H516" s="224" t="s">
        <v>306</v>
      </c>
      <c r="I516" s="157" t="s">
        <v>1009</v>
      </c>
      <c r="J516" s="157" t="s">
        <v>1009</v>
      </c>
      <c r="K516" s="157" t="s">
        <v>1009</v>
      </c>
      <c r="L516" s="223" t="s">
        <v>296</v>
      </c>
      <c r="M516" s="173"/>
      <c r="N516" s="173"/>
      <c r="O516" s="157" t="s">
        <v>271</v>
      </c>
      <c r="P516" s="158">
        <v>785.32</v>
      </c>
      <c r="Q516" s="185"/>
      <c r="R516" s="175"/>
      <c r="S516" s="174">
        <f t="shared" si="22"/>
        <v>785.32</v>
      </c>
      <c r="T516" s="157"/>
      <c r="U516" s="177"/>
      <c r="V516" s="157"/>
      <c r="W516" s="157"/>
      <c r="X516" s="176">
        <f t="shared" si="23"/>
        <v>0</v>
      </c>
      <c r="Y516" s="184"/>
      <c r="Z516" s="179"/>
      <c r="AA516" s="157"/>
      <c r="AB516" s="157"/>
      <c r="AC516" s="157"/>
    </row>
    <row r="517" spans="1:29" ht="12" customHeight="1" outlineLevel="1">
      <c r="A517" s="170" t="s">
        <v>302</v>
      </c>
      <c r="B517" s="157" t="s">
        <v>303</v>
      </c>
      <c r="C517" s="171">
        <v>42865</v>
      </c>
      <c r="D517" s="178"/>
      <c r="E517" s="157" t="s">
        <v>304</v>
      </c>
      <c r="F517" s="223" t="s">
        <v>305</v>
      </c>
      <c r="G517" s="223"/>
      <c r="H517" s="224" t="s">
        <v>306</v>
      </c>
      <c r="I517" s="157"/>
      <c r="J517" s="172"/>
      <c r="K517" s="157"/>
      <c r="L517" s="223" t="s">
        <v>296</v>
      </c>
      <c r="M517" s="173"/>
      <c r="N517" s="173"/>
      <c r="O517" s="157" t="s">
        <v>308</v>
      </c>
      <c r="P517" s="158"/>
      <c r="Q517" s="185"/>
      <c r="R517" s="175"/>
      <c r="S517" s="174">
        <f t="shared" si="22"/>
        <v>0</v>
      </c>
      <c r="T517" s="157"/>
      <c r="U517" s="177">
        <v>-315.3</v>
      </c>
      <c r="V517" s="157"/>
      <c r="W517" s="157"/>
      <c r="X517" s="176">
        <f t="shared" si="23"/>
        <v>-315.3</v>
      </c>
      <c r="Y517" s="184"/>
      <c r="Z517" s="179"/>
      <c r="AA517" s="157"/>
      <c r="AB517" s="157"/>
      <c r="AC517" s="157"/>
    </row>
    <row r="518" spans="1:29" ht="12" customHeight="1" outlineLevel="1">
      <c r="A518" s="170" t="s">
        <v>302</v>
      </c>
      <c r="B518" s="157" t="s">
        <v>303</v>
      </c>
      <c r="C518" s="171">
        <v>42865</v>
      </c>
      <c r="D518" s="178"/>
      <c r="E518" s="157" t="s">
        <v>723</v>
      </c>
      <c r="F518" s="223" t="s">
        <v>305</v>
      </c>
      <c r="G518" s="223"/>
      <c r="H518" s="224" t="s">
        <v>306</v>
      </c>
      <c r="I518" s="157"/>
      <c r="J518" s="172"/>
      <c r="K518" s="157"/>
      <c r="L518" s="223" t="s">
        <v>296</v>
      </c>
      <c r="M518" s="173"/>
      <c r="N518" s="173"/>
      <c r="O518" s="157" t="s">
        <v>307</v>
      </c>
      <c r="P518" s="158"/>
      <c r="Q518" s="185"/>
      <c r="R518" s="175"/>
      <c r="S518" s="174">
        <f t="shared" si="22"/>
        <v>0</v>
      </c>
      <c r="T518" s="157"/>
      <c r="U518" s="177">
        <v>-100.56</v>
      </c>
      <c r="V518" s="157"/>
      <c r="W518" s="157"/>
      <c r="X518" s="176">
        <f t="shared" si="23"/>
        <v>-100.56</v>
      </c>
      <c r="Y518" s="184"/>
      <c r="Z518" s="179"/>
      <c r="AA518" s="157"/>
      <c r="AB518" s="157"/>
      <c r="AC518" s="157"/>
    </row>
    <row r="519" spans="1:29" ht="12" customHeight="1" outlineLevel="1">
      <c r="A519" s="170" t="s">
        <v>302</v>
      </c>
      <c r="B519" s="157" t="s">
        <v>303</v>
      </c>
      <c r="C519" s="171">
        <v>42865</v>
      </c>
      <c r="D519" s="178"/>
      <c r="E519" s="157" t="s">
        <v>724</v>
      </c>
      <c r="F519" s="223" t="s">
        <v>305</v>
      </c>
      <c r="G519" s="223"/>
      <c r="H519" s="224" t="s">
        <v>306</v>
      </c>
      <c r="I519" s="157" t="s">
        <v>1009</v>
      </c>
      <c r="J519" s="157" t="s">
        <v>1009</v>
      </c>
      <c r="K519" s="157" t="s">
        <v>1009</v>
      </c>
      <c r="L519" s="223" t="s">
        <v>296</v>
      </c>
      <c r="M519" s="173"/>
      <c r="N519" s="173"/>
      <c r="O519" s="157" t="s">
        <v>271</v>
      </c>
      <c r="P519" s="158">
        <v>989.18</v>
      </c>
      <c r="Q519" s="185"/>
      <c r="R519" s="175"/>
      <c r="S519" s="174">
        <f t="shared" si="22"/>
        <v>989.18</v>
      </c>
      <c r="T519" s="157"/>
      <c r="U519" s="177"/>
      <c r="V519" s="157"/>
      <c r="W519" s="157"/>
      <c r="X519" s="176">
        <f t="shared" si="23"/>
        <v>0</v>
      </c>
      <c r="Y519" s="184"/>
      <c r="Z519" s="179"/>
      <c r="AA519" s="157"/>
      <c r="AB519" s="157"/>
      <c r="AC519" s="157"/>
    </row>
    <row r="520" spans="1:29" ht="12" customHeight="1" outlineLevel="1">
      <c r="A520" s="170" t="s">
        <v>302</v>
      </c>
      <c r="B520" s="157" t="s">
        <v>303</v>
      </c>
      <c r="C520" s="171">
        <v>42865</v>
      </c>
      <c r="D520" s="178"/>
      <c r="E520" s="157" t="s">
        <v>725</v>
      </c>
      <c r="F520" s="223" t="s">
        <v>305</v>
      </c>
      <c r="G520" s="223"/>
      <c r="H520" s="224" t="s">
        <v>306</v>
      </c>
      <c r="I520" s="157" t="s">
        <v>1009</v>
      </c>
      <c r="J520" s="157" t="s">
        <v>1009</v>
      </c>
      <c r="K520" s="157" t="s">
        <v>1009</v>
      </c>
      <c r="L520" s="223" t="s">
        <v>296</v>
      </c>
      <c r="M520" s="173"/>
      <c r="N520" s="173"/>
      <c r="O520" s="157" t="s">
        <v>271</v>
      </c>
      <c r="P520" s="158">
        <v>504.91</v>
      </c>
      <c r="Q520" s="185"/>
      <c r="R520" s="175"/>
      <c r="S520" s="174">
        <f t="shared" si="22"/>
        <v>504.91</v>
      </c>
      <c r="T520" s="157"/>
      <c r="U520" s="177"/>
      <c r="V520" s="157"/>
      <c r="W520" s="157"/>
      <c r="X520" s="176">
        <f t="shared" si="23"/>
        <v>0</v>
      </c>
      <c r="Y520" s="184"/>
      <c r="Z520" s="179"/>
      <c r="AA520" s="157"/>
      <c r="AB520" s="157"/>
      <c r="AC520" s="157"/>
    </row>
    <row r="521" spans="1:29" ht="12" customHeight="1" outlineLevel="1">
      <c r="A521" s="170" t="s">
        <v>302</v>
      </c>
      <c r="B521" s="157" t="s">
        <v>303</v>
      </c>
      <c r="C521" s="171">
        <v>42866</v>
      </c>
      <c r="D521" s="178"/>
      <c r="E521" s="157" t="s">
        <v>726</v>
      </c>
      <c r="F521" s="223" t="s">
        <v>305</v>
      </c>
      <c r="G521" s="223"/>
      <c r="H521" s="224" t="s">
        <v>306</v>
      </c>
      <c r="I521" s="157"/>
      <c r="J521" s="172"/>
      <c r="K521" s="157"/>
      <c r="L521" s="223" t="s">
        <v>296</v>
      </c>
      <c r="M521" s="173"/>
      <c r="N521" s="173"/>
      <c r="O521" s="157" t="s">
        <v>307</v>
      </c>
      <c r="P521" s="158"/>
      <c r="Q521" s="185"/>
      <c r="R521" s="175"/>
      <c r="S521" s="174">
        <f t="shared" si="22"/>
        <v>0</v>
      </c>
      <c r="T521" s="157"/>
      <c r="U521" s="177">
        <v>-103.17</v>
      </c>
      <c r="V521" s="157"/>
      <c r="W521" s="157"/>
      <c r="X521" s="176">
        <f t="shared" si="23"/>
        <v>-103.17</v>
      </c>
      <c r="Y521" s="184"/>
      <c r="Z521" s="179"/>
      <c r="AA521" s="157"/>
      <c r="AB521" s="157"/>
      <c r="AC521" s="157"/>
    </row>
    <row r="522" spans="1:29" ht="12" customHeight="1" outlineLevel="1">
      <c r="A522" s="170" t="s">
        <v>302</v>
      </c>
      <c r="B522" s="157" t="s">
        <v>303</v>
      </c>
      <c r="C522" s="171">
        <v>42866</v>
      </c>
      <c r="D522" s="178"/>
      <c r="E522" s="157" t="s">
        <v>727</v>
      </c>
      <c r="F522" s="223" t="s">
        <v>305</v>
      </c>
      <c r="G522" s="223"/>
      <c r="H522" s="224" t="s">
        <v>306</v>
      </c>
      <c r="I522" s="157" t="s">
        <v>1009</v>
      </c>
      <c r="J522" s="157" t="s">
        <v>1009</v>
      </c>
      <c r="K522" s="157" t="s">
        <v>1009</v>
      </c>
      <c r="L522" s="223" t="s">
        <v>296</v>
      </c>
      <c r="M522" s="173"/>
      <c r="N522" s="173"/>
      <c r="O522" s="157" t="s">
        <v>271</v>
      </c>
      <c r="P522" s="158">
        <v>1410.66</v>
      </c>
      <c r="Q522" s="185"/>
      <c r="R522" s="175"/>
      <c r="S522" s="174">
        <f t="shared" si="22"/>
        <v>1410.66</v>
      </c>
      <c r="T522" s="157"/>
      <c r="U522" s="177"/>
      <c r="V522" s="157"/>
      <c r="W522" s="157"/>
      <c r="X522" s="176">
        <f t="shared" si="23"/>
        <v>0</v>
      </c>
      <c r="Y522" s="184"/>
      <c r="Z522" s="179"/>
      <c r="AA522" s="157"/>
      <c r="AB522" s="157"/>
      <c r="AC522" s="157"/>
    </row>
    <row r="523" spans="1:29" ht="12" customHeight="1" outlineLevel="1">
      <c r="A523" s="170" t="s">
        <v>302</v>
      </c>
      <c r="B523" s="157" t="s">
        <v>303</v>
      </c>
      <c r="C523" s="171">
        <v>42867</v>
      </c>
      <c r="D523" s="178"/>
      <c r="E523" s="157" t="s">
        <v>304</v>
      </c>
      <c r="F523" s="223" t="s">
        <v>305</v>
      </c>
      <c r="G523" s="223"/>
      <c r="H523" s="224" t="s">
        <v>306</v>
      </c>
      <c r="I523" s="157"/>
      <c r="J523" s="172"/>
      <c r="K523" s="157"/>
      <c r="L523" s="223" t="s">
        <v>296</v>
      </c>
      <c r="M523" s="173"/>
      <c r="N523" s="173"/>
      <c r="O523" s="157" t="s">
        <v>307</v>
      </c>
      <c r="P523" s="158"/>
      <c r="Q523" s="185"/>
      <c r="R523" s="175"/>
      <c r="S523" s="174">
        <f t="shared" si="22"/>
        <v>0</v>
      </c>
      <c r="T523" s="157"/>
      <c r="U523" s="177">
        <v>-639</v>
      </c>
      <c r="V523" s="157"/>
      <c r="W523" s="157"/>
      <c r="X523" s="176">
        <f t="shared" si="23"/>
        <v>-639</v>
      </c>
      <c r="Y523" s="184"/>
      <c r="Z523" s="179"/>
      <c r="AA523" s="157"/>
      <c r="AB523" s="157"/>
      <c r="AC523" s="157"/>
    </row>
    <row r="524" spans="1:29" ht="12" customHeight="1" outlineLevel="1">
      <c r="A524" s="170" t="s">
        <v>302</v>
      </c>
      <c r="B524" s="157" t="s">
        <v>303</v>
      </c>
      <c r="C524" s="171">
        <v>42867</v>
      </c>
      <c r="D524" s="178"/>
      <c r="E524" s="157" t="s">
        <v>728</v>
      </c>
      <c r="F524" s="223" t="s">
        <v>305</v>
      </c>
      <c r="G524" s="223"/>
      <c r="H524" s="224" t="s">
        <v>306</v>
      </c>
      <c r="I524" s="157"/>
      <c r="J524" s="172"/>
      <c r="K524" s="157"/>
      <c r="L524" s="223" t="s">
        <v>296</v>
      </c>
      <c r="M524" s="173"/>
      <c r="N524" s="173"/>
      <c r="O524" s="157" t="s">
        <v>307</v>
      </c>
      <c r="P524" s="158"/>
      <c r="Q524" s="185"/>
      <c r="R524" s="175"/>
      <c r="S524" s="174">
        <f t="shared" si="22"/>
        <v>0</v>
      </c>
      <c r="T524" s="157"/>
      <c r="U524" s="177">
        <v>-20.98</v>
      </c>
      <c r="V524" s="157"/>
      <c r="W524" s="157"/>
      <c r="X524" s="176">
        <f t="shared" si="23"/>
        <v>-20.98</v>
      </c>
      <c r="Y524" s="184"/>
      <c r="Z524" s="179"/>
      <c r="AA524" s="157"/>
      <c r="AB524" s="157"/>
      <c r="AC524" s="157"/>
    </row>
    <row r="525" spans="1:29" ht="12" customHeight="1" outlineLevel="1">
      <c r="A525" s="170" t="s">
        <v>302</v>
      </c>
      <c r="B525" s="157" t="s">
        <v>303</v>
      </c>
      <c r="C525" s="171">
        <v>42867</v>
      </c>
      <c r="D525" s="178"/>
      <c r="E525" s="157" t="s">
        <v>729</v>
      </c>
      <c r="F525" s="223" t="s">
        <v>305</v>
      </c>
      <c r="G525" s="223"/>
      <c r="H525" s="224" t="s">
        <v>306</v>
      </c>
      <c r="I525" s="157"/>
      <c r="J525" s="172"/>
      <c r="K525" s="157"/>
      <c r="L525" s="223" t="s">
        <v>296</v>
      </c>
      <c r="M525" s="173"/>
      <c r="N525" s="173"/>
      <c r="O525" s="157" t="s">
        <v>307</v>
      </c>
      <c r="P525" s="158"/>
      <c r="Q525" s="185"/>
      <c r="R525" s="175"/>
      <c r="S525" s="174">
        <f t="shared" si="22"/>
        <v>0</v>
      </c>
      <c r="T525" s="157"/>
      <c r="U525" s="177">
        <v>-96.79</v>
      </c>
      <c r="V525" s="157"/>
      <c r="W525" s="157"/>
      <c r="X525" s="176">
        <f t="shared" si="23"/>
        <v>-96.79</v>
      </c>
      <c r="Y525" s="184"/>
      <c r="Z525" s="179"/>
      <c r="AA525" s="157"/>
      <c r="AB525" s="157"/>
      <c r="AC525" s="157"/>
    </row>
    <row r="526" spans="1:29" ht="12" customHeight="1" outlineLevel="1">
      <c r="A526" s="170" t="s">
        <v>302</v>
      </c>
      <c r="B526" s="157" t="s">
        <v>303</v>
      </c>
      <c r="C526" s="171">
        <v>42867</v>
      </c>
      <c r="D526" s="178"/>
      <c r="E526" s="157" t="s">
        <v>730</v>
      </c>
      <c r="F526" s="223" t="s">
        <v>305</v>
      </c>
      <c r="G526" s="223"/>
      <c r="H526" s="224" t="s">
        <v>306</v>
      </c>
      <c r="I526" s="157" t="s">
        <v>1009</v>
      </c>
      <c r="J526" s="157" t="s">
        <v>1009</v>
      </c>
      <c r="K526" s="157" t="s">
        <v>1009</v>
      </c>
      <c r="L526" s="223" t="s">
        <v>296</v>
      </c>
      <c r="M526" s="173"/>
      <c r="N526" s="173"/>
      <c r="O526" s="157" t="s">
        <v>271</v>
      </c>
      <c r="P526" s="158">
        <v>1425.68</v>
      </c>
      <c r="Q526" s="185"/>
      <c r="R526" s="175"/>
      <c r="S526" s="174">
        <f t="shared" si="22"/>
        <v>1425.68</v>
      </c>
      <c r="T526" s="157"/>
      <c r="U526" s="177"/>
      <c r="V526" s="157"/>
      <c r="W526" s="157"/>
      <c r="X526" s="176">
        <f t="shared" si="23"/>
        <v>0</v>
      </c>
      <c r="Y526" s="184"/>
      <c r="Z526" s="179"/>
      <c r="AA526" s="157"/>
      <c r="AB526" s="157"/>
      <c r="AC526" s="157"/>
    </row>
    <row r="527" spans="1:29" ht="12" customHeight="1" outlineLevel="1">
      <c r="A527" s="170" t="s">
        <v>302</v>
      </c>
      <c r="B527" s="157" t="s">
        <v>303</v>
      </c>
      <c r="C527" s="171">
        <v>42870</v>
      </c>
      <c r="D527" s="178"/>
      <c r="E527" s="157" t="s">
        <v>304</v>
      </c>
      <c r="F527" s="223" t="s">
        <v>305</v>
      </c>
      <c r="G527" s="223"/>
      <c r="H527" s="224" t="s">
        <v>306</v>
      </c>
      <c r="I527" s="157"/>
      <c r="J527" s="172"/>
      <c r="K527" s="157"/>
      <c r="L527" s="223" t="s">
        <v>296</v>
      </c>
      <c r="M527" s="173"/>
      <c r="N527" s="173"/>
      <c r="O527" s="157" t="s">
        <v>308</v>
      </c>
      <c r="P527" s="158"/>
      <c r="Q527" s="185"/>
      <c r="R527" s="175"/>
      <c r="S527" s="174">
        <f t="shared" si="22"/>
        <v>0</v>
      </c>
      <c r="T527" s="157"/>
      <c r="U527" s="177">
        <v>-478.5</v>
      </c>
      <c r="V527" s="157"/>
      <c r="W527" s="157"/>
      <c r="X527" s="176">
        <f t="shared" si="23"/>
        <v>-478.5</v>
      </c>
      <c r="Y527" s="184"/>
      <c r="Z527" s="179"/>
      <c r="AA527" s="157"/>
      <c r="AB527" s="157"/>
      <c r="AC527" s="157"/>
    </row>
    <row r="528" spans="1:29" ht="12" customHeight="1" outlineLevel="1">
      <c r="A528" s="170" t="s">
        <v>302</v>
      </c>
      <c r="B528" s="157" t="s">
        <v>303</v>
      </c>
      <c r="C528" s="171">
        <v>42870</v>
      </c>
      <c r="D528" s="178"/>
      <c r="E528" s="157" t="s">
        <v>304</v>
      </c>
      <c r="F528" s="223" t="s">
        <v>305</v>
      </c>
      <c r="G528" s="223"/>
      <c r="H528" s="224" t="s">
        <v>306</v>
      </c>
      <c r="I528" s="157"/>
      <c r="J528" s="172"/>
      <c r="K528" s="157"/>
      <c r="L528" s="223" t="s">
        <v>296</v>
      </c>
      <c r="M528" s="173"/>
      <c r="N528" s="173"/>
      <c r="O528" s="157" t="s">
        <v>308</v>
      </c>
      <c r="P528" s="158"/>
      <c r="Q528" s="185"/>
      <c r="R528" s="175"/>
      <c r="S528" s="174">
        <f t="shared" si="22"/>
        <v>0</v>
      </c>
      <c r="T528" s="157"/>
      <c r="U528" s="177">
        <v>-574</v>
      </c>
      <c r="V528" s="157"/>
      <c r="W528" s="157"/>
      <c r="X528" s="176">
        <f t="shared" si="23"/>
        <v>-574</v>
      </c>
      <c r="Y528" s="184"/>
      <c r="Z528" s="179"/>
      <c r="AA528" s="157"/>
      <c r="AB528" s="157"/>
      <c r="AC528" s="157"/>
    </row>
    <row r="529" spans="1:29" ht="12" customHeight="1" outlineLevel="1">
      <c r="A529" s="170" t="s">
        <v>302</v>
      </c>
      <c r="B529" s="157" t="s">
        <v>303</v>
      </c>
      <c r="C529" s="171">
        <v>42870</v>
      </c>
      <c r="D529" s="178"/>
      <c r="E529" s="157" t="s">
        <v>731</v>
      </c>
      <c r="F529" s="223" t="s">
        <v>305</v>
      </c>
      <c r="G529" s="223"/>
      <c r="H529" s="224" t="s">
        <v>306</v>
      </c>
      <c r="I529" s="157"/>
      <c r="J529" s="172"/>
      <c r="K529" s="157"/>
      <c r="L529" s="223" t="s">
        <v>296</v>
      </c>
      <c r="M529" s="173"/>
      <c r="N529" s="173"/>
      <c r="O529" s="157" t="s">
        <v>307</v>
      </c>
      <c r="P529" s="158"/>
      <c r="Q529" s="185"/>
      <c r="R529" s="175"/>
      <c r="S529" s="174">
        <f t="shared" si="22"/>
        <v>0</v>
      </c>
      <c r="T529" s="157"/>
      <c r="U529" s="177">
        <v>-30.88</v>
      </c>
      <c r="V529" s="157"/>
      <c r="W529" s="157"/>
      <c r="X529" s="176">
        <f t="shared" si="23"/>
        <v>-30.88</v>
      </c>
      <c r="Y529" s="184"/>
      <c r="Z529" s="179"/>
      <c r="AA529" s="157"/>
      <c r="AB529" s="157"/>
      <c r="AC529" s="157"/>
    </row>
    <row r="530" spans="1:29" ht="12" customHeight="1" outlineLevel="1">
      <c r="A530" s="170" t="s">
        <v>302</v>
      </c>
      <c r="B530" s="157" t="s">
        <v>303</v>
      </c>
      <c r="C530" s="171">
        <v>42870</v>
      </c>
      <c r="D530" s="178"/>
      <c r="E530" s="157" t="s">
        <v>732</v>
      </c>
      <c r="F530" s="223" t="s">
        <v>305</v>
      </c>
      <c r="G530" s="223"/>
      <c r="H530" s="224" t="s">
        <v>306</v>
      </c>
      <c r="I530" s="157"/>
      <c r="J530" s="172"/>
      <c r="K530" s="157"/>
      <c r="L530" s="223" t="s">
        <v>296</v>
      </c>
      <c r="M530" s="173"/>
      <c r="N530" s="173"/>
      <c r="O530" s="157" t="s">
        <v>307</v>
      </c>
      <c r="P530" s="158"/>
      <c r="Q530" s="185"/>
      <c r="R530" s="175"/>
      <c r="S530" s="174">
        <f t="shared" si="22"/>
        <v>0</v>
      </c>
      <c r="T530" s="157"/>
      <c r="U530" s="177">
        <v>-54.69</v>
      </c>
      <c r="V530" s="157"/>
      <c r="W530" s="157"/>
      <c r="X530" s="176">
        <f t="shared" si="23"/>
        <v>-54.69</v>
      </c>
      <c r="Y530" s="184"/>
      <c r="Z530" s="179"/>
      <c r="AA530" s="157"/>
      <c r="AB530" s="157"/>
      <c r="AC530" s="157"/>
    </row>
    <row r="531" spans="1:29" ht="12" customHeight="1" outlineLevel="1">
      <c r="A531" s="170" t="s">
        <v>302</v>
      </c>
      <c r="B531" s="157" t="s">
        <v>303</v>
      </c>
      <c r="C531" s="171">
        <v>42870</v>
      </c>
      <c r="D531" s="178"/>
      <c r="E531" s="157" t="s">
        <v>733</v>
      </c>
      <c r="F531" s="223" t="s">
        <v>305</v>
      </c>
      <c r="G531" s="223"/>
      <c r="H531" s="224" t="s">
        <v>306</v>
      </c>
      <c r="I531" s="157"/>
      <c r="J531" s="172"/>
      <c r="K531" s="157"/>
      <c r="L531" s="223" t="s">
        <v>296</v>
      </c>
      <c r="M531" s="173"/>
      <c r="N531" s="173"/>
      <c r="O531" s="157" t="s">
        <v>307</v>
      </c>
      <c r="P531" s="158"/>
      <c r="Q531" s="185"/>
      <c r="R531" s="175"/>
      <c r="S531" s="174">
        <f t="shared" si="22"/>
        <v>0</v>
      </c>
      <c r="T531" s="157"/>
      <c r="U531" s="177">
        <v>-240.74</v>
      </c>
      <c r="V531" s="157"/>
      <c r="W531" s="157"/>
      <c r="X531" s="176">
        <f t="shared" si="23"/>
        <v>-240.74</v>
      </c>
      <c r="Y531" s="184"/>
      <c r="Z531" s="179"/>
      <c r="AA531" s="157"/>
      <c r="AB531" s="157"/>
      <c r="AC531" s="157"/>
    </row>
    <row r="532" spans="1:29" ht="12" customHeight="1" outlineLevel="1">
      <c r="A532" s="170" t="s">
        <v>302</v>
      </c>
      <c r="B532" s="157" t="s">
        <v>303</v>
      </c>
      <c r="C532" s="171">
        <v>42870</v>
      </c>
      <c r="D532" s="178"/>
      <c r="E532" s="157" t="s">
        <v>734</v>
      </c>
      <c r="F532" s="223" t="s">
        <v>305</v>
      </c>
      <c r="G532" s="223"/>
      <c r="H532" s="224" t="s">
        <v>306</v>
      </c>
      <c r="I532" s="157" t="s">
        <v>1009</v>
      </c>
      <c r="J532" s="157" t="s">
        <v>1009</v>
      </c>
      <c r="K532" s="157" t="s">
        <v>1009</v>
      </c>
      <c r="L532" s="223" t="s">
        <v>296</v>
      </c>
      <c r="M532" s="173"/>
      <c r="N532" s="173"/>
      <c r="O532" s="157" t="s">
        <v>271</v>
      </c>
      <c r="P532" s="158">
        <v>2613.96</v>
      </c>
      <c r="Q532" s="185"/>
      <c r="R532" s="175"/>
      <c r="S532" s="174">
        <f t="shared" si="22"/>
        <v>2613.96</v>
      </c>
      <c r="T532" s="157"/>
      <c r="U532" s="177"/>
      <c r="V532" s="157"/>
      <c r="W532" s="157"/>
      <c r="X532" s="176">
        <f t="shared" si="23"/>
        <v>0</v>
      </c>
      <c r="Y532" s="184"/>
      <c r="Z532" s="179"/>
      <c r="AA532" s="157"/>
      <c r="AB532" s="157"/>
      <c r="AC532" s="157"/>
    </row>
    <row r="533" spans="1:29" ht="12" customHeight="1" outlineLevel="1">
      <c r="A533" s="170" t="s">
        <v>302</v>
      </c>
      <c r="B533" s="157" t="s">
        <v>303</v>
      </c>
      <c r="C533" s="171">
        <v>42870</v>
      </c>
      <c r="D533" s="178"/>
      <c r="E533" s="157" t="s">
        <v>735</v>
      </c>
      <c r="F533" s="223" t="s">
        <v>305</v>
      </c>
      <c r="G533" s="223"/>
      <c r="H533" s="224" t="s">
        <v>306</v>
      </c>
      <c r="I533" s="157" t="s">
        <v>1009</v>
      </c>
      <c r="J533" s="157" t="s">
        <v>1009</v>
      </c>
      <c r="K533" s="157" t="s">
        <v>1009</v>
      </c>
      <c r="L533" s="223" t="s">
        <v>296</v>
      </c>
      <c r="M533" s="173"/>
      <c r="N533" s="173"/>
      <c r="O533" s="157" t="s">
        <v>271</v>
      </c>
      <c r="P533" s="158">
        <v>1622.22</v>
      </c>
      <c r="Q533" s="185"/>
      <c r="R533" s="175"/>
      <c r="S533" s="174">
        <f t="shared" si="22"/>
        <v>1622.22</v>
      </c>
      <c r="T533" s="157"/>
      <c r="U533" s="177"/>
      <c r="V533" s="157"/>
      <c r="W533" s="157"/>
      <c r="X533" s="176">
        <f t="shared" si="23"/>
        <v>0</v>
      </c>
      <c r="Y533" s="184"/>
      <c r="Z533" s="179"/>
      <c r="AA533" s="157"/>
      <c r="AB533" s="157"/>
      <c r="AC533" s="157"/>
    </row>
    <row r="534" spans="1:29" ht="12" customHeight="1" outlineLevel="1">
      <c r="A534" s="170" t="s">
        <v>302</v>
      </c>
      <c r="B534" s="157" t="s">
        <v>303</v>
      </c>
      <c r="C534" s="171">
        <v>42870</v>
      </c>
      <c r="D534" s="178"/>
      <c r="E534" s="157" t="s">
        <v>736</v>
      </c>
      <c r="F534" s="223" t="s">
        <v>305</v>
      </c>
      <c r="G534" s="223"/>
      <c r="H534" s="224" t="s">
        <v>306</v>
      </c>
      <c r="I534" s="157" t="s">
        <v>1009</v>
      </c>
      <c r="J534" s="157" t="s">
        <v>1009</v>
      </c>
      <c r="K534" s="157" t="s">
        <v>1009</v>
      </c>
      <c r="L534" s="223" t="s">
        <v>296</v>
      </c>
      <c r="M534" s="173"/>
      <c r="N534" s="173"/>
      <c r="O534" s="157" t="s">
        <v>271</v>
      </c>
      <c r="P534" s="158">
        <v>1272.99</v>
      </c>
      <c r="Q534" s="185"/>
      <c r="R534" s="175"/>
      <c r="S534" s="174">
        <f t="shared" si="22"/>
        <v>1272.99</v>
      </c>
      <c r="T534" s="157"/>
      <c r="U534" s="177"/>
      <c r="V534" s="157"/>
      <c r="W534" s="157"/>
      <c r="X534" s="176">
        <f t="shared" si="23"/>
        <v>0</v>
      </c>
      <c r="Y534" s="184"/>
      <c r="Z534" s="179"/>
      <c r="AA534" s="157"/>
      <c r="AB534" s="157"/>
      <c r="AC534" s="157"/>
    </row>
    <row r="535" spans="1:29" ht="12" customHeight="1" outlineLevel="1">
      <c r="A535" s="170" t="s">
        <v>302</v>
      </c>
      <c r="B535" s="157" t="s">
        <v>303</v>
      </c>
      <c r="C535" s="171">
        <v>42871</v>
      </c>
      <c r="D535" s="178"/>
      <c r="E535" s="157" t="s">
        <v>737</v>
      </c>
      <c r="F535" s="223" t="s">
        <v>305</v>
      </c>
      <c r="G535" s="223"/>
      <c r="H535" s="224" t="s">
        <v>306</v>
      </c>
      <c r="I535" s="157"/>
      <c r="J535" s="172"/>
      <c r="K535" s="157"/>
      <c r="L535" s="223" t="s">
        <v>296</v>
      </c>
      <c r="M535" s="173"/>
      <c r="N535" s="173"/>
      <c r="O535" s="157" t="s">
        <v>307</v>
      </c>
      <c r="P535" s="158"/>
      <c r="Q535" s="185"/>
      <c r="R535" s="175"/>
      <c r="S535" s="174">
        <f t="shared" si="22"/>
        <v>0</v>
      </c>
      <c r="T535" s="157"/>
      <c r="U535" s="177">
        <v>-178.12</v>
      </c>
      <c r="V535" s="157"/>
      <c r="W535" s="157"/>
      <c r="X535" s="176">
        <f t="shared" si="23"/>
        <v>-178.12</v>
      </c>
      <c r="Y535" s="184"/>
      <c r="Z535" s="179"/>
      <c r="AA535" s="157"/>
      <c r="AB535" s="157"/>
      <c r="AC535" s="157"/>
    </row>
    <row r="536" spans="1:29" ht="12" customHeight="1" outlineLevel="1">
      <c r="A536" s="170" t="s">
        <v>302</v>
      </c>
      <c r="B536" s="157" t="s">
        <v>303</v>
      </c>
      <c r="C536" s="171">
        <v>42871</v>
      </c>
      <c r="D536" s="178"/>
      <c r="E536" s="157" t="s">
        <v>738</v>
      </c>
      <c r="F536" s="223" t="s">
        <v>305</v>
      </c>
      <c r="G536" s="223"/>
      <c r="H536" s="224" t="s">
        <v>306</v>
      </c>
      <c r="I536" s="157"/>
      <c r="J536" s="172"/>
      <c r="K536" s="157"/>
      <c r="L536" s="223" t="s">
        <v>296</v>
      </c>
      <c r="M536" s="173"/>
      <c r="N536" s="173"/>
      <c r="O536" s="157" t="s">
        <v>307</v>
      </c>
      <c r="P536" s="158"/>
      <c r="Q536" s="185"/>
      <c r="R536" s="175"/>
      <c r="S536" s="174">
        <f t="shared" si="22"/>
        <v>0</v>
      </c>
      <c r="T536" s="157"/>
      <c r="U536" s="177">
        <v>-20.34</v>
      </c>
      <c r="V536" s="157"/>
      <c r="W536" s="157"/>
      <c r="X536" s="176">
        <f t="shared" si="23"/>
        <v>-20.34</v>
      </c>
      <c r="Y536" s="184"/>
      <c r="Z536" s="179"/>
      <c r="AA536" s="157"/>
      <c r="AB536" s="157"/>
      <c r="AC536" s="157"/>
    </row>
    <row r="537" spans="1:29" ht="12" customHeight="1" outlineLevel="1">
      <c r="A537" s="170" t="s">
        <v>302</v>
      </c>
      <c r="B537" s="157" t="s">
        <v>303</v>
      </c>
      <c r="C537" s="171">
        <v>42871</v>
      </c>
      <c r="D537" s="178"/>
      <c r="E537" s="157" t="s">
        <v>739</v>
      </c>
      <c r="F537" s="223" t="s">
        <v>305</v>
      </c>
      <c r="G537" s="223"/>
      <c r="H537" s="224" t="s">
        <v>306</v>
      </c>
      <c r="I537" s="157"/>
      <c r="J537" s="172"/>
      <c r="K537" s="157"/>
      <c r="L537" s="223" t="s">
        <v>296</v>
      </c>
      <c r="M537" s="173"/>
      <c r="N537" s="173"/>
      <c r="O537" s="157" t="s">
        <v>307</v>
      </c>
      <c r="P537" s="158"/>
      <c r="Q537" s="185"/>
      <c r="R537" s="175"/>
      <c r="S537" s="174">
        <f t="shared" si="22"/>
        <v>0</v>
      </c>
      <c r="T537" s="157"/>
      <c r="U537" s="177">
        <v>-55.36</v>
      </c>
      <c r="V537" s="157"/>
      <c r="W537" s="157"/>
      <c r="X537" s="176">
        <f t="shared" si="23"/>
        <v>-55.36</v>
      </c>
      <c r="Y537" s="184"/>
      <c r="Z537" s="179"/>
      <c r="AA537" s="157"/>
      <c r="AB537" s="157"/>
      <c r="AC537" s="157"/>
    </row>
    <row r="538" spans="1:29" ht="12" customHeight="1" outlineLevel="1">
      <c r="A538" s="170" t="s">
        <v>302</v>
      </c>
      <c r="B538" s="157" t="s">
        <v>303</v>
      </c>
      <c r="C538" s="171">
        <v>42871</v>
      </c>
      <c r="D538" s="178"/>
      <c r="E538" s="157" t="s">
        <v>740</v>
      </c>
      <c r="F538" s="223" t="s">
        <v>305</v>
      </c>
      <c r="G538" s="223"/>
      <c r="H538" s="224" t="s">
        <v>306</v>
      </c>
      <c r="I538" s="157"/>
      <c r="J538" s="172"/>
      <c r="K538" s="157"/>
      <c r="L538" s="223" t="s">
        <v>296</v>
      </c>
      <c r="M538" s="173"/>
      <c r="N538" s="173"/>
      <c r="O538" s="157" t="s">
        <v>307</v>
      </c>
      <c r="P538" s="158"/>
      <c r="Q538" s="185"/>
      <c r="R538" s="175"/>
      <c r="S538" s="174">
        <f t="shared" si="22"/>
        <v>0</v>
      </c>
      <c r="T538" s="157"/>
      <c r="U538" s="177">
        <v>-38.75</v>
      </c>
      <c r="V538" s="157"/>
      <c r="W538" s="157"/>
      <c r="X538" s="176">
        <f t="shared" si="23"/>
        <v>-38.75</v>
      </c>
      <c r="Y538" s="184"/>
      <c r="Z538" s="179"/>
      <c r="AA538" s="157"/>
      <c r="AB538" s="157"/>
      <c r="AC538" s="157"/>
    </row>
    <row r="539" spans="1:29" ht="12" customHeight="1" outlineLevel="1">
      <c r="A539" s="170" t="s">
        <v>302</v>
      </c>
      <c r="B539" s="157" t="s">
        <v>303</v>
      </c>
      <c r="C539" s="171">
        <v>42871</v>
      </c>
      <c r="D539" s="178"/>
      <c r="E539" s="157" t="s">
        <v>741</v>
      </c>
      <c r="F539" s="223" t="s">
        <v>305</v>
      </c>
      <c r="G539" s="223"/>
      <c r="H539" s="224" t="s">
        <v>306</v>
      </c>
      <c r="I539" s="157" t="s">
        <v>1009</v>
      </c>
      <c r="J539" s="157" t="s">
        <v>1009</v>
      </c>
      <c r="K539" s="157" t="s">
        <v>1009</v>
      </c>
      <c r="L539" s="223" t="s">
        <v>296</v>
      </c>
      <c r="M539" s="173"/>
      <c r="N539" s="173"/>
      <c r="O539" s="157" t="s">
        <v>271</v>
      </c>
      <c r="P539" s="158">
        <v>618.9</v>
      </c>
      <c r="Q539" s="185"/>
      <c r="R539" s="175"/>
      <c r="S539" s="174">
        <f t="shared" ref="S539:S602" si="24">P539</f>
        <v>618.9</v>
      </c>
      <c r="T539" s="157"/>
      <c r="U539" s="177"/>
      <c r="V539" s="157"/>
      <c r="W539" s="157"/>
      <c r="X539" s="176">
        <f t="shared" ref="X539:X602" si="25">U539</f>
        <v>0</v>
      </c>
      <c r="Y539" s="184"/>
      <c r="Z539" s="179"/>
      <c r="AA539" s="157"/>
      <c r="AB539" s="157"/>
      <c r="AC539" s="157"/>
    </row>
    <row r="540" spans="1:29" ht="12" customHeight="1" outlineLevel="1">
      <c r="A540" s="170" t="s">
        <v>302</v>
      </c>
      <c r="B540" s="157" t="s">
        <v>303</v>
      </c>
      <c r="C540" s="171">
        <v>42872</v>
      </c>
      <c r="D540" s="178"/>
      <c r="E540" s="157" t="s">
        <v>304</v>
      </c>
      <c r="F540" s="223" t="s">
        <v>305</v>
      </c>
      <c r="G540" s="223"/>
      <c r="H540" s="224" t="s">
        <v>306</v>
      </c>
      <c r="I540" s="157"/>
      <c r="J540" s="172"/>
      <c r="K540" s="157"/>
      <c r="L540" s="223" t="s">
        <v>296</v>
      </c>
      <c r="M540" s="173"/>
      <c r="N540" s="173"/>
      <c r="O540" s="157" t="s">
        <v>307</v>
      </c>
      <c r="P540" s="158"/>
      <c r="Q540" s="185"/>
      <c r="R540" s="175"/>
      <c r="S540" s="174">
        <f t="shared" si="24"/>
        <v>0</v>
      </c>
      <c r="T540" s="157"/>
      <c r="U540" s="177">
        <v>-1187.02</v>
      </c>
      <c r="V540" s="157"/>
      <c r="W540" s="157"/>
      <c r="X540" s="176">
        <f t="shared" si="25"/>
        <v>-1187.02</v>
      </c>
      <c r="Y540" s="184"/>
      <c r="Z540" s="179"/>
      <c r="AA540" s="157"/>
      <c r="AB540" s="157"/>
      <c r="AC540" s="157"/>
    </row>
    <row r="541" spans="1:29" ht="12" customHeight="1" outlineLevel="1">
      <c r="A541" s="170" t="s">
        <v>302</v>
      </c>
      <c r="B541" s="157" t="s">
        <v>303</v>
      </c>
      <c r="C541" s="171">
        <v>42872</v>
      </c>
      <c r="D541" s="178"/>
      <c r="E541" s="157" t="s">
        <v>742</v>
      </c>
      <c r="F541" s="223" t="s">
        <v>305</v>
      </c>
      <c r="G541" s="223"/>
      <c r="H541" s="224" t="s">
        <v>306</v>
      </c>
      <c r="I541" s="157"/>
      <c r="J541" s="172"/>
      <c r="K541" s="157"/>
      <c r="L541" s="223" t="s">
        <v>296</v>
      </c>
      <c r="M541" s="173"/>
      <c r="N541" s="173"/>
      <c r="O541" s="157" t="s">
        <v>307</v>
      </c>
      <c r="P541" s="158"/>
      <c r="Q541" s="185"/>
      <c r="R541" s="175"/>
      <c r="S541" s="174">
        <f t="shared" si="24"/>
        <v>0</v>
      </c>
      <c r="T541" s="157"/>
      <c r="U541" s="177">
        <v>-106.29</v>
      </c>
      <c r="V541" s="157"/>
      <c r="W541" s="157"/>
      <c r="X541" s="176">
        <f t="shared" si="25"/>
        <v>-106.29</v>
      </c>
      <c r="Y541" s="184"/>
      <c r="Z541" s="179"/>
      <c r="AA541" s="157"/>
      <c r="AB541" s="157"/>
      <c r="AC541" s="157"/>
    </row>
    <row r="542" spans="1:29" ht="12" customHeight="1" outlineLevel="1">
      <c r="A542" s="170" t="s">
        <v>302</v>
      </c>
      <c r="B542" s="157" t="s">
        <v>303</v>
      </c>
      <c r="C542" s="171">
        <v>42872</v>
      </c>
      <c r="D542" s="178"/>
      <c r="E542" s="157" t="s">
        <v>743</v>
      </c>
      <c r="F542" s="223" t="s">
        <v>305</v>
      </c>
      <c r="G542" s="223"/>
      <c r="H542" s="224" t="s">
        <v>306</v>
      </c>
      <c r="I542" s="157" t="s">
        <v>1009</v>
      </c>
      <c r="J542" s="157" t="s">
        <v>1009</v>
      </c>
      <c r="K542" s="157" t="s">
        <v>1009</v>
      </c>
      <c r="L542" s="223" t="s">
        <v>296</v>
      </c>
      <c r="M542" s="173"/>
      <c r="N542" s="173"/>
      <c r="O542" s="157" t="s">
        <v>271</v>
      </c>
      <c r="P542" s="158">
        <v>1525.76</v>
      </c>
      <c r="Q542" s="185"/>
      <c r="R542" s="175"/>
      <c r="S542" s="174">
        <f t="shared" si="24"/>
        <v>1525.76</v>
      </c>
      <c r="T542" s="157"/>
      <c r="U542" s="177"/>
      <c r="V542" s="157"/>
      <c r="W542" s="157"/>
      <c r="X542" s="176">
        <f t="shared" si="25"/>
        <v>0</v>
      </c>
      <c r="Y542" s="184"/>
      <c r="Z542" s="179"/>
      <c r="AA542" s="157"/>
      <c r="AB542" s="157"/>
      <c r="AC542" s="157"/>
    </row>
    <row r="543" spans="1:29" ht="12" customHeight="1" outlineLevel="1">
      <c r="A543" s="170" t="s">
        <v>302</v>
      </c>
      <c r="B543" s="157" t="s">
        <v>303</v>
      </c>
      <c r="C543" s="171">
        <v>42872</v>
      </c>
      <c r="D543" s="178"/>
      <c r="E543" s="157" t="s">
        <v>744</v>
      </c>
      <c r="F543" s="223" t="s">
        <v>305</v>
      </c>
      <c r="G543" s="223"/>
      <c r="H543" s="224" t="s">
        <v>306</v>
      </c>
      <c r="I543" s="157" t="s">
        <v>1009</v>
      </c>
      <c r="J543" s="157" t="s">
        <v>1009</v>
      </c>
      <c r="K543" s="157" t="s">
        <v>1009</v>
      </c>
      <c r="L543" s="223" t="s">
        <v>296</v>
      </c>
      <c r="M543" s="173"/>
      <c r="N543" s="173"/>
      <c r="O543" s="157" t="s">
        <v>271</v>
      </c>
      <c r="P543" s="158">
        <v>288.07</v>
      </c>
      <c r="Q543" s="185"/>
      <c r="R543" s="175"/>
      <c r="S543" s="174">
        <f t="shared" si="24"/>
        <v>288.07</v>
      </c>
      <c r="T543" s="157"/>
      <c r="U543" s="177"/>
      <c r="V543" s="157"/>
      <c r="W543" s="157"/>
      <c r="X543" s="176">
        <f t="shared" si="25"/>
        <v>0</v>
      </c>
      <c r="Y543" s="184"/>
      <c r="Z543" s="179"/>
      <c r="AA543" s="157"/>
      <c r="AB543" s="157"/>
      <c r="AC543" s="157"/>
    </row>
    <row r="544" spans="1:29" ht="12" customHeight="1" outlineLevel="1">
      <c r="A544" s="170" t="s">
        <v>302</v>
      </c>
      <c r="B544" s="157" t="s">
        <v>303</v>
      </c>
      <c r="C544" s="171">
        <v>42873</v>
      </c>
      <c r="D544" s="178"/>
      <c r="E544" s="157" t="s">
        <v>304</v>
      </c>
      <c r="F544" s="223" t="s">
        <v>305</v>
      </c>
      <c r="G544" s="223"/>
      <c r="H544" s="224" t="s">
        <v>306</v>
      </c>
      <c r="I544" s="157"/>
      <c r="J544" s="172"/>
      <c r="K544" s="157"/>
      <c r="L544" s="223" t="s">
        <v>296</v>
      </c>
      <c r="M544" s="173"/>
      <c r="N544" s="173"/>
      <c r="O544" s="157" t="s">
        <v>308</v>
      </c>
      <c r="P544" s="158"/>
      <c r="Q544" s="185"/>
      <c r="R544" s="175"/>
      <c r="S544" s="174">
        <f t="shared" si="24"/>
        <v>0</v>
      </c>
      <c r="T544" s="157"/>
      <c r="U544" s="177">
        <v>-357</v>
      </c>
      <c r="V544" s="157"/>
      <c r="W544" s="157"/>
      <c r="X544" s="176">
        <f t="shared" si="25"/>
        <v>-357</v>
      </c>
      <c r="Y544" s="184"/>
      <c r="Z544" s="179"/>
      <c r="AA544" s="157"/>
      <c r="AB544" s="157"/>
      <c r="AC544" s="157"/>
    </row>
    <row r="545" spans="1:29" ht="12" customHeight="1" outlineLevel="1">
      <c r="A545" s="170" t="s">
        <v>302</v>
      </c>
      <c r="B545" s="157" t="s">
        <v>303</v>
      </c>
      <c r="C545" s="171">
        <v>42873</v>
      </c>
      <c r="D545" s="178"/>
      <c r="E545" s="157" t="s">
        <v>745</v>
      </c>
      <c r="F545" s="223" t="s">
        <v>305</v>
      </c>
      <c r="G545" s="223"/>
      <c r="H545" s="224" t="s">
        <v>306</v>
      </c>
      <c r="I545" s="157"/>
      <c r="J545" s="172"/>
      <c r="K545" s="157"/>
      <c r="L545" s="223" t="s">
        <v>296</v>
      </c>
      <c r="M545" s="173"/>
      <c r="N545" s="173"/>
      <c r="O545" s="157" t="s">
        <v>307</v>
      </c>
      <c r="P545" s="158"/>
      <c r="Q545" s="185"/>
      <c r="R545" s="175"/>
      <c r="S545" s="174">
        <f t="shared" si="24"/>
        <v>0</v>
      </c>
      <c r="T545" s="157"/>
      <c r="U545" s="177">
        <v>-19.12</v>
      </c>
      <c r="V545" s="157"/>
      <c r="W545" s="157"/>
      <c r="X545" s="176">
        <f t="shared" si="25"/>
        <v>-19.12</v>
      </c>
      <c r="Y545" s="184"/>
      <c r="Z545" s="179"/>
      <c r="AA545" s="157"/>
      <c r="AB545" s="157"/>
      <c r="AC545" s="157"/>
    </row>
    <row r="546" spans="1:29" ht="12" customHeight="1" outlineLevel="1">
      <c r="A546" s="170" t="s">
        <v>302</v>
      </c>
      <c r="B546" s="157" t="s">
        <v>303</v>
      </c>
      <c r="C546" s="171">
        <v>42873</v>
      </c>
      <c r="D546" s="178"/>
      <c r="E546" s="157" t="s">
        <v>746</v>
      </c>
      <c r="F546" s="223" t="s">
        <v>305</v>
      </c>
      <c r="G546" s="223"/>
      <c r="H546" s="224" t="s">
        <v>306</v>
      </c>
      <c r="I546" s="157"/>
      <c r="J546" s="172"/>
      <c r="K546" s="157"/>
      <c r="L546" s="223" t="s">
        <v>296</v>
      </c>
      <c r="M546" s="173"/>
      <c r="N546" s="173"/>
      <c r="O546" s="157" t="s">
        <v>307</v>
      </c>
      <c r="P546" s="158"/>
      <c r="Q546" s="185"/>
      <c r="R546" s="175"/>
      <c r="S546" s="174">
        <f t="shared" si="24"/>
        <v>0</v>
      </c>
      <c r="T546" s="157"/>
      <c r="U546" s="177">
        <v>-19.77</v>
      </c>
      <c r="V546" s="157"/>
      <c r="W546" s="157"/>
      <c r="X546" s="176">
        <f t="shared" si="25"/>
        <v>-19.77</v>
      </c>
      <c r="Y546" s="184"/>
      <c r="Z546" s="179"/>
      <c r="AA546" s="157"/>
      <c r="AB546" s="157"/>
      <c r="AC546" s="157"/>
    </row>
    <row r="547" spans="1:29" ht="12" customHeight="1" outlineLevel="1">
      <c r="A547" s="170" t="s">
        <v>302</v>
      </c>
      <c r="B547" s="157" t="s">
        <v>303</v>
      </c>
      <c r="C547" s="171">
        <v>42873</v>
      </c>
      <c r="D547" s="178"/>
      <c r="E547" s="157" t="s">
        <v>747</v>
      </c>
      <c r="F547" s="223" t="s">
        <v>305</v>
      </c>
      <c r="G547" s="223"/>
      <c r="H547" s="224" t="s">
        <v>306</v>
      </c>
      <c r="I547" s="157"/>
      <c r="J547" s="172"/>
      <c r="K547" s="157"/>
      <c r="L547" s="223" t="s">
        <v>296</v>
      </c>
      <c r="M547" s="173"/>
      <c r="N547" s="173"/>
      <c r="O547" s="157" t="s">
        <v>307</v>
      </c>
      <c r="P547" s="158"/>
      <c r="Q547" s="185"/>
      <c r="R547" s="175"/>
      <c r="S547" s="174">
        <f t="shared" si="24"/>
        <v>0</v>
      </c>
      <c r="T547" s="157"/>
      <c r="U547" s="177">
        <v>-21.73</v>
      </c>
      <c r="V547" s="157"/>
      <c r="W547" s="157"/>
      <c r="X547" s="176">
        <f t="shared" si="25"/>
        <v>-21.73</v>
      </c>
      <c r="Y547" s="184"/>
      <c r="Z547" s="179"/>
      <c r="AA547" s="157"/>
      <c r="AB547" s="157"/>
      <c r="AC547" s="157"/>
    </row>
    <row r="548" spans="1:29" ht="12" customHeight="1" outlineLevel="1">
      <c r="A548" s="170" t="s">
        <v>302</v>
      </c>
      <c r="B548" s="157" t="s">
        <v>303</v>
      </c>
      <c r="C548" s="171">
        <v>42873</v>
      </c>
      <c r="D548" s="178"/>
      <c r="E548" s="157" t="s">
        <v>748</v>
      </c>
      <c r="F548" s="223" t="s">
        <v>305</v>
      </c>
      <c r="G548" s="223"/>
      <c r="H548" s="224" t="s">
        <v>306</v>
      </c>
      <c r="I548" s="157" t="s">
        <v>1009</v>
      </c>
      <c r="J548" s="157" t="s">
        <v>1009</v>
      </c>
      <c r="K548" s="157" t="s">
        <v>1009</v>
      </c>
      <c r="L548" s="223" t="s">
        <v>296</v>
      </c>
      <c r="M548" s="173"/>
      <c r="N548" s="173"/>
      <c r="O548" s="157" t="s">
        <v>271</v>
      </c>
      <c r="P548" s="158">
        <v>844.68</v>
      </c>
      <c r="Q548" s="185"/>
      <c r="R548" s="175"/>
      <c r="S548" s="174">
        <f t="shared" si="24"/>
        <v>844.68</v>
      </c>
      <c r="T548" s="157"/>
      <c r="U548" s="177"/>
      <c r="V548" s="157"/>
      <c r="W548" s="157"/>
      <c r="X548" s="176">
        <f t="shared" si="25"/>
        <v>0</v>
      </c>
      <c r="Y548" s="184"/>
      <c r="Z548" s="179"/>
      <c r="AA548" s="157"/>
      <c r="AB548" s="157"/>
      <c r="AC548" s="157"/>
    </row>
    <row r="549" spans="1:29" ht="12" customHeight="1" outlineLevel="1">
      <c r="A549" s="170" t="s">
        <v>302</v>
      </c>
      <c r="B549" s="157" t="s">
        <v>303</v>
      </c>
      <c r="C549" s="171">
        <v>42874</v>
      </c>
      <c r="D549" s="178"/>
      <c r="E549" s="157" t="s">
        <v>304</v>
      </c>
      <c r="F549" s="223" t="s">
        <v>305</v>
      </c>
      <c r="G549" s="223"/>
      <c r="H549" s="224" t="s">
        <v>306</v>
      </c>
      <c r="I549" s="157"/>
      <c r="J549" s="172"/>
      <c r="K549" s="157"/>
      <c r="L549" s="223" t="s">
        <v>296</v>
      </c>
      <c r="M549" s="173"/>
      <c r="N549" s="173"/>
      <c r="O549" s="157" t="s">
        <v>307</v>
      </c>
      <c r="P549" s="158"/>
      <c r="Q549" s="185"/>
      <c r="R549" s="175"/>
      <c r="S549" s="174">
        <f t="shared" si="24"/>
        <v>0</v>
      </c>
      <c r="T549" s="157"/>
      <c r="U549" s="177">
        <v>-397.07</v>
      </c>
      <c r="V549" s="157"/>
      <c r="W549" s="157"/>
      <c r="X549" s="176">
        <f t="shared" si="25"/>
        <v>-397.07</v>
      </c>
      <c r="Y549" s="184"/>
      <c r="Z549" s="179"/>
      <c r="AA549" s="157"/>
      <c r="AB549" s="157"/>
      <c r="AC549" s="157"/>
    </row>
    <row r="550" spans="1:29" ht="12" customHeight="1" outlineLevel="1">
      <c r="A550" s="170" t="s">
        <v>302</v>
      </c>
      <c r="B550" s="157" t="s">
        <v>303</v>
      </c>
      <c r="C550" s="171">
        <v>42874</v>
      </c>
      <c r="D550" s="178"/>
      <c r="E550" s="157" t="s">
        <v>749</v>
      </c>
      <c r="F550" s="223" t="s">
        <v>305</v>
      </c>
      <c r="G550" s="223"/>
      <c r="H550" s="224" t="s">
        <v>306</v>
      </c>
      <c r="I550" s="157"/>
      <c r="J550" s="172"/>
      <c r="K550" s="157"/>
      <c r="L550" s="223" t="s">
        <v>296</v>
      </c>
      <c r="M550" s="173"/>
      <c r="N550" s="173"/>
      <c r="O550" s="157" t="s">
        <v>307</v>
      </c>
      <c r="P550" s="158"/>
      <c r="Q550" s="185"/>
      <c r="R550" s="175"/>
      <c r="S550" s="174">
        <f t="shared" si="24"/>
        <v>0</v>
      </c>
      <c r="T550" s="157"/>
      <c r="U550" s="177">
        <v>-27.46</v>
      </c>
      <c r="V550" s="157"/>
      <c r="W550" s="157"/>
      <c r="X550" s="176">
        <f t="shared" si="25"/>
        <v>-27.46</v>
      </c>
      <c r="Y550" s="184"/>
      <c r="Z550" s="179"/>
      <c r="AA550" s="157"/>
      <c r="AB550" s="157"/>
      <c r="AC550" s="157"/>
    </row>
    <row r="551" spans="1:29" ht="12" customHeight="1" outlineLevel="1">
      <c r="A551" s="170" t="s">
        <v>302</v>
      </c>
      <c r="B551" s="157" t="s">
        <v>303</v>
      </c>
      <c r="C551" s="171">
        <v>42874</v>
      </c>
      <c r="D551" s="178"/>
      <c r="E551" s="157" t="s">
        <v>750</v>
      </c>
      <c r="F551" s="223" t="s">
        <v>305</v>
      </c>
      <c r="G551" s="223"/>
      <c r="H551" s="224" t="s">
        <v>306</v>
      </c>
      <c r="I551" s="157"/>
      <c r="J551" s="172"/>
      <c r="K551" s="157"/>
      <c r="L551" s="223" t="s">
        <v>296</v>
      </c>
      <c r="M551" s="173"/>
      <c r="N551" s="173"/>
      <c r="O551" s="157" t="s">
        <v>307</v>
      </c>
      <c r="P551" s="158"/>
      <c r="Q551" s="185"/>
      <c r="R551" s="175"/>
      <c r="S551" s="174">
        <f t="shared" si="24"/>
        <v>0</v>
      </c>
      <c r="T551" s="157"/>
      <c r="U551" s="177">
        <v>-5.54</v>
      </c>
      <c r="V551" s="157"/>
      <c r="W551" s="157"/>
      <c r="X551" s="176">
        <f t="shared" si="25"/>
        <v>-5.54</v>
      </c>
      <c r="Y551" s="184"/>
      <c r="Z551" s="179"/>
      <c r="AA551" s="157"/>
      <c r="AB551" s="157"/>
      <c r="AC551" s="157"/>
    </row>
    <row r="552" spans="1:29" ht="12" customHeight="1" outlineLevel="1">
      <c r="A552" s="170" t="s">
        <v>302</v>
      </c>
      <c r="B552" s="157" t="s">
        <v>303</v>
      </c>
      <c r="C552" s="171">
        <v>42874</v>
      </c>
      <c r="D552" s="178"/>
      <c r="E552" s="157" t="s">
        <v>751</v>
      </c>
      <c r="F552" s="223" t="s">
        <v>305</v>
      </c>
      <c r="G552" s="223"/>
      <c r="H552" s="224" t="s">
        <v>306</v>
      </c>
      <c r="I552" s="157"/>
      <c r="J552" s="172"/>
      <c r="K552" s="157"/>
      <c r="L552" s="223" t="s">
        <v>296</v>
      </c>
      <c r="M552" s="173"/>
      <c r="N552" s="173"/>
      <c r="O552" s="157" t="s">
        <v>307</v>
      </c>
      <c r="P552" s="158"/>
      <c r="Q552" s="185"/>
      <c r="R552" s="175"/>
      <c r="S552" s="174">
        <f t="shared" si="24"/>
        <v>0</v>
      </c>
      <c r="T552" s="157"/>
      <c r="U552" s="177">
        <v>-29.94</v>
      </c>
      <c r="V552" s="157"/>
      <c r="W552" s="157"/>
      <c r="X552" s="176">
        <f t="shared" si="25"/>
        <v>-29.94</v>
      </c>
      <c r="Y552" s="184"/>
      <c r="Z552" s="179"/>
      <c r="AA552" s="157"/>
      <c r="AB552" s="157"/>
      <c r="AC552" s="157"/>
    </row>
    <row r="553" spans="1:29" ht="12" customHeight="1" outlineLevel="1">
      <c r="A553" s="170" t="s">
        <v>302</v>
      </c>
      <c r="B553" s="157" t="s">
        <v>303</v>
      </c>
      <c r="C553" s="171">
        <v>42874</v>
      </c>
      <c r="D553" s="178"/>
      <c r="E553" s="157" t="s">
        <v>752</v>
      </c>
      <c r="F553" s="223" t="s">
        <v>305</v>
      </c>
      <c r="G553" s="223"/>
      <c r="H553" s="224" t="s">
        <v>306</v>
      </c>
      <c r="I553" s="157" t="s">
        <v>1009</v>
      </c>
      <c r="J553" s="157" t="s">
        <v>1009</v>
      </c>
      <c r="K553" s="157" t="s">
        <v>1009</v>
      </c>
      <c r="L553" s="223" t="s">
        <v>296</v>
      </c>
      <c r="M553" s="173"/>
      <c r="N553" s="173"/>
      <c r="O553" s="157" t="s">
        <v>271</v>
      </c>
      <c r="P553" s="158">
        <v>1117.93</v>
      </c>
      <c r="Q553" s="185"/>
      <c r="R553" s="175"/>
      <c r="S553" s="174">
        <f t="shared" si="24"/>
        <v>1117.93</v>
      </c>
      <c r="T553" s="157"/>
      <c r="U553" s="177"/>
      <c r="V553" s="157"/>
      <c r="W553" s="157"/>
      <c r="X553" s="176">
        <f t="shared" si="25"/>
        <v>0</v>
      </c>
      <c r="Y553" s="184"/>
      <c r="Z553" s="179"/>
      <c r="AA553" s="157"/>
      <c r="AB553" s="157"/>
      <c r="AC553" s="157"/>
    </row>
    <row r="554" spans="1:29" ht="12" customHeight="1" outlineLevel="1">
      <c r="A554" s="170" t="s">
        <v>302</v>
      </c>
      <c r="B554" s="157" t="s">
        <v>303</v>
      </c>
      <c r="C554" s="171">
        <v>42877</v>
      </c>
      <c r="D554" s="178"/>
      <c r="E554" s="157" t="s">
        <v>304</v>
      </c>
      <c r="F554" s="223" t="s">
        <v>305</v>
      </c>
      <c r="G554" s="223"/>
      <c r="H554" s="224" t="s">
        <v>306</v>
      </c>
      <c r="I554" s="157"/>
      <c r="J554" s="172"/>
      <c r="K554" s="157"/>
      <c r="L554" s="223" t="s">
        <v>296</v>
      </c>
      <c r="M554" s="173"/>
      <c r="N554" s="173"/>
      <c r="O554" s="157" t="s">
        <v>308</v>
      </c>
      <c r="P554" s="158"/>
      <c r="Q554" s="185"/>
      <c r="R554" s="175"/>
      <c r="S554" s="174">
        <f t="shared" si="24"/>
        <v>0</v>
      </c>
      <c r="T554" s="157"/>
      <c r="U554" s="177">
        <v>-607</v>
      </c>
      <c r="V554" s="157"/>
      <c r="W554" s="157"/>
      <c r="X554" s="176">
        <f t="shared" si="25"/>
        <v>-607</v>
      </c>
      <c r="Y554" s="184"/>
      <c r="Z554" s="179"/>
      <c r="AA554" s="157"/>
      <c r="AB554" s="157"/>
      <c r="AC554" s="157"/>
    </row>
    <row r="555" spans="1:29" ht="12" customHeight="1" outlineLevel="1">
      <c r="A555" s="170" t="s">
        <v>302</v>
      </c>
      <c r="B555" s="157" t="s">
        <v>303</v>
      </c>
      <c r="C555" s="171">
        <v>42877</v>
      </c>
      <c r="D555" s="178"/>
      <c r="E555" s="157" t="s">
        <v>753</v>
      </c>
      <c r="F555" s="223" t="s">
        <v>305</v>
      </c>
      <c r="G555" s="223"/>
      <c r="H555" s="224" t="s">
        <v>306</v>
      </c>
      <c r="I555" s="157"/>
      <c r="J555" s="172"/>
      <c r="K555" s="157"/>
      <c r="L555" s="223" t="s">
        <v>296</v>
      </c>
      <c r="M555" s="173"/>
      <c r="N555" s="173"/>
      <c r="O555" s="157" t="s">
        <v>307</v>
      </c>
      <c r="P555" s="158"/>
      <c r="Q555" s="185"/>
      <c r="R555" s="175"/>
      <c r="S555" s="174">
        <f t="shared" si="24"/>
        <v>0</v>
      </c>
      <c r="T555" s="157"/>
      <c r="U555" s="177">
        <v>-89.26</v>
      </c>
      <c r="V555" s="157"/>
      <c r="W555" s="157"/>
      <c r="X555" s="176">
        <f t="shared" si="25"/>
        <v>-89.26</v>
      </c>
      <c r="Y555" s="184"/>
      <c r="Z555" s="179"/>
      <c r="AA555" s="157"/>
      <c r="AB555" s="157"/>
      <c r="AC555" s="157"/>
    </row>
    <row r="556" spans="1:29" ht="12" customHeight="1" outlineLevel="1">
      <c r="A556" s="170" t="s">
        <v>302</v>
      </c>
      <c r="B556" s="157" t="s">
        <v>303</v>
      </c>
      <c r="C556" s="171">
        <v>42877</v>
      </c>
      <c r="D556" s="178"/>
      <c r="E556" s="157" t="s">
        <v>754</v>
      </c>
      <c r="F556" s="223" t="s">
        <v>305</v>
      </c>
      <c r="G556" s="223"/>
      <c r="H556" s="224" t="s">
        <v>306</v>
      </c>
      <c r="I556" s="157"/>
      <c r="J556" s="172"/>
      <c r="K556" s="157"/>
      <c r="L556" s="223" t="s">
        <v>296</v>
      </c>
      <c r="M556" s="173"/>
      <c r="N556" s="173"/>
      <c r="O556" s="157" t="s">
        <v>307</v>
      </c>
      <c r="P556" s="158"/>
      <c r="Q556" s="185"/>
      <c r="R556" s="175"/>
      <c r="S556" s="174">
        <f t="shared" si="24"/>
        <v>0</v>
      </c>
      <c r="T556" s="157"/>
      <c r="U556" s="177">
        <v>-5.99</v>
      </c>
      <c r="V556" s="157"/>
      <c r="W556" s="157"/>
      <c r="X556" s="176">
        <f t="shared" si="25"/>
        <v>-5.99</v>
      </c>
      <c r="Y556" s="184"/>
      <c r="Z556" s="179"/>
      <c r="AA556" s="157"/>
      <c r="AB556" s="157"/>
      <c r="AC556" s="157"/>
    </row>
    <row r="557" spans="1:29" ht="12" customHeight="1" outlineLevel="1">
      <c r="A557" s="170" t="s">
        <v>302</v>
      </c>
      <c r="B557" s="157" t="s">
        <v>303</v>
      </c>
      <c r="C557" s="171">
        <v>42877</v>
      </c>
      <c r="D557" s="178"/>
      <c r="E557" s="157" t="s">
        <v>755</v>
      </c>
      <c r="F557" s="223" t="s">
        <v>305</v>
      </c>
      <c r="G557" s="223"/>
      <c r="H557" s="224" t="s">
        <v>306</v>
      </c>
      <c r="I557" s="157"/>
      <c r="J557" s="172"/>
      <c r="K557" s="157"/>
      <c r="L557" s="223" t="s">
        <v>296</v>
      </c>
      <c r="M557" s="173"/>
      <c r="N557" s="173"/>
      <c r="O557" s="157" t="s">
        <v>307</v>
      </c>
      <c r="P557" s="158"/>
      <c r="Q557" s="185"/>
      <c r="R557" s="175"/>
      <c r="S557" s="174">
        <f t="shared" si="24"/>
        <v>0</v>
      </c>
      <c r="T557" s="157"/>
      <c r="U557" s="177">
        <v>-95.56</v>
      </c>
      <c r="V557" s="157"/>
      <c r="W557" s="157"/>
      <c r="X557" s="176">
        <f t="shared" si="25"/>
        <v>-95.56</v>
      </c>
      <c r="Y557" s="184"/>
      <c r="Z557" s="179"/>
      <c r="AA557" s="157"/>
      <c r="AB557" s="157"/>
      <c r="AC557" s="157"/>
    </row>
    <row r="558" spans="1:29" ht="12" customHeight="1" outlineLevel="1">
      <c r="A558" s="170" t="s">
        <v>302</v>
      </c>
      <c r="B558" s="157" t="s">
        <v>303</v>
      </c>
      <c r="C558" s="171">
        <v>42877</v>
      </c>
      <c r="D558" s="178"/>
      <c r="E558" s="157" t="s">
        <v>756</v>
      </c>
      <c r="F558" s="223" t="s">
        <v>305</v>
      </c>
      <c r="G558" s="223"/>
      <c r="H558" s="224" t="s">
        <v>306</v>
      </c>
      <c r="I558" s="157"/>
      <c r="J558" s="172"/>
      <c r="K558" s="157"/>
      <c r="L558" s="223" t="s">
        <v>296</v>
      </c>
      <c r="M558" s="173"/>
      <c r="N558" s="173"/>
      <c r="O558" s="157" t="s">
        <v>307</v>
      </c>
      <c r="P558" s="158"/>
      <c r="Q558" s="185"/>
      <c r="R558" s="175"/>
      <c r="S558" s="174">
        <f t="shared" si="24"/>
        <v>0</v>
      </c>
      <c r="T558" s="157"/>
      <c r="U558" s="177">
        <v>-50.23</v>
      </c>
      <c r="V558" s="157"/>
      <c r="W558" s="157"/>
      <c r="X558" s="176">
        <f t="shared" si="25"/>
        <v>-50.23</v>
      </c>
      <c r="Y558" s="184"/>
      <c r="Z558" s="179"/>
      <c r="AA558" s="157"/>
      <c r="AB558" s="157"/>
      <c r="AC558" s="157"/>
    </row>
    <row r="559" spans="1:29" ht="12" customHeight="1" outlineLevel="1">
      <c r="A559" s="170" t="s">
        <v>302</v>
      </c>
      <c r="B559" s="157" t="s">
        <v>303</v>
      </c>
      <c r="C559" s="171">
        <v>42877</v>
      </c>
      <c r="D559" s="178"/>
      <c r="E559" s="157" t="s">
        <v>757</v>
      </c>
      <c r="F559" s="223" t="s">
        <v>305</v>
      </c>
      <c r="G559" s="223"/>
      <c r="H559" s="224" t="s">
        <v>306</v>
      </c>
      <c r="I559" s="157"/>
      <c r="J559" s="172"/>
      <c r="K559" s="157"/>
      <c r="L559" s="223" t="s">
        <v>296</v>
      </c>
      <c r="M559" s="173"/>
      <c r="N559" s="173"/>
      <c r="O559" s="157" t="s">
        <v>307</v>
      </c>
      <c r="P559" s="158"/>
      <c r="Q559" s="185"/>
      <c r="R559" s="175"/>
      <c r="S559" s="174">
        <f t="shared" si="24"/>
        <v>0</v>
      </c>
      <c r="T559" s="157"/>
      <c r="U559" s="177">
        <v>-18.38</v>
      </c>
      <c r="V559" s="157"/>
      <c r="W559" s="157"/>
      <c r="X559" s="176">
        <f t="shared" si="25"/>
        <v>-18.38</v>
      </c>
      <c r="Y559" s="184"/>
      <c r="Z559" s="179"/>
      <c r="AA559" s="157"/>
      <c r="AB559" s="157"/>
      <c r="AC559" s="157"/>
    </row>
    <row r="560" spans="1:29" ht="12" customHeight="1" outlineLevel="1">
      <c r="A560" s="170" t="s">
        <v>302</v>
      </c>
      <c r="B560" s="157" t="s">
        <v>303</v>
      </c>
      <c r="C560" s="171">
        <v>42877</v>
      </c>
      <c r="D560" s="178"/>
      <c r="E560" s="157" t="s">
        <v>758</v>
      </c>
      <c r="F560" s="223" t="s">
        <v>305</v>
      </c>
      <c r="G560" s="223"/>
      <c r="H560" s="224" t="s">
        <v>306</v>
      </c>
      <c r="I560" s="157"/>
      <c r="J560" s="172"/>
      <c r="K560" s="157"/>
      <c r="L560" s="223" t="s">
        <v>296</v>
      </c>
      <c r="M560" s="173"/>
      <c r="N560" s="173"/>
      <c r="O560" s="157" t="s">
        <v>307</v>
      </c>
      <c r="P560" s="158"/>
      <c r="Q560" s="185"/>
      <c r="R560" s="175"/>
      <c r="S560" s="174">
        <f t="shared" si="24"/>
        <v>0</v>
      </c>
      <c r="T560" s="157"/>
      <c r="U560" s="177">
        <v>-10.09</v>
      </c>
      <c r="V560" s="157"/>
      <c r="W560" s="157"/>
      <c r="X560" s="176">
        <f t="shared" si="25"/>
        <v>-10.09</v>
      </c>
      <c r="Y560" s="184"/>
      <c r="Z560" s="179"/>
      <c r="AA560" s="157"/>
      <c r="AB560" s="157"/>
      <c r="AC560" s="157"/>
    </row>
    <row r="561" spans="1:29" ht="12" customHeight="1" outlineLevel="1">
      <c r="A561" s="170" t="s">
        <v>302</v>
      </c>
      <c r="B561" s="157" t="s">
        <v>303</v>
      </c>
      <c r="C561" s="171">
        <v>42877</v>
      </c>
      <c r="D561" s="178"/>
      <c r="E561" s="157" t="s">
        <v>759</v>
      </c>
      <c r="F561" s="223" t="s">
        <v>305</v>
      </c>
      <c r="G561" s="223"/>
      <c r="H561" s="224" t="s">
        <v>306</v>
      </c>
      <c r="I561" s="157" t="s">
        <v>1009</v>
      </c>
      <c r="J561" s="157" t="s">
        <v>1009</v>
      </c>
      <c r="K561" s="157" t="s">
        <v>1009</v>
      </c>
      <c r="L561" s="223" t="s">
        <v>296</v>
      </c>
      <c r="M561" s="173"/>
      <c r="N561" s="173"/>
      <c r="O561" s="157" t="s">
        <v>271</v>
      </c>
      <c r="P561" s="158">
        <v>2179.52</v>
      </c>
      <c r="Q561" s="185"/>
      <c r="R561" s="175"/>
      <c r="S561" s="174">
        <f t="shared" si="24"/>
        <v>2179.52</v>
      </c>
      <c r="T561" s="157"/>
      <c r="U561" s="177"/>
      <c r="V561" s="157"/>
      <c r="W561" s="157"/>
      <c r="X561" s="176">
        <f t="shared" si="25"/>
        <v>0</v>
      </c>
      <c r="Y561" s="184"/>
      <c r="Z561" s="179"/>
      <c r="AA561" s="157"/>
      <c r="AB561" s="157"/>
      <c r="AC561" s="157"/>
    </row>
    <row r="562" spans="1:29" ht="12" customHeight="1" outlineLevel="1">
      <c r="A562" s="170" t="s">
        <v>302</v>
      </c>
      <c r="B562" s="157" t="s">
        <v>303</v>
      </c>
      <c r="C562" s="171">
        <v>42877</v>
      </c>
      <c r="D562" s="178"/>
      <c r="E562" s="157" t="s">
        <v>760</v>
      </c>
      <c r="F562" s="223" t="s">
        <v>305</v>
      </c>
      <c r="G562" s="223"/>
      <c r="H562" s="224" t="s">
        <v>306</v>
      </c>
      <c r="I562" s="157" t="s">
        <v>1009</v>
      </c>
      <c r="J562" s="157" t="s">
        <v>1009</v>
      </c>
      <c r="K562" s="157" t="s">
        <v>1009</v>
      </c>
      <c r="L562" s="223" t="s">
        <v>296</v>
      </c>
      <c r="M562" s="173"/>
      <c r="N562" s="173"/>
      <c r="O562" s="157" t="s">
        <v>271</v>
      </c>
      <c r="P562" s="158">
        <v>1535.95</v>
      </c>
      <c r="Q562" s="185"/>
      <c r="R562" s="175"/>
      <c r="S562" s="174">
        <f t="shared" si="24"/>
        <v>1535.95</v>
      </c>
      <c r="T562" s="157"/>
      <c r="U562" s="177"/>
      <c r="V562" s="157"/>
      <c r="W562" s="157"/>
      <c r="X562" s="176">
        <f t="shared" si="25"/>
        <v>0</v>
      </c>
      <c r="Y562" s="184"/>
      <c r="Z562" s="179"/>
      <c r="AA562" s="157"/>
      <c r="AB562" s="157"/>
      <c r="AC562" s="157"/>
    </row>
    <row r="563" spans="1:29" ht="12" customHeight="1" outlineLevel="1">
      <c r="A563" s="170" t="s">
        <v>302</v>
      </c>
      <c r="B563" s="157" t="s">
        <v>303</v>
      </c>
      <c r="C563" s="171">
        <v>42877</v>
      </c>
      <c r="D563" s="178"/>
      <c r="E563" s="157" t="s">
        <v>761</v>
      </c>
      <c r="F563" s="223" t="s">
        <v>305</v>
      </c>
      <c r="G563" s="223"/>
      <c r="H563" s="224" t="s">
        <v>306</v>
      </c>
      <c r="I563" s="157" t="s">
        <v>1009</v>
      </c>
      <c r="J563" s="157" t="s">
        <v>1009</v>
      </c>
      <c r="K563" s="157" t="s">
        <v>1009</v>
      </c>
      <c r="L563" s="223" t="s">
        <v>296</v>
      </c>
      <c r="M563" s="173"/>
      <c r="N563" s="173"/>
      <c r="O563" s="157" t="s">
        <v>271</v>
      </c>
      <c r="P563" s="158">
        <v>1467.88</v>
      </c>
      <c r="Q563" s="185"/>
      <c r="R563" s="175"/>
      <c r="S563" s="174">
        <f t="shared" si="24"/>
        <v>1467.88</v>
      </c>
      <c r="T563" s="157"/>
      <c r="U563" s="177"/>
      <c r="V563" s="157"/>
      <c r="W563" s="157"/>
      <c r="X563" s="176">
        <f t="shared" si="25"/>
        <v>0</v>
      </c>
      <c r="Y563" s="184"/>
      <c r="Z563" s="179"/>
      <c r="AA563" s="157"/>
      <c r="AB563" s="157"/>
      <c r="AC563" s="157"/>
    </row>
    <row r="564" spans="1:29" ht="12" customHeight="1" outlineLevel="1">
      <c r="A564" s="170" t="s">
        <v>302</v>
      </c>
      <c r="B564" s="157" t="s">
        <v>303</v>
      </c>
      <c r="C564" s="171">
        <v>42878</v>
      </c>
      <c r="D564" s="178"/>
      <c r="E564" s="157" t="s">
        <v>762</v>
      </c>
      <c r="F564" s="223" t="s">
        <v>305</v>
      </c>
      <c r="G564" s="223"/>
      <c r="H564" s="224" t="s">
        <v>306</v>
      </c>
      <c r="I564" s="157"/>
      <c r="J564" s="172"/>
      <c r="K564" s="157"/>
      <c r="L564" s="223" t="s">
        <v>296</v>
      </c>
      <c r="M564" s="173"/>
      <c r="N564" s="173"/>
      <c r="O564" s="157" t="s">
        <v>307</v>
      </c>
      <c r="P564" s="158"/>
      <c r="Q564" s="185"/>
      <c r="R564" s="175"/>
      <c r="S564" s="174">
        <f t="shared" si="24"/>
        <v>0</v>
      </c>
      <c r="T564" s="157"/>
      <c r="U564" s="177">
        <v>-66.33</v>
      </c>
      <c r="V564" s="157"/>
      <c r="W564" s="157"/>
      <c r="X564" s="176">
        <f t="shared" si="25"/>
        <v>-66.33</v>
      </c>
      <c r="Y564" s="184"/>
      <c r="Z564" s="179"/>
      <c r="AA564" s="157"/>
      <c r="AB564" s="157"/>
      <c r="AC564" s="157"/>
    </row>
    <row r="565" spans="1:29" ht="12" customHeight="1" outlineLevel="1">
      <c r="A565" s="170" t="s">
        <v>302</v>
      </c>
      <c r="B565" s="157" t="s">
        <v>303</v>
      </c>
      <c r="C565" s="171">
        <v>42878</v>
      </c>
      <c r="D565" s="178"/>
      <c r="E565" s="157" t="s">
        <v>763</v>
      </c>
      <c r="F565" s="223" t="s">
        <v>305</v>
      </c>
      <c r="G565" s="223"/>
      <c r="H565" s="224" t="s">
        <v>306</v>
      </c>
      <c r="I565" s="157"/>
      <c r="J565" s="172"/>
      <c r="K565" s="157"/>
      <c r="L565" s="223" t="s">
        <v>296</v>
      </c>
      <c r="M565" s="173"/>
      <c r="N565" s="173"/>
      <c r="O565" s="157" t="s">
        <v>307</v>
      </c>
      <c r="P565" s="158"/>
      <c r="Q565" s="185"/>
      <c r="R565" s="175"/>
      <c r="S565" s="174">
        <f t="shared" si="24"/>
        <v>0</v>
      </c>
      <c r="T565" s="157"/>
      <c r="U565" s="177">
        <v>-688.65</v>
      </c>
      <c r="V565" s="157"/>
      <c r="W565" s="157"/>
      <c r="X565" s="176">
        <f t="shared" si="25"/>
        <v>-688.65</v>
      </c>
      <c r="Y565" s="184"/>
      <c r="Z565" s="179"/>
      <c r="AA565" s="157"/>
      <c r="AB565" s="157"/>
      <c r="AC565" s="157"/>
    </row>
    <row r="566" spans="1:29" ht="12" customHeight="1" outlineLevel="1">
      <c r="A566" s="170" t="s">
        <v>302</v>
      </c>
      <c r="B566" s="157" t="s">
        <v>303</v>
      </c>
      <c r="C566" s="171">
        <v>42878</v>
      </c>
      <c r="D566" s="178"/>
      <c r="E566" s="157" t="s">
        <v>764</v>
      </c>
      <c r="F566" s="223" t="s">
        <v>305</v>
      </c>
      <c r="G566" s="223"/>
      <c r="H566" s="224" t="s">
        <v>306</v>
      </c>
      <c r="I566" s="157"/>
      <c r="J566" s="172"/>
      <c r="K566" s="157"/>
      <c r="L566" s="223" t="s">
        <v>296</v>
      </c>
      <c r="M566" s="173"/>
      <c r="N566" s="173"/>
      <c r="O566" s="157" t="s">
        <v>307</v>
      </c>
      <c r="P566" s="158"/>
      <c r="Q566" s="185"/>
      <c r="R566" s="175"/>
      <c r="S566" s="174">
        <f t="shared" si="24"/>
        <v>0</v>
      </c>
      <c r="T566" s="157"/>
      <c r="U566" s="177">
        <v>-141.56</v>
      </c>
      <c r="V566" s="157"/>
      <c r="W566" s="157"/>
      <c r="X566" s="176">
        <f t="shared" si="25"/>
        <v>-141.56</v>
      </c>
      <c r="Y566" s="184"/>
      <c r="Z566" s="179"/>
      <c r="AA566" s="157"/>
      <c r="AB566" s="157"/>
      <c r="AC566" s="157"/>
    </row>
    <row r="567" spans="1:29" ht="12" customHeight="1" outlineLevel="1">
      <c r="A567" s="170" t="s">
        <v>302</v>
      </c>
      <c r="B567" s="157" t="s">
        <v>303</v>
      </c>
      <c r="C567" s="171">
        <v>42878</v>
      </c>
      <c r="D567" s="178"/>
      <c r="E567" s="157" t="s">
        <v>765</v>
      </c>
      <c r="F567" s="223" t="s">
        <v>305</v>
      </c>
      <c r="G567" s="223"/>
      <c r="H567" s="224" t="s">
        <v>306</v>
      </c>
      <c r="I567" s="157"/>
      <c r="J567" s="172"/>
      <c r="K567" s="157"/>
      <c r="L567" s="223" t="s">
        <v>296</v>
      </c>
      <c r="M567" s="173"/>
      <c r="N567" s="173"/>
      <c r="O567" s="157" t="s">
        <v>307</v>
      </c>
      <c r="P567" s="158"/>
      <c r="Q567" s="185"/>
      <c r="R567" s="175"/>
      <c r="S567" s="174">
        <f t="shared" si="24"/>
        <v>0</v>
      </c>
      <c r="T567" s="157"/>
      <c r="U567" s="177">
        <v>-51.7</v>
      </c>
      <c r="V567" s="157"/>
      <c r="W567" s="157"/>
      <c r="X567" s="176">
        <f t="shared" si="25"/>
        <v>-51.7</v>
      </c>
      <c r="Y567" s="184"/>
      <c r="Z567" s="179"/>
      <c r="AA567" s="157"/>
      <c r="AB567" s="157"/>
      <c r="AC567" s="157"/>
    </row>
    <row r="568" spans="1:29" ht="12" customHeight="1" outlineLevel="1">
      <c r="A568" s="170" t="s">
        <v>302</v>
      </c>
      <c r="B568" s="157" t="s">
        <v>303</v>
      </c>
      <c r="C568" s="171">
        <v>42878</v>
      </c>
      <c r="D568" s="178"/>
      <c r="E568" s="157" t="s">
        <v>766</v>
      </c>
      <c r="F568" s="223" t="s">
        <v>305</v>
      </c>
      <c r="G568" s="223"/>
      <c r="H568" s="224" t="s">
        <v>306</v>
      </c>
      <c r="I568" s="157"/>
      <c r="J568" s="172"/>
      <c r="K568" s="157"/>
      <c r="L568" s="223" t="s">
        <v>296</v>
      </c>
      <c r="M568" s="173"/>
      <c r="N568" s="173"/>
      <c r="O568" s="157" t="s">
        <v>307</v>
      </c>
      <c r="P568" s="158"/>
      <c r="Q568" s="185"/>
      <c r="R568" s="175"/>
      <c r="S568" s="174">
        <f t="shared" si="24"/>
        <v>0</v>
      </c>
      <c r="T568" s="157"/>
      <c r="U568" s="177">
        <v>-90.02</v>
      </c>
      <c r="V568" s="157"/>
      <c r="W568" s="157"/>
      <c r="X568" s="176">
        <f t="shared" si="25"/>
        <v>-90.02</v>
      </c>
      <c r="Y568" s="184"/>
      <c r="Z568" s="179"/>
      <c r="AA568" s="157"/>
      <c r="AB568" s="157"/>
      <c r="AC568" s="157"/>
    </row>
    <row r="569" spans="1:29" ht="12" customHeight="1" outlineLevel="1">
      <c r="A569" s="170" t="s">
        <v>302</v>
      </c>
      <c r="B569" s="157" t="s">
        <v>303</v>
      </c>
      <c r="C569" s="171">
        <v>42878</v>
      </c>
      <c r="D569" s="178"/>
      <c r="E569" s="157" t="s">
        <v>767</v>
      </c>
      <c r="F569" s="223" t="s">
        <v>305</v>
      </c>
      <c r="G569" s="223"/>
      <c r="H569" s="224" t="s">
        <v>306</v>
      </c>
      <c r="I569" s="157"/>
      <c r="J569" s="172"/>
      <c r="K569" s="157"/>
      <c r="L569" s="223" t="s">
        <v>296</v>
      </c>
      <c r="M569" s="173"/>
      <c r="N569" s="173"/>
      <c r="O569" s="157" t="s">
        <v>307</v>
      </c>
      <c r="P569" s="158"/>
      <c r="Q569" s="185"/>
      <c r="R569" s="175"/>
      <c r="S569" s="174">
        <f t="shared" si="24"/>
        <v>0</v>
      </c>
      <c r="T569" s="157"/>
      <c r="U569" s="177">
        <v>-633.58000000000004</v>
      </c>
      <c r="V569" s="157"/>
      <c r="W569" s="157"/>
      <c r="X569" s="176">
        <f t="shared" si="25"/>
        <v>-633.58000000000004</v>
      </c>
      <c r="Y569" s="184"/>
      <c r="Z569" s="179"/>
      <c r="AA569" s="157"/>
      <c r="AB569" s="157"/>
      <c r="AC569" s="157"/>
    </row>
    <row r="570" spans="1:29" ht="12" customHeight="1" outlineLevel="1">
      <c r="A570" s="170" t="s">
        <v>302</v>
      </c>
      <c r="B570" s="157" t="s">
        <v>303</v>
      </c>
      <c r="C570" s="171">
        <v>42878</v>
      </c>
      <c r="D570" s="178"/>
      <c r="E570" s="157" t="s">
        <v>768</v>
      </c>
      <c r="F570" s="223" t="s">
        <v>305</v>
      </c>
      <c r="G570" s="223"/>
      <c r="H570" s="224" t="s">
        <v>306</v>
      </c>
      <c r="I570" s="157" t="s">
        <v>1009</v>
      </c>
      <c r="J570" s="157" t="s">
        <v>1009</v>
      </c>
      <c r="K570" s="157" t="s">
        <v>1009</v>
      </c>
      <c r="L570" s="223" t="s">
        <v>296</v>
      </c>
      <c r="M570" s="173"/>
      <c r="N570" s="173"/>
      <c r="O570" s="157" t="s">
        <v>271</v>
      </c>
      <c r="P570" s="158">
        <v>728.78</v>
      </c>
      <c r="Q570" s="185"/>
      <c r="R570" s="175"/>
      <c r="S570" s="174">
        <f t="shared" si="24"/>
        <v>728.78</v>
      </c>
      <c r="T570" s="157"/>
      <c r="U570" s="177"/>
      <c r="V570" s="157"/>
      <c r="W570" s="157"/>
      <c r="X570" s="176">
        <f t="shared" si="25"/>
        <v>0</v>
      </c>
      <c r="Y570" s="184"/>
      <c r="Z570" s="179"/>
      <c r="AA570" s="157"/>
      <c r="AB570" s="157"/>
      <c r="AC570" s="157"/>
    </row>
    <row r="571" spans="1:29" ht="12" customHeight="1" outlineLevel="1">
      <c r="A571" s="170" t="s">
        <v>302</v>
      </c>
      <c r="B571" s="157" t="s">
        <v>303</v>
      </c>
      <c r="C571" s="171">
        <v>42879</v>
      </c>
      <c r="D571" s="178"/>
      <c r="E571" s="157" t="s">
        <v>769</v>
      </c>
      <c r="F571" s="223" t="s">
        <v>305</v>
      </c>
      <c r="G571" s="223"/>
      <c r="H571" s="224" t="s">
        <v>306</v>
      </c>
      <c r="I571" s="157"/>
      <c r="J571" s="172"/>
      <c r="K571" s="157"/>
      <c r="L571" s="223" t="s">
        <v>296</v>
      </c>
      <c r="M571" s="173"/>
      <c r="N571" s="173"/>
      <c r="O571" s="157" t="s">
        <v>307</v>
      </c>
      <c r="P571" s="158"/>
      <c r="Q571" s="185"/>
      <c r="R571" s="175"/>
      <c r="S571" s="174">
        <f t="shared" si="24"/>
        <v>0</v>
      </c>
      <c r="T571" s="157"/>
      <c r="U571" s="177">
        <v>-18.36</v>
      </c>
      <c r="V571" s="157"/>
      <c r="W571" s="157"/>
      <c r="X571" s="176">
        <f t="shared" si="25"/>
        <v>-18.36</v>
      </c>
      <c r="Y571" s="184"/>
      <c r="Z571" s="179"/>
      <c r="AA571" s="157"/>
      <c r="AB571" s="157"/>
      <c r="AC571" s="157"/>
    </row>
    <row r="572" spans="1:29" ht="12" customHeight="1" outlineLevel="1">
      <c r="A572" s="170" t="s">
        <v>302</v>
      </c>
      <c r="B572" s="157" t="s">
        <v>303</v>
      </c>
      <c r="C572" s="171">
        <v>42879</v>
      </c>
      <c r="D572" s="178"/>
      <c r="E572" s="157" t="s">
        <v>770</v>
      </c>
      <c r="F572" s="223" t="s">
        <v>305</v>
      </c>
      <c r="G572" s="223"/>
      <c r="H572" s="224" t="s">
        <v>306</v>
      </c>
      <c r="I572" s="157"/>
      <c r="J572" s="172"/>
      <c r="K572" s="157"/>
      <c r="L572" s="223" t="s">
        <v>296</v>
      </c>
      <c r="M572" s="173"/>
      <c r="N572" s="173"/>
      <c r="O572" s="157" t="s">
        <v>307</v>
      </c>
      <c r="P572" s="158"/>
      <c r="Q572" s="185"/>
      <c r="R572" s="175"/>
      <c r="S572" s="174">
        <f t="shared" si="24"/>
        <v>0</v>
      </c>
      <c r="T572" s="157"/>
      <c r="U572" s="177">
        <v>-77.180000000000007</v>
      </c>
      <c r="V572" s="157"/>
      <c r="W572" s="157"/>
      <c r="X572" s="176">
        <f t="shared" si="25"/>
        <v>-77.180000000000007</v>
      </c>
      <c r="Y572" s="184"/>
      <c r="Z572" s="179"/>
      <c r="AA572" s="157"/>
      <c r="AB572" s="157"/>
      <c r="AC572" s="157"/>
    </row>
    <row r="573" spans="1:29" ht="12" customHeight="1" outlineLevel="1">
      <c r="A573" s="170" t="s">
        <v>302</v>
      </c>
      <c r="B573" s="157" t="s">
        <v>303</v>
      </c>
      <c r="C573" s="171">
        <v>42879</v>
      </c>
      <c r="D573" s="178"/>
      <c r="E573" s="157" t="s">
        <v>771</v>
      </c>
      <c r="F573" s="223" t="s">
        <v>305</v>
      </c>
      <c r="G573" s="223"/>
      <c r="H573" s="224" t="s">
        <v>306</v>
      </c>
      <c r="I573" s="157" t="s">
        <v>1009</v>
      </c>
      <c r="J573" s="157" t="s">
        <v>1009</v>
      </c>
      <c r="K573" s="157" t="s">
        <v>1009</v>
      </c>
      <c r="L573" s="223" t="s">
        <v>296</v>
      </c>
      <c r="M573" s="173"/>
      <c r="N573" s="173"/>
      <c r="O573" s="157" t="s">
        <v>271</v>
      </c>
      <c r="P573" s="158">
        <v>1312.28</v>
      </c>
      <c r="Q573" s="185"/>
      <c r="R573" s="175"/>
      <c r="S573" s="174">
        <f t="shared" si="24"/>
        <v>1312.28</v>
      </c>
      <c r="T573" s="157"/>
      <c r="U573" s="177"/>
      <c r="V573" s="157"/>
      <c r="W573" s="157"/>
      <c r="X573" s="176">
        <f t="shared" si="25"/>
        <v>0</v>
      </c>
      <c r="Y573" s="184"/>
      <c r="Z573" s="179"/>
      <c r="AA573" s="157"/>
      <c r="AB573" s="157"/>
      <c r="AC573" s="157"/>
    </row>
    <row r="574" spans="1:29" ht="12" customHeight="1" outlineLevel="1">
      <c r="A574" s="170" t="s">
        <v>302</v>
      </c>
      <c r="B574" s="157" t="s">
        <v>303</v>
      </c>
      <c r="C574" s="171">
        <v>42879</v>
      </c>
      <c r="D574" s="178"/>
      <c r="E574" s="157" t="s">
        <v>772</v>
      </c>
      <c r="F574" s="223" t="s">
        <v>305</v>
      </c>
      <c r="G574" s="223"/>
      <c r="H574" s="224" t="s">
        <v>306</v>
      </c>
      <c r="I574" s="157" t="s">
        <v>1009</v>
      </c>
      <c r="J574" s="157" t="s">
        <v>1009</v>
      </c>
      <c r="K574" s="157" t="s">
        <v>1009</v>
      </c>
      <c r="L574" s="223" t="s">
        <v>296</v>
      </c>
      <c r="M574" s="173"/>
      <c r="N574" s="173"/>
      <c r="O574" s="157" t="s">
        <v>271</v>
      </c>
      <c r="P574" s="158">
        <v>338.14</v>
      </c>
      <c r="Q574" s="185"/>
      <c r="R574" s="175"/>
      <c r="S574" s="174">
        <f t="shared" si="24"/>
        <v>338.14</v>
      </c>
      <c r="T574" s="157"/>
      <c r="U574" s="177"/>
      <c r="V574" s="157"/>
      <c r="W574" s="157"/>
      <c r="X574" s="176">
        <f t="shared" si="25"/>
        <v>0</v>
      </c>
      <c r="Y574" s="184"/>
      <c r="Z574" s="179"/>
      <c r="AA574" s="157"/>
      <c r="AB574" s="157"/>
      <c r="AC574" s="157"/>
    </row>
    <row r="575" spans="1:29" ht="12" customHeight="1" outlineLevel="1">
      <c r="A575" s="170" t="s">
        <v>302</v>
      </c>
      <c r="B575" s="157" t="s">
        <v>303</v>
      </c>
      <c r="C575" s="171">
        <v>42880</v>
      </c>
      <c r="D575" s="178"/>
      <c r="E575" s="157" t="s">
        <v>304</v>
      </c>
      <c r="F575" s="223" t="s">
        <v>305</v>
      </c>
      <c r="G575" s="223"/>
      <c r="H575" s="224" t="s">
        <v>306</v>
      </c>
      <c r="I575" s="157"/>
      <c r="J575" s="172"/>
      <c r="K575" s="157"/>
      <c r="L575" s="223" t="s">
        <v>296</v>
      </c>
      <c r="M575" s="173"/>
      <c r="N575" s="173"/>
      <c r="O575" s="157" t="s">
        <v>308</v>
      </c>
      <c r="P575" s="158"/>
      <c r="Q575" s="185"/>
      <c r="R575" s="175"/>
      <c r="S575" s="174">
        <f t="shared" si="24"/>
        <v>0</v>
      </c>
      <c r="T575" s="157"/>
      <c r="U575" s="177">
        <v>-315</v>
      </c>
      <c r="V575" s="157"/>
      <c r="W575" s="157"/>
      <c r="X575" s="176">
        <f t="shared" si="25"/>
        <v>-315</v>
      </c>
      <c r="Y575" s="184"/>
      <c r="Z575" s="179"/>
      <c r="AA575" s="157"/>
      <c r="AB575" s="157"/>
      <c r="AC575" s="157"/>
    </row>
    <row r="576" spans="1:29" ht="12" customHeight="1" outlineLevel="1">
      <c r="A576" s="170" t="s">
        <v>302</v>
      </c>
      <c r="B576" s="157" t="s">
        <v>303</v>
      </c>
      <c r="C576" s="171">
        <v>42880</v>
      </c>
      <c r="D576" s="178"/>
      <c r="E576" s="157" t="s">
        <v>773</v>
      </c>
      <c r="F576" s="223" t="s">
        <v>305</v>
      </c>
      <c r="G576" s="223"/>
      <c r="H576" s="224" t="s">
        <v>306</v>
      </c>
      <c r="I576" s="157" t="s">
        <v>1009</v>
      </c>
      <c r="J576" s="157" t="s">
        <v>1009</v>
      </c>
      <c r="K576" s="157" t="s">
        <v>1009</v>
      </c>
      <c r="L576" s="223" t="s">
        <v>296</v>
      </c>
      <c r="M576" s="173"/>
      <c r="N576" s="173"/>
      <c r="O576" s="157" t="s">
        <v>271</v>
      </c>
      <c r="P576" s="158">
        <v>1822.9</v>
      </c>
      <c r="Q576" s="185"/>
      <c r="R576" s="175"/>
      <c r="S576" s="174">
        <f t="shared" si="24"/>
        <v>1822.9</v>
      </c>
      <c r="T576" s="157"/>
      <c r="U576" s="177"/>
      <c r="V576" s="157"/>
      <c r="W576" s="157"/>
      <c r="X576" s="176">
        <f t="shared" si="25"/>
        <v>0</v>
      </c>
      <c r="Y576" s="184"/>
      <c r="Z576" s="179"/>
      <c r="AA576" s="157"/>
      <c r="AB576" s="157"/>
      <c r="AC576" s="157"/>
    </row>
    <row r="577" spans="1:29" ht="12" customHeight="1" outlineLevel="1">
      <c r="A577" s="170" t="s">
        <v>302</v>
      </c>
      <c r="B577" s="157" t="s">
        <v>303</v>
      </c>
      <c r="C577" s="171">
        <v>42881</v>
      </c>
      <c r="D577" s="178"/>
      <c r="E577" s="157" t="s">
        <v>774</v>
      </c>
      <c r="F577" s="223" t="s">
        <v>305</v>
      </c>
      <c r="G577" s="223"/>
      <c r="H577" s="224" t="s">
        <v>306</v>
      </c>
      <c r="I577" s="157"/>
      <c r="J577" s="172"/>
      <c r="K577" s="157"/>
      <c r="L577" s="223" t="s">
        <v>296</v>
      </c>
      <c r="M577" s="173"/>
      <c r="N577" s="173"/>
      <c r="O577" s="157" t="s">
        <v>307</v>
      </c>
      <c r="P577" s="158"/>
      <c r="Q577" s="185"/>
      <c r="R577" s="175"/>
      <c r="S577" s="174">
        <f t="shared" si="24"/>
        <v>0</v>
      </c>
      <c r="T577" s="157"/>
      <c r="U577" s="177">
        <v>-72</v>
      </c>
      <c r="V577" s="157"/>
      <c r="W577" s="157"/>
      <c r="X577" s="176">
        <f t="shared" si="25"/>
        <v>-72</v>
      </c>
      <c r="Y577" s="184"/>
      <c r="Z577" s="179"/>
      <c r="AA577" s="157"/>
      <c r="AB577" s="157"/>
      <c r="AC577" s="157"/>
    </row>
    <row r="578" spans="1:29" ht="12" customHeight="1" outlineLevel="1">
      <c r="A578" s="170" t="s">
        <v>302</v>
      </c>
      <c r="B578" s="157" t="s">
        <v>303</v>
      </c>
      <c r="C578" s="171">
        <v>42881</v>
      </c>
      <c r="D578" s="178"/>
      <c r="E578" s="157" t="s">
        <v>775</v>
      </c>
      <c r="F578" s="223" t="s">
        <v>305</v>
      </c>
      <c r="G578" s="223"/>
      <c r="H578" s="224" t="s">
        <v>306</v>
      </c>
      <c r="I578" s="157" t="s">
        <v>1009</v>
      </c>
      <c r="J578" s="157" t="s">
        <v>1009</v>
      </c>
      <c r="K578" s="157" t="s">
        <v>1009</v>
      </c>
      <c r="L578" s="223" t="s">
        <v>296</v>
      </c>
      <c r="M578" s="173"/>
      <c r="N578" s="173"/>
      <c r="O578" s="157" t="s">
        <v>271</v>
      </c>
      <c r="P578" s="158">
        <v>1460.97</v>
      </c>
      <c r="Q578" s="185"/>
      <c r="R578" s="175"/>
      <c r="S578" s="174">
        <f t="shared" si="24"/>
        <v>1460.97</v>
      </c>
      <c r="T578" s="157"/>
      <c r="U578" s="177"/>
      <c r="V578" s="157"/>
      <c r="W578" s="157"/>
      <c r="X578" s="176">
        <f t="shared" si="25"/>
        <v>0</v>
      </c>
      <c r="Y578" s="184"/>
      <c r="Z578" s="179"/>
      <c r="AA578" s="157"/>
      <c r="AB578" s="157"/>
      <c r="AC578" s="157"/>
    </row>
    <row r="579" spans="1:29" ht="12" customHeight="1" outlineLevel="1">
      <c r="A579" s="170" t="s">
        <v>302</v>
      </c>
      <c r="B579" s="157" t="s">
        <v>303</v>
      </c>
      <c r="C579" s="171">
        <v>42885</v>
      </c>
      <c r="D579" s="178"/>
      <c r="E579" s="157" t="s">
        <v>776</v>
      </c>
      <c r="F579" s="223" t="s">
        <v>305</v>
      </c>
      <c r="G579" s="223"/>
      <c r="H579" s="224" t="s">
        <v>306</v>
      </c>
      <c r="I579" s="157"/>
      <c r="J579" s="172"/>
      <c r="K579" s="157"/>
      <c r="L579" s="223" t="s">
        <v>296</v>
      </c>
      <c r="M579" s="173"/>
      <c r="N579" s="173"/>
      <c r="O579" s="157" t="s">
        <v>307</v>
      </c>
      <c r="P579" s="158"/>
      <c r="Q579" s="185"/>
      <c r="R579" s="175"/>
      <c r="S579" s="174">
        <f t="shared" si="24"/>
        <v>0</v>
      </c>
      <c r="T579" s="157"/>
      <c r="U579" s="177">
        <v>-73.55</v>
      </c>
      <c r="V579" s="157"/>
      <c r="W579" s="157"/>
      <c r="X579" s="176">
        <f t="shared" si="25"/>
        <v>-73.55</v>
      </c>
      <c r="Y579" s="184"/>
      <c r="Z579" s="179"/>
      <c r="AA579" s="157"/>
      <c r="AB579" s="157"/>
      <c r="AC579" s="157"/>
    </row>
    <row r="580" spans="1:29" ht="12" customHeight="1" outlineLevel="1">
      <c r="A580" s="170" t="s">
        <v>302</v>
      </c>
      <c r="B580" s="157" t="s">
        <v>303</v>
      </c>
      <c r="C580" s="171">
        <v>42885</v>
      </c>
      <c r="D580" s="178"/>
      <c r="E580" s="157" t="s">
        <v>777</v>
      </c>
      <c r="F580" s="223" t="s">
        <v>305</v>
      </c>
      <c r="G580" s="223"/>
      <c r="H580" s="224" t="s">
        <v>306</v>
      </c>
      <c r="I580" s="157"/>
      <c r="J580" s="172"/>
      <c r="K580" s="157"/>
      <c r="L580" s="223" t="s">
        <v>296</v>
      </c>
      <c r="M580" s="173"/>
      <c r="N580" s="173"/>
      <c r="O580" s="157" t="s">
        <v>307</v>
      </c>
      <c r="P580" s="158"/>
      <c r="Q580" s="185"/>
      <c r="R580" s="175"/>
      <c r="S580" s="174">
        <f t="shared" si="24"/>
        <v>0</v>
      </c>
      <c r="T580" s="157"/>
      <c r="U580" s="177">
        <v>-27.23</v>
      </c>
      <c r="V580" s="157"/>
      <c r="W580" s="157"/>
      <c r="X580" s="176">
        <f t="shared" si="25"/>
        <v>-27.23</v>
      </c>
      <c r="Y580" s="184"/>
      <c r="Z580" s="179"/>
      <c r="AA580" s="157"/>
      <c r="AB580" s="157"/>
      <c r="AC580" s="157"/>
    </row>
    <row r="581" spans="1:29" ht="12" customHeight="1" outlineLevel="1">
      <c r="A581" s="170" t="s">
        <v>302</v>
      </c>
      <c r="B581" s="157" t="s">
        <v>303</v>
      </c>
      <c r="C581" s="171">
        <v>42885</v>
      </c>
      <c r="D581" s="178"/>
      <c r="E581" s="157" t="s">
        <v>778</v>
      </c>
      <c r="F581" s="223" t="s">
        <v>305</v>
      </c>
      <c r="G581" s="223"/>
      <c r="H581" s="224" t="s">
        <v>306</v>
      </c>
      <c r="I581" s="157"/>
      <c r="J581" s="172"/>
      <c r="K581" s="157"/>
      <c r="L581" s="223" t="s">
        <v>296</v>
      </c>
      <c r="M581" s="173"/>
      <c r="N581" s="173"/>
      <c r="O581" s="157" t="s">
        <v>307</v>
      </c>
      <c r="P581" s="158"/>
      <c r="Q581" s="185"/>
      <c r="R581" s="175"/>
      <c r="S581" s="174">
        <f t="shared" si="24"/>
        <v>0</v>
      </c>
      <c r="T581" s="157"/>
      <c r="U581" s="177">
        <v>-271.27999999999997</v>
      </c>
      <c r="V581" s="157"/>
      <c r="W581" s="157"/>
      <c r="X581" s="176">
        <f t="shared" si="25"/>
        <v>-271.27999999999997</v>
      </c>
      <c r="Y581" s="184"/>
      <c r="Z581" s="179"/>
      <c r="AA581" s="157"/>
      <c r="AB581" s="157"/>
      <c r="AC581" s="157"/>
    </row>
    <row r="582" spans="1:29" ht="12" customHeight="1" outlineLevel="1">
      <c r="A582" s="170" t="s">
        <v>302</v>
      </c>
      <c r="B582" s="157" t="s">
        <v>303</v>
      </c>
      <c r="C582" s="171">
        <v>42885</v>
      </c>
      <c r="D582" s="178"/>
      <c r="E582" s="157" t="s">
        <v>779</v>
      </c>
      <c r="F582" s="223" t="s">
        <v>305</v>
      </c>
      <c r="G582" s="223"/>
      <c r="H582" s="224" t="s">
        <v>306</v>
      </c>
      <c r="I582" s="157"/>
      <c r="J582" s="172"/>
      <c r="K582" s="157"/>
      <c r="L582" s="223" t="s">
        <v>296</v>
      </c>
      <c r="M582" s="173"/>
      <c r="N582" s="173"/>
      <c r="O582" s="157" t="s">
        <v>307</v>
      </c>
      <c r="P582" s="158"/>
      <c r="Q582" s="185"/>
      <c r="R582" s="175"/>
      <c r="S582" s="174">
        <f t="shared" si="24"/>
        <v>0</v>
      </c>
      <c r="T582" s="157"/>
      <c r="U582" s="177">
        <v>-57.92</v>
      </c>
      <c r="V582" s="157"/>
      <c r="W582" s="157"/>
      <c r="X582" s="176">
        <f t="shared" si="25"/>
        <v>-57.92</v>
      </c>
      <c r="Y582" s="184"/>
      <c r="Z582" s="179"/>
      <c r="AA582" s="157"/>
      <c r="AB582" s="157"/>
      <c r="AC582" s="157"/>
    </row>
    <row r="583" spans="1:29" ht="12" customHeight="1" outlineLevel="1">
      <c r="A583" s="170" t="s">
        <v>302</v>
      </c>
      <c r="B583" s="157" t="s">
        <v>303</v>
      </c>
      <c r="C583" s="171">
        <v>42885</v>
      </c>
      <c r="D583" s="178"/>
      <c r="E583" s="157" t="s">
        <v>780</v>
      </c>
      <c r="F583" s="223" t="s">
        <v>305</v>
      </c>
      <c r="G583" s="223"/>
      <c r="H583" s="224" t="s">
        <v>306</v>
      </c>
      <c r="I583" s="157"/>
      <c r="J583" s="172"/>
      <c r="K583" s="157"/>
      <c r="L583" s="223" t="s">
        <v>296</v>
      </c>
      <c r="M583" s="173"/>
      <c r="N583" s="173"/>
      <c r="O583" s="157" t="s">
        <v>307</v>
      </c>
      <c r="P583" s="158"/>
      <c r="Q583" s="185"/>
      <c r="R583" s="175"/>
      <c r="S583" s="174">
        <f t="shared" si="24"/>
        <v>0</v>
      </c>
      <c r="T583" s="157"/>
      <c r="U583" s="177">
        <v>-69.81</v>
      </c>
      <c r="V583" s="157"/>
      <c r="W583" s="157"/>
      <c r="X583" s="176">
        <f t="shared" si="25"/>
        <v>-69.81</v>
      </c>
      <c r="Y583" s="184"/>
      <c r="Z583" s="179"/>
      <c r="AA583" s="157"/>
      <c r="AB583" s="157"/>
      <c r="AC583" s="157"/>
    </row>
    <row r="584" spans="1:29" ht="12" customHeight="1" outlineLevel="1">
      <c r="A584" s="170" t="s">
        <v>302</v>
      </c>
      <c r="B584" s="157" t="s">
        <v>303</v>
      </c>
      <c r="C584" s="171">
        <v>42885</v>
      </c>
      <c r="D584" s="178"/>
      <c r="E584" s="157" t="s">
        <v>781</v>
      </c>
      <c r="F584" s="223" t="s">
        <v>305</v>
      </c>
      <c r="G584" s="223"/>
      <c r="H584" s="224" t="s">
        <v>306</v>
      </c>
      <c r="I584" s="157"/>
      <c r="J584" s="172"/>
      <c r="K584" s="157"/>
      <c r="L584" s="223" t="s">
        <v>296</v>
      </c>
      <c r="M584" s="173"/>
      <c r="N584" s="173"/>
      <c r="O584" s="157" t="s">
        <v>307</v>
      </c>
      <c r="P584" s="158"/>
      <c r="Q584" s="185"/>
      <c r="R584" s="175"/>
      <c r="S584" s="174">
        <f t="shared" si="24"/>
        <v>0</v>
      </c>
      <c r="T584" s="157"/>
      <c r="U584" s="177">
        <v>-4.74</v>
      </c>
      <c r="V584" s="157"/>
      <c r="W584" s="157"/>
      <c r="X584" s="176">
        <f t="shared" si="25"/>
        <v>-4.74</v>
      </c>
      <c r="Y584" s="184"/>
      <c r="Z584" s="179"/>
      <c r="AA584" s="157"/>
      <c r="AB584" s="157"/>
      <c r="AC584" s="157"/>
    </row>
    <row r="585" spans="1:29" ht="12" customHeight="1" outlineLevel="1">
      <c r="A585" s="170" t="s">
        <v>302</v>
      </c>
      <c r="B585" s="157" t="s">
        <v>303</v>
      </c>
      <c r="C585" s="171">
        <v>42885</v>
      </c>
      <c r="D585" s="178"/>
      <c r="E585" s="157" t="s">
        <v>782</v>
      </c>
      <c r="F585" s="223" t="s">
        <v>305</v>
      </c>
      <c r="G585" s="223"/>
      <c r="H585" s="224" t="s">
        <v>306</v>
      </c>
      <c r="I585" s="157"/>
      <c r="J585" s="172"/>
      <c r="K585" s="157"/>
      <c r="L585" s="223" t="s">
        <v>296</v>
      </c>
      <c r="M585" s="173"/>
      <c r="N585" s="173"/>
      <c r="O585" s="157" t="s">
        <v>307</v>
      </c>
      <c r="P585" s="158"/>
      <c r="Q585" s="185"/>
      <c r="R585" s="175"/>
      <c r="S585" s="174">
        <f t="shared" si="24"/>
        <v>0</v>
      </c>
      <c r="T585" s="157"/>
      <c r="U585" s="177">
        <v>-11.97</v>
      </c>
      <c r="V585" s="157"/>
      <c r="W585" s="157"/>
      <c r="X585" s="176">
        <f t="shared" si="25"/>
        <v>-11.97</v>
      </c>
      <c r="Y585" s="184"/>
      <c r="Z585" s="179"/>
      <c r="AA585" s="157"/>
      <c r="AB585" s="157"/>
      <c r="AC585" s="157"/>
    </row>
    <row r="586" spans="1:29" ht="12" customHeight="1" outlineLevel="1">
      <c r="A586" s="170" t="s">
        <v>302</v>
      </c>
      <c r="B586" s="157" t="s">
        <v>303</v>
      </c>
      <c r="C586" s="171">
        <v>42885</v>
      </c>
      <c r="D586" s="178"/>
      <c r="E586" s="157" t="s">
        <v>782</v>
      </c>
      <c r="F586" s="223" t="s">
        <v>305</v>
      </c>
      <c r="G586" s="223"/>
      <c r="H586" s="224" t="s">
        <v>306</v>
      </c>
      <c r="I586" s="157"/>
      <c r="J586" s="172"/>
      <c r="K586" s="157"/>
      <c r="L586" s="223" t="s">
        <v>296</v>
      </c>
      <c r="M586" s="173"/>
      <c r="N586" s="173"/>
      <c r="O586" s="157" t="s">
        <v>307</v>
      </c>
      <c r="P586" s="158"/>
      <c r="Q586" s="185"/>
      <c r="R586" s="175"/>
      <c r="S586" s="174">
        <f t="shared" si="24"/>
        <v>0</v>
      </c>
      <c r="T586" s="157"/>
      <c r="U586" s="177">
        <v>-120.48</v>
      </c>
      <c r="V586" s="157"/>
      <c r="W586" s="157"/>
      <c r="X586" s="176">
        <f t="shared" si="25"/>
        <v>-120.48</v>
      </c>
      <c r="Y586" s="184"/>
      <c r="Z586" s="179"/>
      <c r="AA586" s="157"/>
      <c r="AB586" s="157"/>
      <c r="AC586" s="157"/>
    </row>
    <row r="587" spans="1:29" ht="12" customHeight="1" outlineLevel="1">
      <c r="A587" s="170" t="s">
        <v>302</v>
      </c>
      <c r="B587" s="157" t="s">
        <v>303</v>
      </c>
      <c r="C587" s="171">
        <v>42885</v>
      </c>
      <c r="D587" s="178"/>
      <c r="E587" s="157" t="s">
        <v>783</v>
      </c>
      <c r="F587" s="223" t="s">
        <v>305</v>
      </c>
      <c r="G587" s="223"/>
      <c r="H587" s="224" t="s">
        <v>306</v>
      </c>
      <c r="I587" s="157"/>
      <c r="J587" s="172"/>
      <c r="K587" s="157"/>
      <c r="L587" s="223" t="s">
        <v>296</v>
      </c>
      <c r="M587" s="173"/>
      <c r="N587" s="173"/>
      <c r="O587" s="157" t="s">
        <v>307</v>
      </c>
      <c r="P587" s="158"/>
      <c r="Q587" s="185"/>
      <c r="R587" s="175"/>
      <c r="S587" s="174">
        <f t="shared" si="24"/>
        <v>0</v>
      </c>
      <c r="T587" s="157"/>
      <c r="U587" s="177">
        <v>-410.66</v>
      </c>
      <c r="V587" s="157"/>
      <c r="W587" s="157"/>
      <c r="X587" s="176">
        <f t="shared" si="25"/>
        <v>-410.66</v>
      </c>
      <c r="Y587" s="184"/>
      <c r="Z587" s="179"/>
      <c r="AA587" s="157"/>
      <c r="AB587" s="157"/>
      <c r="AC587" s="157"/>
    </row>
    <row r="588" spans="1:29" ht="12" customHeight="1" outlineLevel="1">
      <c r="A588" s="170" t="s">
        <v>302</v>
      </c>
      <c r="B588" s="157" t="s">
        <v>303</v>
      </c>
      <c r="C588" s="171">
        <v>42885</v>
      </c>
      <c r="D588" s="178"/>
      <c r="E588" s="157" t="s">
        <v>784</v>
      </c>
      <c r="F588" s="223" t="s">
        <v>305</v>
      </c>
      <c r="G588" s="223"/>
      <c r="H588" s="224" t="s">
        <v>306</v>
      </c>
      <c r="I588" s="157" t="s">
        <v>1009</v>
      </c>
      <c r="J588" s="157" t="s">
        <v>1009</v>
      </c>
      <c r="K588" s="157" t="s">
        <v>1009</v>
      </c>
      <c r="L588" s="223" t="s">
        <v>296</v>
      </c>
      <c r="M588" s="173"/>
      <c r="N588" s="173"/>
      <c r="O588" s="157" t="s">
        <v>271</v>
      </c>
      <c r="P588" s="158">
        <v>2254.39</v>
      </c>
      <c r="Q588" s="185"/>
      <c r="R588" s="175"/>
      <c r="S588" s="174">
        <f t="shared" si="24"/>
        <v>2254.39</v>
      </c>
      <c r="T588" s="157"/>
      <c r="U588" s="177"/>
      <c r="V588" s="157"/>
      <c r="W588" s="157"/>
      <c r="X588" s="176">
        <f t="shared" si="25"/>
        <v>0</v>
      </c>
      <c r="Y588" s="184"/>
      <c r="Z588" s="179"/>
      <c r="AA588" s="157"/>
      <c r="AB588" s="157"/>
      <c r="AC588" s="157"/>
    </row>
    <row r="589" spans="1:29" ht="12" customHeight="1" outlineLevel="1">
      <c r="A589" s="170" t="s">
        <v>302</v>
      </c>
      <c r="B589" s="157" t="s">
        <v>303</v>
      </c>
      <c r="C589" s="171">
        <v>42885</v>
      </c>
      <c r="D589" s="178"/>
      <c r="E589" s="157" t="s">
        <v>785</v>
      </c>
      <c r="F589" s="223" t="s">
        <v>305</v>
      </c>
      <c r="G589" s="223"/>
      <c r="H589" s="224" t="s">
        <v>306</v>
      </c>
      <c r="I589" s="157" t="s">
        <v>1009</v>
      </c>
      <c r="J589" s="157" t="s">
        <v>1009</v>
      </c>
      <c r="K589" s="157" t="s">
        <v>1009</v>
      </c>
      <c r="L589" s="223" t="s">
        <v>296</v>
      </c>
      <c r="M589" s="173"/>
      <c r="N589" s="173"/>
      <c r="O589" s="157" t="s">
        <v>271</v>
      </c>
      <c r="P589" s="158">
        <v>1319.28</v>
      </c>
      <c r="Q589" s="185"/>
      <c r="R589" s="175"/>
      <c r="S589" s="174">
        <f t="shared" si="24"/>
        <v>1319.28</v>
      </c>
      <c r="T589" s="157"/>
      <c r="U589" s="177"/>
      <c r="V589" s="157"/>
      <c r="W589" s="157"/>
      <c r="X589" s="176">
        <f t="shared" si="25"/>
        <v>0</v>
      </c>
      <c r="Y589" s="184"/>
      <c r="Z589" s="179"/>
      <c r="AA589" s="157"/>
      <c r="AB589" s="157"/>
      <c r="AC589" s="157"/>
    </row>
    <row r="590" spans="1:29" ht="12" customHeight="1" outlineLevel="1">
      <c r="A590" s="170" t="s">
        <v>302</v>
      </c>
      <c r="B590" s="157" t="s">
        <v>303</v>
      </c>
      <c r="C590" s="171">
        <v>42885</v>
      </c>
      <c r="D590" s="178"/>
      <c r="E590" s="157" t="s">
        <v>786</v>
      </c>
      <c r="F590" s="223" t="s">
        <v>305</v>
      </c>
      <c r="G590" s="223"/>
      <c r="H590" s="224" t="s">
        <v>306</v>
      </c>
      <c r="I590" s="157" t="s">
        <v>1009</v>
      </c>
      <c r="J590" s="157" t="s">
        <v>1009</v>
      </c>
      <c r="K590" s="157" t="s">
        <v>1009</v>
      </c>
      <c r="L590" s="223" t="s">
        <v>296</v>
      </c>
      <c r="M590" s="173"/>
      <c r="N590" s="173"/>
      <c r="O590" s="157" t="s">
        <v>271</v>
      </c>
      <c r="P590" s="158">
        <v>927.4</v>
      </c>
      <c r="Q590" s="185"/>
      <c r="R590" s="175"/>
      <c r="S590" s="174">
        <f t="shared" si="24"/>
        <v>927.4</v>
      </c>
      <c r="T590" s="157"/>
      <c r="U590" s="177"/>
      <c r="V590" s="157"/>
      <c r="W590" s="157"/>
      <c r="X590" s="176">
        <f t="shared" si="25"/>
        <v>0</v>
      </c>
      <c r="Y590" s="184"/>
      <c r="Z590" s="179"/>
      <c r="AA590" s="157"/>
      <c r="AB590" s="157"/>
      <c r="AC590" s="157"/>
    </row>
    <row r="591" spans="1:29" ht="12" customHeight="1" outlineLevel="1">
      <c r="A591" s="170" t="s">
        <v>302</v>
      </c>
      <c r="B591" s="157" t="s">
        <v>303</v>
      </c>
      <c r="C591" s="171">
        <v>42885</v>
      </c>
      <c r="D591" s="178"/>
      <c r="E591" s="157" t="s">
        <v>787</v>
      </c>
      <c r="F591" s="223" t="s">
        <v>305</v>
      </c>
      <c r="G591" s="223"/>
      <c r="H591" s="224" t="s">
        <v>306</v>
      </c>
      <c r="I591" s="157" t="s">
        <v>1009</v>
      </c>
      <c r="J591" s="157" t="s">
        <v>1009</v>
      </c>
      <c r="K591" s="157" t="s">
        <v>1009</v>
      </c>
      <c r="L591" s="223" t="s">
        <v>296</v>
      </c>
      <c r="M591" s="173"/>
      <c r="N591" s="173"/>
      <c r="O591" s="157" t="s">
        <v>271</v>
      </c>
      <c r="P591" s="158">
        <v>569.44000000000005</v>
      </c>
      <c r="Q591" s="185"/>
      <c r="R591" s="175"/>
      <c r="S591" s="174">
        <f t="shared" si="24"/>
        <v>569.44000000000005</v>
      </c>
      <c r="T591" s="157"/>
      <c r="U591" s="177"/>
      <c r="V591" s="157"/>
      <c r="W591" s="157"/>
      <c r="X591" s="176">
        <f t="shared" si="25"/>
        <v>0</v>
      </c>
      <c r="Y591" s="184"/>
      <c r="Z591" s="179"/>
      <c r="AA591" s="157"/>
      <c r="AB591" s="157"/>
      <c r="AC591" s="157"/>
    </row>
    <row r="592" spans="1:29" ht="12" customHeight="1" outlineLevel="1">
      <c r="A592" s="170" t="s">
        <v>302</v>
      </c>
      <c r="B592" s="157" t="s">
        <v>303</v>
      </c>
      <c r="C592" s="171">
        <v>42885</v>
      </c>
      <c r="D592" s="178"/>
      <c r="E592" s="157" t="s">
        <v>788</v>
      </c>
      <c r="F592" s="223" t="s">
        <v>305</v>
      </c>
      <c r="G592" s="223"/>
      <c r="H592" s="224" t="s">
        <v>306</v>
      </c>
      <c r="I592" s="157" t="s">
        <v>1009</v>
      </c>
      <c r="J592" s="157" t="s">
        <v>1009</v>
      </c>
      <c r="K592" s="157" t="s">
        <v>1009</v>
      </c>
      <c r="L592" s="223" t="s">
        <v>296</v>
      </c>
      <c r="M592" s="173"/>
      <c r="N592" s="173"/>
      <c r="O592" s="157" t="s">
        <v>271</v>
      </c>
      <c r="P592" s="158">
        <v>8.1199999999999992</v>
      </c>
      <c r="Q592" s="185"/>
      <c r="R592" s="175"/>
      <c r="S592" s="174">
        <f t="shared" si="24"/>
        <v>8.1199999999999992</v>
      </c>
      <c r="T592" s="157"/>
      <c r="U592" s="177"/>
      <c r="V592" s="157"/>
      <c r="W592" s="157"/>
      <c r="X592" s="176">
        <f t="shared" si="25"/>
        <v>0</v>
      </c>
      <c r="Y592" s="184"/>
      <c r="Z592" s="179"/>
      <c r="AA592" s="157"/>
      <c r="AB592" s="157"/>
      <c r="AC592" s="157"/>
    </row>
    <row r="593" spans="1:29" ht="12" customHeight="1" outlineLevel="1">
      <c r="A593" s="170" t="s">
        <v>302</v>
      </c>
      <c r="B593" s="157" t="s">
        <v>303</v>
      </c>
      <c r="C593" s="171">
        <v>42886</v>
      </c>
      <c r="D593" s="178"/>
      <c r="E593" s="157" t="s">
        <v>304</v>
      </c>
      <c r="F593" s="223" t="s">
        <v>305</v>
      </c>
      <c r="G593" s="223"/>
      <c r="H593" s="224" t="s">
        <v>306</v>
      </c>
      <c r="I593" s="157"/>
      <c r="J593" s="172"/>
      <c r="K593" s="157"/>
      <c r="L593" s="223" t="s">
        <v>296</v>
      </c>
      <c r="M593" s="173"/>
      <c r="N593" s="173"/>
      <c r="O593" s="157" t="s">
        <v>308</v>
      </c>
      <c r="P593" s="158"/>
      <c r="Q593" s="185"/>
      <c r="R593" s="175"/>
      <c r="S593" s="174">
        <f t="shared" si="24"/>
        <v>0</v>
      </c>
      <c r="T593" s="157"/>
      <c r="U593" s="177">
        <v>-340</v>
      </c>
      <c r="V593" s="157"/>
      <c r="W593" s="157"/>
      <c r="X593" s="176">
        <f t="shared" si="25"/>
        <v>-340</v>
      </c>
      <c r="Y593" s="184"/>
      <c r="Z593" s="179"/>
      <c r="AA593" s="157"/>
      <c r="AB593" s="157"/>
      <c r="AC593" s="157"/>
    </row>
    <row r="594" spans="1:29" ht="12" customHeight="1" outlineLevel="1">
      <c r="A594" s="170" t="s">
        <v>302</v>
      </c>
      <c r="B594" s="157" t="s">
        <v>303</v>
      </c>
      <c r="C594" s="171">
        <v>42886</v>
      </c>
      <c r="D594" s="178"/>
      <c r="E594" s="157" t="s">
        <v>304</v>
      </c>
      <c r="F594" s="223" t="s">
        <v>305</v>
      </c>
      <c r="G594" s="223"/>
      <c r="H594" s="224" t="s">
        <v>306</v>
      </c>
      <c r="I594" s="157"/>
      <c r="J594" s="172"/>
      <c r="K594" s="157"/>
      <c r="L594" s="223" t="s">
        <v>296</v>
      </c>
      <c r="M594" s="173"/>
      <c r="N594" s="173"/>
      <c r="O594" s="157" t="s">
        <v>308</v>
      </c>
      <c r="P594" s="158"/>
      <c r="Q594" s="185"/>
      <c r="R594" s="175"/>
      <c r="S594" s="174">
        <f t="shared" si="24"/>
        <v>0</v>
      </c>
      <c r="T594" s="157"/>
      <c r="U594" s="177">
        <v>-433</v>
      </c>
      <c r="V594" s="157"/>
      <c r="W594" s="157"/>
      <c r="X594" s="176">
        <f t="shared" si="25"/>
        <v>-433</v>
      </c>
      <c r="Y594" s="184"/>
      <c r="Z594" s="179"/>
      <c r="AA594" s="157"/>
      <c r="AB594" s="157"/>
      <c r="AC594" s="157"/>
    </row>
    <row r="595" spans="1:29" ht="12" customHeight="1" outlineLevel="1">
      <c r="A595" s="170" t="s">
        <v>302</v>
      </c>
      <c r="B595" s="157" t="s">
        <v>303</v>
      </c>
      <c r="C595" s="171">
        <v>42886</v>
      </c>
      <c r="D595" s="178"/>
      <c r="E595" s="157" t="s">
        <v>304</v>
      </c>
      <c r="F595" s="223" t="s">
        <v>305</v>
      </c>
      <c r="G595" s="223"/>
      <c r="H595" s="224" t="s">
        <v>306</v>
      </c>
      <c r="I595" s="157"/>
      <c r="J595" s="172"/>
      <c r="K595" s="157"/>
      <c r="L595" s="223" t="s">
        <v>296</v>
      </c>
      <c r="M595" s="173"/>
      <c r="N595" s="173"/>
      <c r="O595" s="157" t="s">
        <v>308</v>
      </c>
      <c r="P595" s="158"/>
      <c r="Q595" s="185"/>
      <c r="R595" s="175"/>
      <c r="S595" s="174">
        <f t="shared" si="24"/>
        <v>0</v>
      </c>
      <c r="T595" s="157"/>
      <c r="U595" s="177">
        <v>-474</v>
      </c>
      <c r="V595" s="157"/>
      <c r="W595" s="157"/>
      <c r="X595" s="176">
        <f t="shared" si="25"/>
        <v>-474</v>
      </c>
      <c r="Y595" s="184"/>
      <c r="Z595" s="179"/>
      <c r="AA595" s="157"/>
      <c r="AB595" s="157"/>
      <c r="AC595" s="157"/>
    </row>
    <row r="596" spans="1:29" ht="12" customHeight="1" outlineLevel="1">
      <c r="A596" s="170" t="s">
        <v>302</v>
      </c>
      <c r="B596" s="157" t="s">
        <v>303</v>
      </c>
      <c r="C596" s="171">
        <v>42886</v>
      </c>
      <c r="D596" s="178"/>
      <c r="E596" s="157" t="s">
        <v>304</v>
      </c>
      <c r="F596" s="223" t="s">
        <v>305</v>
      </c>
      <c r="G596" s="223"/>
      <c r="H596" s="224" t="s">
        <v>306</v>
      </c>
      <c r="I596" s="157"/>
      <c r="J596" s="172"/>
      <c r="K596" s="157"/>
      <c r="L596" s="223" t="s">
        <v>296</v>
      </c>
      <c r="M596" s="173"/>
      <c r="N596" s="173"/>
      <c r="O596" s="157" t="s">
        <v>308</v>
      </c>
      <c r="P596" s="158"/>
      <c r="Q596" s="185"/>
      <c r="R596" s="175"/>
      <c r="S596" s="174">
        <f t="shared" si="24"/>
        <v>0</v>
      </c>
      <c r="T596" s="157"/>
      <c r="U596" s="177">
        <v>-431</v>
      </c>
      <c r="V596" s="157"/>
      <c r="W596" s="157"/>
      <c r="X596" s="176">
        <f t="shared" si="25"/>
        <v>-431</v>
      </c>
      <c r="Y596" s="184"/>
      <c r="Z596" s="179"/>
      <c r="AA596" s="157"/>
      <c r="AB596" s="157"/>
      <c r="AC596" s="157"/>
    </row>
    <row r="597" spans="1:29" ht="12" customHeight="1" outlineLevel="1">
      <c r="A597" s="170" t="s">
        <v>302</v>
      </c>
      <c r="B597" s="157" t="s">
        <v>303</v>
      </c>
      <c r="C597" s="171">
        <v>42886</v>
      </c>
      <c r="D597" s="178"/>
      <c r="E597" s="157" t="s">
        <v>304</v>
      </c>
      <c r="F597" s="223" t="s">
        <v>305</v>
      </c>
      <c r="G597" s="223"/>
      <c r="H597" s="224" t="s">
        <v>306</v>
      </c>
      <c r="I597" s="157"/>
      <c r="J597" s="172"/>
      <c r="K597" s="157"/>
      <c r="L597" s="223" t="s">
        <v>296</v>
      </c>
      <c r="M597" s="173"/>
      <c r="N597" s="173"/>
      <c r="O597" s="157" t="s">
        <v>308</v>
      </c>
      <c r="P597" s="158"/>
      <c r="Q597" s="185"/>
      <c r="R597" s="175"/>
      <c r="S597" s="174">
        <f t="shared" si="24"/>
        <v>0</v>
      </c>
      <c r="T597" s="157"/>
      <c r="U597" s="177">
        <v>-340</v>
      </c>
      <c r="V597" s="157"/>
      <c r="W597" s="157"/>
      <c r="X597" s="176">
        <f t="shared" si="25"/>
        <v>-340</v>
      </c>
      <c r="Y597" s="184"/>
      <c r="Z597" s="179"/>
      <c r="AA597" s="157"/>
      <c r="AB597" s="157"/>
      <c r="AC597" s="157"/>
    </row>
    <row r="598" spans="1:29" ht="12" customHeight="1" outlineLevel="1">
      <c r="A598" s="170" t="s">
        <v>302</v>
      </c>
      <c r="B598" s="157" t="s">
        <v>303</v>
      </c>
      <c r="C598" s="171">
        <v>42886</v>
      </c>
      <c r="D598" s="178"/>
      <c r="E598" s="157" t="s">
        <v>304</v>
      </c>
      <c r="F598" s="223" t="s">
        <v>305</v>
      </c>
      <c r="G598" s="223"/>
      <c r="H598" s="224" t="s">
        <v>306</v>
      </c>
      <c r="I598" s="157"/>
      <c r="J598" s="172"/>
      <c r="K598" s="157"/>
      <c r="L598" s="223" t="s">
        <v>296</v>
      </c>
      <c r="M598" s="173"/>
      <c r="N598" s="173"/>
      <c r="O598" s="157" t="s">
        <v>308</v>
      </c>
      <c r="P598" s="158"/>
      <c r="Q598" s="185"/>
      <c r="R598" s="175"/>
      <c r="S598" s="174">
        <f t="shared" si="24"/>
        <v>0</v>
      </c>
      <c r="T598" s="157"/>
      <c r="U598" s="177">
        <v>-200</v>
      </c>
      <c r="V598" s="157"/>
      <c r="W598" s="157"/>
      <c r="X598" s="176">
        <f t="shared" si="25"/>
        <v>-200</v>
      </c>
      <c r="Y598" s="184"/>
      <c r="Z598" s="179"/>
      <c r="AA598" s="157"/>
      <c r="AB598" s="157"/>
      <c r="AC598" s="157"/>
    </row>
    <row r="599" spans="1:29" ht="12" customHeight="1" outlineLevel="1">
      <c r="A599" s="170" t="s">
        <v>302</v>
      </c>
      <c r="B599" s="157" t="s">
        <v>303</v>
      </c>
      <c r="C599" s="171">
        <v>42886</v>
      </c>
      <c r="D599" s="178"/>
      <c r="E599" s="157" t="s">
        <v>304</v>
      </c>
      <c r="F599" s="223" t="s">
        <v>305</v>
      </c>
      <c r="G599" s="223"/>
      <c r="H599" s="224" t="s">
        <v>306</v>
      </c>
      <c r="I599" s="157"/>
      <c r="J599" s="172"/>
      <c r="K599" s="157"/>
      <c r="L599" s="223" t="s">
        <v>296</v>
      </c>
      <c r="M599" s="173"/>
      <c r="N599" s="173"/>
      <c r="O599" s="157" t="s">
        <v>308</v>
      </c>
      <c r="P599" s="158"/>
      <c r="Q599" s="185"/>
      <c r="R599" s="175"/>
      <c r="S599" s="174">
        <f t="shared" si="24"/>
        <v>0</v>
      </c>
      <c r="T599" s="157"/>
      <c r="U599" s="177">
        <v>-340</v>
      </c>
      <c r="V599" s="157"/>
      <c r="W599" s="157"/>
      <c r="X599" s="176">
        <f t="shared" si="25"/>
        <v>-340</v>
      </c>
      <c r="Y599" s="184"/>
      <c r="Z599" s="179"/>
      <c r="AA599" s="157"/>
      <c r="AB599" s="157"/>
      <c r="AC599" s="157"/>
    </row>
    <row r="600" spans="1:29" ht="12" customHeight="1" outlineLevel="1">
      <c r="A600" s="170" t="s">
        <v>302</v>
      </c>
      <c r="B600" s="157" t="s">
        <v>303</v>
      </c>
      <c r="C600" s="171">
        <v>42886</v>
      </c>
      <c r="D600" s="178"/>
      <c r="E600" s="157" t="s">
        <v>304</v>
      </c>
      <c r="F600" s="223" t="s">
        <v>305</v>
      </c>
      <c r="G600" s="223"/>
      <c r="H600" s="224" t="s">
        <v>306</v>
      </c>
      <c r="I600" s="157"/>
      <c r="J600" s="172"/>
      <c r="K600" s="157"/>
      <c r="L600" s="223" t="s">
        <v>296</v>
      </c>
      <c r="M600" s="173"/>
      <c r="N600" s="173"/>
      <c r="O600" s="157" t="s">
        <v>308</v>
      </c>
      <c r="P600" s="158"/>
      <c r="Q600" s="185"/>
      <c r="R600" s="175"/>
      <c r="S600" s="174">
        <f t="shared" si="24"/>
        <v>0</v>
      </c>
      <c r="T600" s="157"/>
      <c r="U600" s="177">
        <v>-340</v>
      </c>
      <c r="V600" s="157"/>
      <c r="W600" s="157"/>
      <c r="X600" s="176">
        <f t="shared" si="25"/>
        <v>-340</v>
      </c>
      <c r="Y600" s="184"/>
      <c r="Z600" s="179"/>
      <c r="AA600" s="157"/>
      <c r="AB600" s="157"/>
      <c r="AC600" s="157"/>
    </row>
    <row r="601" spans="1:29" ht="12" customHeight="1" outlineLevel="1">
      <c r="A601" s="170" t="s">
        <v>302</v>
      </c>
      <c r="B601" s="157" t="s">
        <v>303</v>
      </c>
      <c r="C601" s="171">
        <v>42886</v>
      </c>
      <c r="D601" s="178"/>
      <c r="E601" s="157" t="s">
        <v>304</v>
      </c>
      <c r="F601" s="223" t="s">
        <v>305</v>
      </c>
      <c r="G601" s="223"/>
      <c r="H601" s="224" t="s">
        <v>306</v>
      </c>
      <c r="I601" s="157"/>
      <c r="J601" s="172"/>
      <c r="K601" s="157"/>
      <c r="L601" s="223" t="s">
        <v>296</v>
      </c>
      <c r="M601" s="173"/>
      <c r="N601" s="173"/>
      <c r="O601" s="157" t="s">
        <v>308</v>
      </c>
      <c r="P601" s="158"/>
      <c r="Q601" s="185"/>
      <c r="R601" s="175"/>
      <c r="S601" s="174">
        <f t="shared" si="24"/>
        <v>0</v>
      </c>
      <c r="T601" s="157"/>
      <c r="U601" s="177">
        <v>-340</v>
      </c>
      <c r="V601" s="157"/>
      <c r="W601" s="157"/>
      <c r="X601" s="176">
        <f t="shared" si="25"/>
        <v>-340</v>
      </c>
      <c r="Y601" s="184"/>
      <c r="Z601" s="179"/>
      <c r="AA601" s="157"/>
      <c r="AB601" s="157"/>
      <c r="AC601" s="157"/>
    </row>
    <row r="602" spans="1:29" ht="12" customHeight="1" outlineLevel="1">
      <c r="A602" s="170" t="s">
        <v>302</v>
      </c>
      <c r="B602" s="157" t="s">
        <v>303</v>
      </c>
      <c r="C602" s="171">
        <v>42886</v>
      </c>
      <c r="D602" s="178"/>
      <c r="E602" s="157" t="s">
        <v>304</v>
      </c>
      <c r="F602" s="223" t="s">
        <v>305</v>
      </c>
      <c r="G602" s="223"/>
      <c r="H602" s="224" t="s">
        <v>306</v>
      </c>
      <c r="I602" s="157"/>
      <c r="J602" s="172"/>
      <c r="K602" s="157"/>
      <c r="L602" s="223" t="s">
        <v>296</v>
      </c>
      <c r="M602" s="173"/>
      <c r="N602" s="173"/>
      <c r="O602" s="157" t="s">
        <v>308</v>
      </c>
      <c r="P602" s="158"/>
      <c r="Q602" s="185"/>
      <c r="R602" s="175"/>
      <c r="S602" s="174">
        <f t="shared" si="24"/>
        <v>0</v>
      </c>
      <c r="T602" s="157"/>
      <c r="U602" s="177">
        <v>-340</v>
      </c>
      <c r="V602" s="157"/>
      <c r="W602" s="157"/>
      <c r="X602" s="176">
        <f t="shared" si="25"/>
        <v>-340</v>
      </c>
      <c r="Y602" s="184"/>
      <c r="Z602" s="179"/>
      <c r="AA602" s="157"/>
      <c r="AB602" s="157"/>
      <c r="AC602" s="157"/>
    </row>
    <row r="603" spans="1:29" ht="12" customHeight="1" outlineLevel="1">
      <c r="A603" s="170" t="s">
        <v>302</v>
      </c>
      <c r="B603" s="157" t="s">
        <v>303</v>
      </c>
      <c r="C603" s="171">
        <v>42886</v>
      </c>
      <c r="D603" s="178"/>
      <c r="E603" s="157" t="s">
        <v>789</v>
      </c>
      <c r="F603" s="223" t="s">
        <v>305</v>
      </c>
      <c r="G603" s="223"/>
      <c r="H603" s="224" t="s">
        <v>306</v>
      </c>
      <c r="I603" s="157"/>
      <c r="J603" s="172"/>
      <c r="K603" s="157"/>
      <c r="L603" s="223" t="s">
        <v>296</v>
      </c>
      <c r="M603" s="173"/>
      <c r="N603" s="173"/>
      <c r="O603" s="157" t="s">
        <v>307</v>
      </c>
      <c r="P603" s="158"/>
      <c r="Q603" s="185"/>
      <c r="R603" s="175"/>
      <c r="S603" s="174">
        <f t="shared" ref="S603:S605" si="26">P603</f>
        <v>0</v>
      </c>
      <c r="T603" s="157"/>
      <c r="U603" s="177">
        <v>-74.510000000000005</v>
      </c>
      <c r="V603" s="157"/>
      <c r="W603" s="157"/>
      <c r="X603" s="176">
        <f t="shared" ref="X603:X664" si="27">U603</f>
        <v>-74.510000000000005</v>
      </c>
      <c r="Y603" s="184"/>
      <c r="Z603" s="179"/>
      <c r="AA603" s="157"/>
      <c r="AB603" s="157"/>
      <c r="AC603" s="157"/>
    </row>
    <row r="604" spans="1:29" ht="12" customHeight="1" outlineLevel="1">
      <c r="A604" s="170" t="s">
        <v>302</v>
      </c>
      <c r="B604" s="157" t="s">
        <v>303</v>
      </c>
      <c r="C604" s="171">
        <v>42886</v>
      </c>
      <c r="D604" s="178"/>
      <c r="E604" s="157" t="s">
        <v>790</v>
      </c>
      <c r="F604" s="223" t="s">
        <v>305</v>
      </c>
      <c r="G604" s="223"/>
      <c r="H604" s="224" t="s">
        <v>306</v>
      </c>
      <c r="I604" s="157" t="s">
        <v>1009</v>
      </c>
      <c r="J604" s="157" t="s">
        <v>1009</v>
      </c>
      <c r="K604" s="157" t="s">
        <v>1009</v>
      </c>
      <c r="L604" s="223" t="s">
        <v>296</v>
      </c>
      <c r="M604" s="173"/>
      <c r="N604" s="173"/>
      <c r="O604" s="157" t="s">
        <v>271</v>
      </c>
      <c r="P604" s="158">
        <v>825.23</v>
      </c>
      <c r="Q604" s="185"/>
      <c r="R604" s="175"/>
      <c r="S604" s="174">
        <f t="shared" si="26"/>
        <v>825.23</v>
      </c>
      <c r="T604" s="157"/>
      <c r="U604" s="177"/>
      <c r="V604" s="157"/>
      <c r="W604" s="157"/>
      <c r="X604" s="176">
        <f t="shared" si="27"/>
        <v>0</v>
      </c>
      <c r="Y604" s="184"/>
      <c r="Z604" s="179"/>
      <c r="AA604" s="157"/>
      <c r="AB604" s="157"/>
      <c r="AC604" s="157"/>
    </row>
    <row r="605" spans="1:29" ht="12" customHeight="1">
      <c r="A605" s="170" t="s">
        <v>302</v>
      </c>
      <c r="B605" s="157" t="s">
        <v>303</v>
      </c>
      <c r="C605" s="171">
        <v>42886</v>
      </c>
      <c r="D605" s="178"/>
      <c r="E605" s="157" t="s">
        <v>791</v>
      </c>
      <c r="F605" s="223" t="s">
        <v>305</v>
      </c>
      <c r="G605" s="223"/>
      <c r="H605" s="224" t="s">
        <v>306</v>
      </c>
      <c r="I605" s="157" t="s">
        <v>1009</v>
      </c>
      <c r="J605" s="157" t="s">
        <v>1009</v>
      </c>
      <c r="K605" s="157" t="s">
        <v>1009</v>
      </c>
      <c r="L605" s="223" t="s">
        <v>296</v>
      </c>
      <c r="M605" s="173"/>
      <c r="N605" s="173"/>
      <c r="O605" s="157" t="s">
        <v>271</v>
      </c>
      <c r="P605" s="158">
        <v>350.45</v>
      </c>
      <c r="Q605" s="185"/>
      <c r="R605" s="175"/>
      <c r="S605" s="174">
        <f t="shared" si="26"/>
        <v>350.45</v>
      </c>
      <c r="T605" s="157"/>
      <c r="U605" s="177"/>
      <c r="V605" s="157"/>
      <c r="W605" s="157"/>
      <c r="X605" s="176">
        <f t="shared" si="27"/>
        <v>0</v>
      </c>
      <c r="Y605" s="184"/>
      <c r="Z605" s="179"/>
      <c r="AA605" s="157"/>
      <c r="AB605" s="157"/>
      <c r="AC605" s="157"/>
    </row>
    <row r="606" spans="1:29" ht="12" customHeight="1" thickBot="1">
      <c r="A606" s="170"/>
      <c r="B606" s="157"/>
      <c r="C606" s="171"/>
      <c r="D606" s="178"/>
      <c r="E606" s="157"/>
      <c r="F606" s="223"/>
      <c r="G606" s="223"/>
      <c r="I606" s="157"/>
      <c r="J606" s="172"/>
      <c r="K606" s="157"/>
      <c r="L606" s="223"/>
      <c r="M606" s="173"/>
      <c r="N606" s="173"/>
      <c r="O606" s="157"/>
      <c r="P606" s="297">
        <f>SUM(P476:P605)</f>
        <v>47228.87</v>
      </c>
      <c r="Q606" s="297">
        <f t="shared" ref="Q606:X606" si="28">SUM(Q476:Q605)</f>
        <v>0</v>
      </c>
      <c r="R606" s="297">
        <f t="shared" si="28"/>
        <v>0</v>
      </c>
      <c r="S606" s="297">
        <f t="shared" si="28"/>
        <v>47228.87</v>
      </c>
      <c r="T606" s="297">
        <f t="shared" si="28"/>
        <v>0</v>
      </c>
      <c r="U606" s="297">
        <f t="shared" si="28"/>
        <v>-16134.419999999996</v>
      </c>
      <c r="V606" s="297">
        <f t="shared" si="28"/>
        <v>0</v>
      </c>
      <c r="W606" s="297">
        <f t="shared" si="28"/>
        <v>0</v>
      </c>
      <c r="X606" s="297">
        <f t="shared" si="28"/>
        <v>-16134.419999999996</v>
      </c>
      <c r="Y606" s="298">
        <f>X606+S606</f>
        <v>31094.450000000004</v>
      </c>
      <c r="Z606" s="299">
        <f>Y606/S606</f>
        <v>0.65837802174813842</v>
      </c>
      <c r="AA606" s="157"/>
      <c r="AB606" s="157"/>
      <c r="AC606" s="157"/>
    </row>
    <row r="607" spans="1:29" ht="15.75" outlineLevel="1" thickTop="1">
      <c r="A607" s="170" t="s">
        <v>302</v>
      </c>
      <c r="B607" s="157" t="s">
        <v>303</v>
      </c>
      <c r="C607" s="171">
        <v>42916</v>
      </c>
      <c r="D607" s="178"/>
      <c r="E607" s="157" t="s">
        <v>792</v>
      </c>
      <c r="F607" s="223" t="s">
        <v>305</v>
      </c>
      <c r="G607" s="223"/>
      <c r="H607" s="224" t="s">
        <v>306</v>
      </c>
      <c r="I607" s="157"/>
      <c r="J607" s="172"/>
      <c r="K607" s="157"/>
      <c r="L607" s="223" t="s">
        <v>296</v>
      </c>
      <c r="M607" s="173"/>
      <c r="N607" s="173"/>
      <c r="O607" s="157" t="s">
        <v>307</v>
      </c>
      <c r="P607" s="158"/>
      <c r="Q607" s="185"/>
      <c r="R607" s="175"/>
      <c r="S607" s="174">
        <f t="shared" ref="S607:S670" si="29">P607</f>
        <v>0</v>
      </c>
      <c r="T607" s="157"/>
      <c r="U607" s="177">
        <v>-34.869999999999997</v>
      </c>
      <c r="V607" s="157"/>
      <c r="W607" s="157"/>
      <c r="X607" s="176">
        <f t="shared" si="27"/>
        <v>-34.869999999999997</v>
      </c>
      <c r="Y607" s="228"/>
      <c r="Z607" s="311"/>
      <c r="AA607" s="157"/>
      <c r="AB607" s="157"/>
      <c r="AC607" s="157"/>
    </row>
    <row r="608" spans="1:29" outlineLevel="1">
      <c r="A608" s="170" t="s">
        <v>302</v>
      </c>
      <c r="B608" s="157" t="s">
        <v>303</v>
      </c>
      <c r="C608" s="171">
        <v>42915</v>
      </c>
      <c r="D608" s="178"/>
      <c r="E608" s="157" t="s">
        <v>793</v>
      </c>
      <c r="F608" s="223" t="s">
        <v>305</v>
      </c>
      <c r="G608" s="223"/>
      <c r="H608" s="224" t="s">
        <v>306</v>
      </c>
      <c r="I608" s="157"/>
      <c r="J608" s="172"/>
      <c r="K608" s="157"/>
      <c r="L608" s="223" t="s">
        <v>296</v>
      </c>
      <c r="M608" s="173"/>
      <c r="N608" s="173"/>
      <c r="O608" s="157" t="s">
        <v>307</v>
      </c>
      <c r="P608" s="158"/>
      <c r="Q608" s="185"/>
      <c r="R608" s="175"/>
      <c r="S608" s="174">
        <f t="shared" si="29"/>
        <v>0</v>
      </c>
      <c r="T608" s="157"/>
      <c r="U608" s="177">
        <v>-24.34</v>
      </c>
      <c r="V608" s="157"/>
      <c r="W608" s="157"/>
      <c r="X608" s="176">
        <f t="shared" si="27"/>
        <v>-24.34</v>
      </c>
      <c r="Y608" s="228"/>
      <c r="Z608" s="311"/>
      <c r="AA608" s="157"/>
      <c r="AB608" s="157"/>
      <c r="AC608" s="157"/>
    </row>
    <row r="609" spans="1:29" outlineLevel="1">
      <c r="A609" s="170" t="s">
        <v>302</v>
      </c>
      <c r="B609" s="157" t="s">
        <v>303</v>
      </c>
      <c r="C609" s="171">
        <v>42915</v>
      </c>
      <c r="D609" s="178"/>
      <c r="E609" s="157" t="s">
        <v>794</v>
      </c>
      <c r="F609" s="223" t="s">
        <v>305</v>
      </c>
      <c r="G609" s="223"/>
      <c r="H609" s="224" t="s">
        <v>306</v>
      </c>
      <c r="I609" s="157"/>
      <c r="J609" s="172"/>
      <c r="K609" s="157"/>
      <c r="L609" s="223" t="s">
        <v>296</v>
      </c>
      <c r="M609" s="173"/>
      <c r="N609" s="173"/>
      <c r="O609" s="157" t="s">
        <v>307</v>
      </c>
      <c r="P609" s="158"/>
      <c r="Q609" s="185"/>
      <c r="R609" s="175"/>
      <c r="S609" s="174">
        <f t="shared" si="29"/>
        <v>0</v>
      </c>
      <c r="T609" s="157"/>
      <c r="U609" s="177">
        <v>-92.53</v>
      </c>
      <c r="V609" s="157"/>
      <c r="W609" s="157"/>
      <c r="X609" s="176">
        <f t="shared" si="27"/>
        <v>-92.53</v>
      </c>
      <c r="Y609" s="228"/>
      <c r="Z609" s="311"/>
      <c r="AA609" s="157"/>
      <c r="AB609" s="157"/>
      <c r="AC609" s="157"/>
    </row>
    <row r="610" spans="1:29" outlineLevel="1">
      <c r="A610" s="170" t="s">
        <v>302</v>
      </c>
      <c r="B610" s="157" t="s">
        <v>303</v>
      </c>
      <c r="C610" s="171">
        <v>42914</v>
      </c>
      <c r="D610" s="178"/>
      <c r="E610" s="157" t="s">
        <v>795</v>
      </c>
      <c r="F610" s="223" t="s">
        <v>305</v>
      </c>
      <c r="G610" s="223"/>
      <c r="H610" s="224" t="s">
        <v>306</v>
      </c>
      <c r="I610" s="157"/>
      <c r="J610" s="172"/>
      <c r="K610" s="157"/>
      <c r="L610" s="223" t="s">
        <v>296</v>
      </c>
      <c r="M610" s="173"/>
      <c r="N610" s="173"/>
      <c r="O610" s="157" t="s">
        <v>307</v>
      </c>
      <c r="P610" s="158"/>
      <c r="Q610" s="185"/>
      <c r="R610" s="175"/>
      <c r="S610" s="174">
        <f t="shared" si="29"/>
        <v>0</v>
      </c>
      <c r="T610" s="157"/>
      <c r="U610" s="177">
        <v>-806.86</v>
      </c>
      <c r="V610" s="157"/>
      <c r="W610" s="157"/>
      <c r="X610" s="176">
        <f t="shared" si="27"/>
        <v>-806.86</v>
      </c>
      <c r="Y610" s="228"/>
      <c r="Z610" s="311"/>
      <c r="AA610" s="157"/>
      <c r="AB610" s="157"/>
      <c r="AC610" s="157"/>
    </row>
    <row r="611" spans="1:29" outlineLevel="1">
      <c r="A611" s="170" t="s">
        <v>302</v>
      </c>
      <c r="B611" s="157" t="s">
        <v>303</v>
      </c>
      <c r="C611" s="171">
        <v>42914</v>
      </c>
      <c r="D611" s="178"/>
      <c r="E611" s="157" t="s">
        <v>796</v>
      </c>
      <c r="F611" s="223" t="s">
        <v>305</v>
      </c>
      <c r="G611" s="223"/>
      <c r="H611" s="224" t="s">
        <v>306</v>
      </c>
      <c r="I611" s="157" t="s">
        <v>1009</v>
      </c>
      <c r="J611" s="157" t="s">
        <v>1009</v>
      </c>
      <c r="K611" s="157" t="s">
        <v>1009</v>
      </c>
      <c r="L611" s="223" t="s">
        <v>296</v>
      </c>
      <c r="M611" s="173"/>
      <c r="N611" s="173"/>
      <c r="O611" s="157" t="s">
        <v>271</v>
      </c>
      <c r="P611" s="158">
        <v>219.85</v>
      </c>
      <c r="Q611" s="185"/>
      <c r="R611" s="175"/>
      <c r="S611" s="174">
        <f t="shared" si="29"/>
        <v>219.85</v>
      </c>
      <c r="T611" s="157"/>
      <c r="U611" s="177"/>
      <c r="V611" s="157"/>
      <c r="W611" s="157"/>
      <c r="X611" s="176">
        <f t="shared" si="27"/>
        <v>0</v>
      </c>
      <c r="Y611" s="228"/>
      <c r="Z611" s="311"/>
      <c r="AA611" s="157"/>
      <c r="AB611" s="157"/>
      <c r="AC611" s="157"/>
    </row>
    <row r="612" spans="1:29" outlineLevel="1">
      <c r="A612" s="170" t="s">
        <v>302</v>
      </c>
      <c r="B612" s="157" t="s">
        <v>303</v>
      </c>
      <c r="C612" s="171">
        <v>42913</v>
      </c>
      <c r="D612" s="178"/>
      <c r="E612" s="157" t="s">
        <v>304</v>
      </c>
      <c r="F612" s="223" t="s">
        <v>305</v>
      </c>
      <c r="G612" s="223"/>
      <c r="H612" s="224" t="s">
        <v>306</v>
      </c>
      <c r="I612" s="157"/>
      <c r="J612" s="172"/>
      <c r="K612" s="157"/>
      <c r="L612" s="223" t="s">
        <v>296</v>
      </c>
      <c r="M612" s="173"/>
      <c r="N612" s="173"/>
      <c r="O612" s="157" t="s">
        <v>308</v>
      </c>
      <c r="P612" s="158"/>
      <c r="Q612" s="185"/>
      <c r="R612" s="175"/>
      <c r="S612" s="174">
        <f t="shared" si="29"/>
        <v>0</v>
      </c>
      <c r="T612" s="157"/>
      <c r="U612" s="177">
        <v>-413</v>
      </c>
      <c r="V612" s="157"/>
      <c r="W612" s="157"/>
      <c r="X612" s="176">
        <f t="shared" si="27"/>
        <v>-413</v>
      </c>
      <c r="Y612" s="228"/>
      <c r="Z612" s="311"/>
      <c r="AA612" s="157"/>
      <c r="AB612" s="157"/>
      <c r="AC612" s="157"/>
    </row>
    <row r="613" spans="1:29" outlineLevel="1">
      <c r="A613" s="170" t="s">
        <v>302</v>
      </c>
      <c r="B613" s="157" t="s">
        <v>303</v>
      </c>
      <c r="C613" s="171">
        <v>42913</v>
      </c>
      <c r="D613" s="178"/>
      <c r="E613" s="157" t="s">
        <v>797</v>
      </c>
      <c r="F613" s="223" t="s">
        <v>305</v>
      </c>
      <c r="G613" s="223"/>
      <c r="H613" s="224" t="s">
        <v>306</v>
      </c>
      <c r="I613" s="157"/>
      <c r="J613" s="172"/>
      <c r="K613" s="157"/>
      <c r="L613" s="223" t="s">
        <v>296</v>
      </c>
      <c r="M613" s="173"/>
      <c r="N613" s="173"/>
      <c r="O613" s="157" t="s">
        <v>307</v>
      </c>
      <c r="P613" s="158"/>
      <c r="Q613" s="185"/>
      <c r="R613" s="175"/>
      <c r="S613" s="174">
        <f t="shared" si="29"/>
        <v>0</v>
      </c>
      <c r="T613" s="157"/>
      <c r="U613" s="177">
        <v>-137.71</v>
      </c>
      <c r="V613" s="157"/>
      <c r="W613" s="157"/>
      <c r="X613" s="176">
        <f t="shared" si="27"/>
        <v>-137.71</v>
      </c>
      <c r="Y613" s="228"/>
      <c r="Z613" s="311"/>
      <c r="AA613" s="157"/>
      <c r="AB613" s="157"/>
      <c r="AC613" s="157"/>
    </row>
    <row r="614" spans="1:29" outlineLevel="1">
      <c r="A614" s="170" t="s">
        <v>302</v>
      </c>
      <c r="B614" s="157" t="s">
        <v>303</v>
      </c>
      <c r="C614" s="171">
        <v>42913</v>
      </c>
      <c r="D614" s="178"/>
      <c r="E614" s="157" t="s">
        <v>798</v>
      </c>
      <c r="F614" s="223" t="s">
        <v>305</v>
      </c>
      <c r="G614" s="223"/>
      <c r="H614" s="224" t="s">
        <v>306</v>
      </c>
      <c r="I614" s="157" t="s">
        <v>1009</v>
      </c>
      <c r="J614" s="157" t="s">
        <v>1009</v>
      </c>
      <c r="K614" s="157" t="s">
        <v>1009</v>
      </c>
      <c r="L614" s="223" t="s">
        <v>296</v>
      </c>
      <c r="M614" s="173"/>
      <c r="N614" s="173"/>
      <c r="O614" s="157" t="s">
        <v>271</v>
      </c>
      <c r="P614" s="158">
        <v>696.84</v>
      </c>
      <c r="Q614" s="185"/>
      <c r="R614" s="175"/>
      <c r="S614" s="174">
        <f t="shared" si="29"/>
        <v>696.84</v>
      </c>
      <c r="T614" s="157"/>
      <c r="U614" s="177"/>
      <c r="V614" s="157"/>
      <c r="W614" s="157"/>
      <c r="X614" s="176">
        <f t="shared" si="27"/>
        <v>0</v>
      </c>
      <c r="Y614" s="228"/>
      <c r="Z614" s="311"/>
      <c r="AA614" s="157"/>
      <c r="AB614" s="157"/>
      <c r="AC614" s="157"/>
    </row>
    <row r="615" spans="1:29" outlineLevel="1">
      <c r="A615" s="170" t="s">
        <v>302</v>
      </c>
      <c r="B615" s="157" t="s">
        <v>303</v>
      </c>
      <c r="C615" s="171">
        <v>42912</v>
      </c>
      <c r="D615" s="178"/>
      <c r="E615" s="157" t="s">
        <v>304</v>
      </c>
      <c r="F615" s="223" t="s">
        <v>305</v>
      </c>
      <c r="G615" s="223"/>
      <c r="H615" s="224" t="s">
        <v>306</v>
      </c>
      <c r="I615" s="157"/>
      <c r="J615" s="172"/>
      <c r="K615" s="157"/>
      <c r="L615" s="223" t="s">
        <v>296</v>
      </c>
      <c r="M615" s="173"/>
      <c r="N615" s="173"/>
      <c r="O615" s="157" t="s">
        <v>308</v>
      </c>
      <c r="P615" s="158"/>
      <c r="Q615" s="185"/>
      <c r="R615" s="175"/>
      <c r="S615" s="174">
        <f t="shared" si="29"/>
        <v>0</v>
      </c>
      <c r="T615" s="157"/>
      <c r="U615" s="177">
        <v>-487</v>
      </c>
      <c r="V615" s="157"/>
      <c r="W615" s="157"/>
      <c r="X615" s="176">
        <f t="shared" si="27"/>
        <v>-487</v>
      </c>
      <c r="Y615" s="228"/>
      <c r="Z615" s="311"/>
      <c r="AA615" s="157"/>
      <c r="AB615" s="157"/>
      <c r="AC615" s="157"/>
    </row>
    <row r="616" spans="1:29" outlineLevel="1">
      <c r="A616" s="170" t="s">
        <v>302</v>
      </c>
      <c r="B616" s="157" t="s">
        <v>303</v>
      </c>
      <c r="C616" s="171">
        <v>42912</v>
      </c>
      <c r="D616" s="178"/>
      <c r="E616" s="157" t="s">
        <v>799</v>
      </c>
      <c r="F616" s="223" t="s">
        <v>305</v>
      </c>
      <c r="G616" s="223"/>
      <c r="H616" s="224" t="s">
        <v>306</v>
      </c>
      <c r="I616" s="157"/>
      <c r="J616" s="172"/>
      <c r="K616" s="157"/>
      <c r="L616" s="223" t="s">
        <v>296</v>
      </c>
      <c r="M616" s="173"/>
      <c r="N616" s="173"/>
      <c r="O616" s="157" t="s">
        <v>307</v>
      </c>
      <c r="P616" s="158"/>
      <c r="Q616" s="185"/>
      <c r="R616" s="175"/>
      <c r="S616" s="174">
        <f t="shared" si="29"/>
        <v>0</v>
      </c>
      <c r="T616" s="157"/>
      <c r="U616" s="177">
        <v>-31</v>
      </c>
      <c r="V616" s="157"/>
      <c r="W616" s="157"/>
      <c r="X616" s="176">
        <f t="shared" si="27"/>
        <v>-31</v>
      </c>
      <c r="Y616" s="228"/>
      <c r="Z616" s="311"/>
      <c r="AA616" s="157"/>
      <c r="AB616" s="157"/>
      <c r="AC616" s="157"/>
    </row>
    <row r="617" spans="1:29" outlineLevel="1">
      <c r="A617" s="170" t="s">
        <v>302</v>
      </c>
      <c r="B617" s="157" t="s">
        <v>303</v>
      </c>
      <c r="C617" s="171">
        <v>42912</v>
      </c>
      <c r="D617" s="178"/>
      <c r="E617" s="157" t="s">
        <v>800</v>
      </c>
      <c r="F617" s="223" t="s">
        <v>305</v>
      </c>
      <c r="G617" s="223"/>
      <c r="H617" s="224" t="s">
        <v>306</v>
      </c>
      <c r="I617" s="157"/>
      <c r="J617" s="172"/>
      <c r="K617" s="157"/>
      <c r="L617" s="223" t="s">
        <v>296</v>
      </c>
      <c r="M617" s="173"/>
      <c r="N617" s="173"/>
      <c r="O617" s="157" t="s">
        <v>307</v>
      </c>
      <c r="P617" s="158"/>
      <c r="Q617" s="185"/>
      <c r="R617" s="175"/>
      <c r="S617" s="174">
        <f t="shared" si="29"/>
        <v>0</v>
      </c>
      <c r="T617" s="157"/>
      <c r="U617" s="177">
        <v>-23.88</v>
      </c>
      <c r="V617" s="157"/>
      <c r="W617" s="157"/>
      <c r="X617" s="176">
        <f t="shared" si="27"/>
        <v>-23.88</v>
      </c>
      <c r="Y617" s="228"/>
      <c r="Z617" s="311"/>
      <c r="AA617" s="157"/>
      <c r="AB617" s="157"/>
      <c r="AC617" s="157"/>
    </row>
    <row r="618" spans="1:29" outlineLevel="1">
      <c r="A618" s="170" t="s">
        <v>302</v>
      </c>
      <c r="B618" s="157" t="s">
        <v>303</v>
      </c>
      <c r="C618" s="171">
        <v>42912</v>
      </c>
      <c r="D618" s="178"/>
      <c r="E618" s="157" t="s">
        <v>801</v>
      </c>
      <c r="F618" s="223" t="s">
        <v>305</v>
      </c>
      <c r="G618" s="223"/>
      <c r="H618" s="224" t="s">
        <v>306</v>
      </c>
      <c r="I618" s="157"/>
      <c r="J618" s="172"/>
      <c r="K618" s="157"/>
      <c r="L618" s="223" t="s">
        <v>296</v>
      </c>
      <c r="M618" s="173"/>
      <c r="N618" s="173"/>
      <c r="O618" s="157" t="s">
        <v>307</v>
      </c>
      <c r="P618" s="158"/>
      <c r="Q618" s="185"/>
      <c r="R618" s="175"/>
      <c r="S618" s="174">
        <f t="shared" si="29"/>
        <v>0</v>
      </c>
      <c r="T618" s="157"/>
      <c r="U618" s="177">
        <v>-9.19</v>
      </c>
      <c r="V618" s="157"/>
      <c r="W618" s="157"/>
      <c r="X618" s="176">
        <f t="shared" si="27"/>
        <v>-9.19</v>
      </c>
      <c r="Y618" s="228"/>
      <c r="Z618" s="311"/>
      <c r="AA618" s="157"/>
      <c r="AB618" s="157"/>
      <c r="AC618" s="157"/>
    </row>
    <row r="619" spans="1:29" outlineLevel="1">
      <c r="A619" s="170" t="s">
        <v>302</v>
      </c>
      <c r="B619" s="157" t="s">
        <v>303</v>
      </c>
      <c r="C619" s="171">
        <v>42912</v>
      </c>
      <c r="D619" s="178"/>
      <c r="E619" s="157" t="s">
        <v>802</v>
      </c>
      <c r="F619" s="223" t="s">
        <v>305</v>
      </c>
      <c r="G619" s="223"/>
      <c r="H619" s="224" t="s">
        <v>306</v>
      </c>
      <c r="I619" s="157"/>
      <c r="J619" s="172"/>
      <c r="K619" s="157"/>
      <c r="L619" s="223" t="s">
        <v>296</v>
      </c>
      <c r="M619" s="173"/>
      <c r="N619" s="173"/>
      <c r="O619" s="157" t="s">
        <v>307</v>
      </c>
      <c r="P619" s="158"/>
      <c r="Q619" s="185"/>
      <c r="R619" s="175"/>
      <c r="S619" s="174">
        <f t="shared" si="29"/>
        <v>0</v>
      </c>
      <c r="T619" s="157"/>
      <c r="U619" s="177">
        <v>-29</v>
      </c>
      <c r="V619" s="157"/>
      <c r="W619" s="157"/>
      <c r="X619" s="176">
        <f t="shared" si="27"/>
        <v>-29</v>
      </c>
      <c r="Y619" s="228"/>
      <c r="Z619" s="311"/>
      <c r="AA619" s="157"/>
      <c r="AB619" s="157"/>
      <c r="AC619" s="157"/>
    </row>
    <row r="620" spans="1:29" outlineLevel="1">
      <c r="A620" s="170" t="s">
        <v>302</v>
      </c>
      <c r="B620" s="157" t="s">
        <v>303</v>
      </c>
      <c r="C620" s="171">
        <v>42912</v>
      </c>
      <c r="D620" s="178"/>
      <c r="E620" s="157" t="s">
        <v>803</v>
      </c>
      <c r="F620" s="223" t="s">
        <v>305</v>
      </c>
      <c r="G620" s="223"/>
      <c r="H620" s="224" t="s">
        <v>306</v>
      </c>
      <c r="I620" s="157"/>
      <c r="J620" s="172"/>
      <c r="K620" s="157"/>
      <c r="L620" s="223" t="s">
        <v>296</v>
      </c>
      <c r="M620" s="173"/>
      <c r="N620" s="173"/>
      <c r="O620" s="157" t="s">
        <v>307</v>
      </c>
      <c r="P620" s="158"/>
      <c r="Q620" s="185"/>
      <c r="R620" s="175"/>
      <c r="S620" s="174">
        <f t="shared" si="29"/>
        <v>0</v>
      </c>
      <c r="T620" s="157"/>
      <c r="U620" s="177">
        <v>-9.19</v>
      </c>
      <c r="V620" s="157"/>
      <c r="W620" s="157"/>
      <c r="X620" s="176">
        <f t="shared" si="27"/>
        <v>-9.19</v>
      </c>
      <c r="Y620" s="228"/>
      <c r="Z620" s="311"/>
      <c r="AA620" s="157"/>
      <c r="AB620" s="157"/>
      <c r="AC620" s="157"/>
    </row>
    <row r="621" spans="1:29" outlineLevel="1">
      <c r="A621" s="170" t="s">
        <v>302</v>
      </c>
      <c r="B621" s="157" t="s">
        <v>303</v>
      </c>
      <c r="C621" s="171">
        <v>42912</v>
      </c>
      <c r="D621" s="178"/>
      <c r="E621" s="157" t="s">
        <v>804</v>
      </c>
      <c r="F621" s="223" t="s">
        <v>305</v>
      </c>
      <c r="G621" s="223"/>
      <c r="H621" s="224" t="s">
        <v>306</v>
      </c>
      <c r="I621" s="157"/>
      <c r="J621" s="172"/>
      <c r="K621" s="157"/>
      <c r="L621" s="223" t="s">
        <v>296</v>
      </c>
      <c r="M621" s="173"/>
      <c r="N621" s="173"/>
      <c r="O621" s="157" t="s">
        <v>307</v>
      </c>
      <c r="P621" s="158"/>
      <c r="Q621" s="185"/>
      <c r="R621" s="175"/>
      <c r="S621" s="174">
        <f t="shared" si="29"/>
        <v>0</v>
      </c>
      <c r="T621" s="157"/>
      <c r="U621" s="177">
        <v>-488.32</v>
      </c>
      <c r="V621" s="157"/>
      <c r="W621" s="157"/>
      <c r="X621" s="176">
        <f t="shared" si="27"/>
        <v>-488.32</v>
      </c>
      <c r="Y621" s="228"/>
      <c r="Z621" s="311"/>
      <c r="AA621" s="157"/>
      <c r="AB621" s="157"/>
      <c r="AC621" s="157"/>
    </row>
    <row r="622" spans="1:29" outlineLevel="1">
      <c r="A622" s="170" t="s">
        <v>302</v>
      </c>
      <c r="B622" s="157" t="s">
        <v>303</v>
      </c>
      <c r="C622" s="171">
        <v>42912</v>
      </c>
      <c r="D622" s="178"/>
      <c r="E622" s="157" t="s">
        <v>805</v>
      </c>
      <c r="F622" s="223" t="s">
        <v>305</v>
      </c>
      <c r="G622" s="223"/>
      <c r="H622" s="224" t="s">
        <v>306</v>
      </c>
      <c r="I622" s="157" t="s">
        <v>1009</v>
      </c>
      <c r="J622" s="157" t="s">
        <v>1009</v>
      </c>
      <c r="K622" s="157" t="s">
        <v>1009</v>
      </c>
      <c r="L622" s="223" t="s">
        <v>296</v>
      </c>
      <c r="M622" s="173"/>
      <c r="N622" s="173"/>
      <c r="O622" s="157" t="s">
        <v>271</v>
      </c>
      <c r="P622" s="158">
        <v>1440.51</v>
      </c>
      <c r="Q622" s="185"/>
      <c r="R622" s="175"/>
      <c r="S622" s="174">
        <f t="shared" si="29"/>
        <v>1440.51</v>
      </c>
      <c r="T622" s="157"/>
      <c r="U622" s="177"/>
      <c r="V622" s="157"/>
      <c r="W622" s="157"/>
      <c r="X622" s="176">
        <f t="shared" si="27"/>
        <v>0</v>
      </c>
      <c r="Y622" s="228"/>
      <c r="Z622" s="311"/>
      <c r="AA622" s="157"/>
      <c r="AB622" s="157"/>
      <c r="AC622" s="157"/>
    </row>
    <row r="623" spans="1:29" outlineLevel="1">
      <c r="A623" s="170" t="s">
        <v>302</v>
      </c>
      <c r="B623" s="157" t="s">
        <v>303</v>
      </c>
      <c r="C623" s="171">
        <v>42912</v>
      </c>
      <c r="D623" s="178"/>
      <c r="E623" s="157" t="s">
        <v>806</v>
      </c>
      <c r="F623" s="223" t="s">
        <v>305</v>
      </c>
      <c r="G623" s="223"/>
      <c r="H623" s="224" t="s">
        <v>306</v>
      </c>
      <c r="I623" s="157" t="s">
        <v>1009</v>
      </c>
      <c r="J623" s="157" t="s">
        <v>1009</v>
      </c>
      <c r="K623" s="157" t="s">
        <v>1009</v>
      </c>
      <c r="L623" s="223" t="s">
        <v>296</v>
      </c>
      <c r="M623" s="173"/>
      <c r="N623" s="173"/>
      <c r="O623" s="157" t="s">
        <v>271</v>
      </c>
      <c r="P623" s="158">
        <v>1011.22</v>
      </c>
      <c r="Q623" s="185"/>
      <c r="R623" s="175"/>
      <c r="S623" s="174">
        <f t="shared" si="29"/>
        <v>1011.22</v>
      </c>
      <c r="T623" s="157"/>
      <c r="U623" s="177"/>
      <c r="V623" s="157"/>
      <c r="W623" s="157"/>
      <c r="X623" s="176">
        <f t="shared" si="27"/>
        <v>0</v>
      </c>
      <c r="Y623" s="228"/>
      <c r="Z623" s="311"/>
      <c r="AA623" s="157"/>
      <c r="AB623" s="157"/>
      <c r="AC623" s="157"/>
    </row>
    <row r="624" spans="1:29" outlineLevel="1">
      <c r="A624" s="170" t="s">
        <v>302</v>
      </c>
      <c r="B624" s="157" t="s">
        <v>303</v>
      </c>
      <c r="C624" s="171">
        <v>42912</v>
      </c>
      <c r="D624" s="178"/>
      <c r="E624" s="157" t="s">
        <v>807</v>
      </c>
      <c r="F624" s="223" t="s">
        <v>305</v>
      </c>
      <c r="G624" s="223"/>
      <c r="H624" s="224" t="s">
        <v>306</v>
      </c>
      <c r="I624" s="157" t="s">
        <v>1009</v>
      </c>
      <c r="J624" s="157" t="s">
        <v>1009</v>
      </c>
      <c r="K624" s="157" t="s">
        <v>1009</v>
      </c>
      <c r="L624" s="223" t="s">
        <v>296</v>
      </c>
      <c r="M624" s="173"/>
      <c r="N624" s="173"/>
      <c r="O624" s="157" t="s">
        <v>271</v>
      </c>
      <c r="P624" s="158">
        <v>728.49</v>
      </c>
      <c r="Q624" s="185"/>
      <c r="R624" s="175"/>
      <c r="S624" s="174">
        <f t="shared" si="29"/>
        <v>728.49</v>
      </c>
      <c r="T624" s="157"/>
      <c r="U624" s="177"/>
      <c r="V624" s="157"/>
      <c r="W624" s="157"/>
      <c r="X624" s="176">
        <f t="shared" si="27"/>
        <v>0</v>
      </c>
      <c r="Y624" s="228"/>
      <c r="Z624" s="311"/>
      <c r="AA624" s="157"/>
      <c r="AB624" s="157"/>
      <c r="AC624" s="157"/>
    </row>
    <row r="625" spans="1:29" outlineLevel="1">
      <c r="A625" s="170" t="s">
        <v>302</v>
      </c>
      <c r="B625" s="157" t="s">
        <v>303</v>
      </c>
      <c r="C625" s="171">
        <v>42909</v>
      </c>
      <c r="D625" s="178"/>
      <c r="E625" s="157" t="s">
        <v>808</v>
      </c>
      <c r="F625" s="223" t="s">
        <v>305</v>
      </c>
      <c r="G625" s="223"/>
      <c r="H625" s="224" t="s">
        <v>306</v>
      </c>
      <c r="I625" s="157"/>
      <c r="J625" s="172"/>
      <c r="K625" s="157"/>
      <c r="L625" s="223" t="s">
        <v>296</v>
      </c>
      <c r="M625" s="173"/>
      <c r="N625" s="173"/>
      <c r="O625" s="157" t="s">
        <v>307</v>
      </c>
      <c r="P625" s="158"/>
      <c r="Q625" s="185"/>
      <c r="R625" s="175"/>
      <c r="S625" s="174">
        <f t="shared" si="29"/>
        <v>0</v>
      </c>
      <c r="T625" s="157"/>
      <c r="U625" s="177">
        <v>-111.44</v>
      </c>
      <c r="V625" s="157"/>
      <c r="W625" s="157"/>
      <c r="X625" s="176">
        <f t="shared" si="27"/>
        <v>-111.44</v>
      </c>
      <c r="Y625" s="228"/>
      <c r="Z625" s="311"/>
      <c r="AA625" s="157"/>
      <c r="AB625" s="157"/>
      <c r="AC625" s="157"/>
    </row>
    <row r="626" spans="1:29" outlineLevel="1">
      <c r="A626" s="170" t="s">
        <v>302</v>
      </c>
      <c r="B626" s="157" t="s">
        <v>303</v>
      </c>
      <c r="C626" s="171">
        <v>42909</v>
      </c>
      <c r="D626" s="178"/>
      <c r="E626" s="157" t="s">
        <v>809</v>
      </c>
      <c r="F626" s="223" t="s">
        <v>305</v>
      </c>
      <c r="G626" s="223"/>
      <c r="H626" s="224" t="s">
        <v>306</v>
      </c>
      <c r="I626" s="157"/>
      <c r="J626" s="172"/>
      <c r="K626" s="157"/>
      <c r="L626" s="223" t="s">
        <v>296</v>
      </c>
      <c r="M626" s="173"/>
      <c r="N626" s="173"/>
      <c r="O626" s="157" t="s">
        <v>307</v>
      </c>
      <c r="P626" s="158"/>
      <c r="Q626" s="185"/>
      <c r="R626" s="175"/>
      <c r="S626" s="174">
        <f t="shared" si="29"/>
        <v>0</v>
      </c>
      <c r="T626" s="157"/>
      <c r="U626" s="177">
        <v>-8.2799999999999994</v>
      </c>
      <c r="V626" s="157"/>
      <c r="W626" s="157"/>
      <c r="X626" s="176">
        <f t="shared" si="27"/>
        <v>-8.2799999999999994</v>
      </c>
      <c r="Y626" s="228"/>
      <c r="Z626" s="311"/>
      <c r="AA626" s="157"/>
      <c r="AB626" s="157"/>
      <c r="AC626" s="157"/>
    </row>
    <row r="627" spans="1:29" outlineLevel="1">
      <c r="A627" s="170" t="s">
        <v>302</v>
      </c>
      <c r="B627" s="157" t="s">
        <v>303</v>
      </c>
      <c r="C627" s="171">
        <v>42909</v>
      </c>
      <c r="D627" s="178"/>
      <c r="E627" s="157" t="s">
        <v>810</v>
      </c>
      <c r="F627" s="223" t="s">
        <v>305</v>
      </c>
      <c r="G627" s="223"/>
      <c r="H627" s="224" t="s">
        <v>306</v>
      </c>
      <c r="I627" s="157"/>
      <c r="J627" s="172"/>
      <c r="K627" s="157"/>
      <c r="L627" s="223" t="s">
        <v>296</v>
      </c>
      <c r="M627" s="173"/>
      <c r="N627" s="173"/>
      <c r="O627" s="157" t="s">
        <v>307</v>
      </c>
      <c r="P627" s="158"/>
      <c r="Q627" s="185"/>
      <c r="R627" s="175"/>
      <c r="S627" s="174">
        <f t="shared" si="29"/>
        <v>0</v>
      </c>
      <c r="T627" s="157"/>
      <c r="U627" s="177">
        <v>-15.26</v>
      </c>
      <c r="V627" s="157"/>
      <c r="W627" s="157"/>
      <c r="X627" s="176">
        <f t="shared" si="27"/>
        <v>-15.26</v>
      </c>
      <c r="Y627" s="228"/>
      <c r="Z627" s="311"/>
      <c r="AA627" s="157"/>
      <c r="AB627" s="157"/>
      <c r="AC627" s="157"/>
    </row>
    <row r="628" spans="1:29" outlineLevel="1">
      <c r="A628" s="170" t="s">
        <v>302</v>
      </c>
      <c r="B628" s="157" t="s">
        <v>303</v>
      </c>
      <c r="C628" s="171">
        <v>42909</v>
      </c>
      <c r="D628" s="178"/>
      <c r="E628" s="157" t="s">
        <v>811</v>
      </c>
      <c r="F628" s="223" t="s">
        <v>305</v>
      </c>
      <c r="G628" s="223"/>
      <c r="H628" s="224" t="s">
        <v>306</v>
      </c>
      <c r="I628" s="157" t="s">
        <v>1009</v>
      </c>
      <c r="J628" s="157" t="s">
        <v>1009</v>
      </c>
      <c r="K628" s="157" t="s">
        <v>1009</v>
      </c>
      <c r="L628" s="223" t="s">
        <v>296</v>
      </c>
      <c r="M628" s="173"/>
      <c r="N628" s="173"/>
      <c r="O628" s="157" t="s">
        <v>271</v>
      </c>
      <c r="P628" s="158">
        <v>677.74</v>
      </c>
      <c r="Q628" s="185"/>
      <c r="R628" s="175"/>
      <c r="S628" s="174">
        <f t="shared" si="29"/>
        <v>677.74</v>
      </c>
      <c r="T628" s="157"/>
      <c r="U628" s="177"/>
      <c r="V628" s="157"/>
      <c r="W628" s="157"/>
      <c r="X628" s="176">
        <f t="shared" si="27"/>
        <v>0</v>
      </c>
      <c r="Y628" s="228"/>
      <c r="Z628" s="311"/>
      <c r="AA628" s="157"/>
      <c r="AB628" s="157"/>
      <c r="AC628" s="157"/>
    </row>
    <row r="629" spans="1:29" outlineLevel="1">
      <c r="A629" s="170" t="s">
        <v>302</v>
      </c>
      <c r="B629" s="157" t="s">
        <v>303</v>
      </c>
      <c r="C629" s="171">
        <v>42908</v>
      </c>
      <c r="D629" s="178"/>
      <c r="E629" s="157" t="s">
        <v>812</v>
      </c>
      <c r="F629" s="223" t="s">
        <v>305</v>
      </c>
      <c r="G629" s="223"/>
      <c r="H629" s="224" t="s">
        <v>306</v>
      </c>
      <c r="I629" s="157"/>
      <c r="J629" s="172"/>
      <c r="K629" s="157"/>
      <c r="L629" s="223" t="s">
        <v>296</v>
      </c>
      <c r="M629" s="173"/>
      <c r="N629" s="173"/>
      <c r="O629" s="157" t="s">
        <v>307</v>
      </c>
      <c r="P629" s="158"/>
      <c r="Q629" s="185"/>
      <c r="R629" s="175"/>
      <c r="S629" s="174">
        <f t="shared" si="29"/>
        <v>0</v>
      </c>
      <c r="T629" s="157"/>
      <c r="U629" s="177">
        <v>-13.18</v>
      </c>
      <c r="V629" s="157"/>
      <c r="W629" s="157"/>
      <c r="X629" s="176">
        <f t="shared" si="27"/>
        <v>-13.18</v>
      </c>
      <c r="Y629" s="228"/>
      <c r="Z629" s="311"/>
      <c r="AA629" s="157"/>
      <c r="AB629" s="157"/>
      <c r="AC629" s="157"/>
    </row>
    <row r="630" spans="1:29" outlineLevel="1">
      <c r="A630" s="170" t="s">
        <v>302</v>
      </c>
      <c r="B630" s="157" t="s">
        <v>303</v>
      </c>
      <c r="C630" s="171">
        <v>42908</v>
      </c>
      <c r="D630" s="178"/>
      <c r="E630" s="157" t="s">
        <v>813</v>
      </c>
      <c r="F630" s="223" t="s">
        <v>305</v>
      </c>
      <c r="G630" s="223"/>
      <c r="H630" s="224" t="s">
        <v>306</v>
      </c>
      <c r="I630" s="157"/>
      <c r="J630" s="172"/>
      <c r="K630" s="157"/>
      <c r="L630" s="223" t="s">
        <v>296</v>
      </c>
      <c r="M630" s="173"/>
      <c r="N630" s="173"/>
      <c r="O630" s="157" t="s">
        <v>307</v>
      </c>
      <c r="P630" s="158"/>
      <c r="Q630" s="185"/>
      <c r="R630" s="175"/>
      <c r="S630" s="174">
        <f t="shared" si="29"/>
        <v>0</v>
      </c>
      <c r="T630" s="157"/>
      <c r="U630" s="177">
        <v>-6.34</v>
      </c>
      <c r="V630" s="157"/>
      <c r="W630" s="157"/>
      <c r="X630" s="176">
        <f t="shared" si="27"/>
        <v>-6.34</v>
      </c>
      <c r="Y630" s="228"/>
      <c r="Z630" s="311"/>
      <c r="AA630" s="157"/>
      <c r="AB630" s="157"/>
      <c r="AC630" s="157"/>
    </row>
    <row r="631" spans="1:29" outlineLevel="1">
      <c r="A631" s="170" t="s">
        <v>302</v>
      </c>
      <c r="B631" s="157" t="s">
        <v>303</v>
      </c>
      <c r="C631" s="171">
        <v>42908</v>
      </c>
      <c r="D631" s="178"/>
      <c r="E631" s="157" t="s">
        <v>814</v>
      </c>
      <c r="F631" s="223" t="s">
        <v>305</v>
      </c>
      <c r="G631" s="223"/>
      <c r="H631" s="224" t="s">
        <v>306</v>
      </c>
      <c r="I631" s="157" t="s">
        <v>1009</v>
      </c>
      <c r="J631" s="157" t="s">
        <v>1009</v>
      </c>
      <c r="K631" s="157" t="s">
        <v>1009</v>
      </c>
      <c r="L631" s="223" t="s">
        <v>296</v>
      </c>
      <c r="M631" s="173"/>
      <c r="N631" s="173"/>
      <c r="O631" s="157" t="s">
        <v>271</v>
      </c>
      <c r="P631" s="158">
        <v>653.32000000000005</v>
      </c>
      <c r="Q631" s="185"/>
      <c r="R631" s="175"/>
      <c r="S631" s="174">
        <f t="shared" si="29"/>
        <v>653.32000000000005</v>
      </c>
      <c r="T631" s="157"/>
      <c r="U631" s="177"/>
      <c r="V631" s="157"/>
      <c r="W631" s="157"/>
      <c r="X631" s="176">
        <f t="shared" si="27"/>
        <v>0</v>
      </c>
      <c r="Y631" s="228"/>
      <c r="Z631" s="311"/>
      <c r="AA631" s="157"/>
      <c r="AB631" s="157"/>
      <c r="AC631" s="157"/>
    </row>
    <row r="632" spans="1:29" outlineLevel="1">
      <c r="A632" s="170" t="s">
        <v>302</v>
      </c>
      <c r="B632" s="157" t="s">
        <v>303</v>
      </c>
      <c r="C632" s="171">
        <v>42907</v>
      </c>
      <c r="D632" s="178"/>
      <c r="E632" s="157" t="s">
        <v>815</v>
      </c>
      <c r="F632" s="223" t="s">
        <v>305</v>
      </c>
      <c r="G632" s="223"/>
      <c r="H632" s="224" t="s">
        <v>306</v>
      </c>
      <c r="I632" s="157"/>
      <c r="J632" s="172"/>
      <c r="K632" s="157"/>
      <c r="L632" s="223" t="s">
        <v>296</v>
      </c>
      <c r="M632" s="173"/>
      <c r="N632" s="173"/>
      <c r="O632" s="157" t="s">
        <v>307</v>
      </c>
      <c r="P632" s="158"/>
      <c r="Q632" s="185"/>
      <c r="R632" s="175"/>
      <c r="S632" s="174">
        <f t="shared" si="29"/>
        <v>0</v>
      </c>
      <c r="T632" s="157"/>
      <c r="U632" s="177">
        <v>-38.28</v>
      </c>
      <c r="V632" s="157"/>
      <c r="W632" s="157"/>
      <c r="X632" s="176">
        <f t="shared" si="27"/>
        <v>-38.28</v>
      </c>
      <c r="Y632" s="228"/>
      <c r="Z632" s="311"/>
      <c r="AA632" s="157"/>
      <c r="AB632" s="157"/>
      <c r="AC632" s="157"/>
    </row>
    <row r="633" spans="1:29" outlineLevel="1">
      <c r="A633" s="170" t="s">
        <v>302</v>
      </c>
      <c r="B633" s="157" t="s">
        <v>303</v>
      </c>
      <c r="C633" s="171">
        <v>42907</v>
      </c>
      <c r="D633" s="178"/>
      <c r="E633" s="157" t="s">
        <v>816</v>
      </c>
      <c r="F633" s="223" t="s">
        <v>305</v>
      </c>
      <c r="G633" s="223"/>
      <c r="H633" s="224" t="s">
        <v>306</v>
      </c>
      <c r="I633" s="157" t="s">
        <v>1009</v>
      </c>
      <c r="J633" s="157" t="s">
        <v>1009</v>
      </c>
      <c r="K633" s="157" t="s">
        <v>1009</v>
      </c>
      <c r="L633" s="223" t="s">
        <v>296</v>
      </c>
      <c r="M633" s="173"/>
      <c r="N633" s="173"/>
      <c r="O633" s="157" t="s">
        <v>271</v>
      </c>
      <c r="P633" s="158">
        <v>751.8</v>
      </c>
      <c r="Q633" s="185"/>
      <c r="R633" s="175"/>
      <c r="S633" s="174">
        <f t="shared" si="29"/>
        <v>751.8</v>
      </c>
      <c r="T633" s="157"/>
      <c r="U633" s="177"/>
      <c r="V633" s="157"/>
      <c r="W633" s="157"/>
      <c r="X633" s="176">
        <f t="shared" si="27"/>
        <v>0</v>
      </c>
      <c r="Y633" s="228"/>
      <c r="Z633" s="311"/>
      <c r="AA633" s="157"/>
      <c r="AB633" s="157"/>
      <c r="AC633" s="157"/>
    </row>
    <row r="634" spans="1:29" outlineLevel="1">
      <c r="A634" s="170" t="s">
        <v>302</v>
      </c>
      <c r="B634" s="157" t="s">
        <v>303</v>
      </c>
      <c r="C634" s="171">
        <v>42907</v>
      </c>
      <c r="D634" s="178"/>
      <c r="E634" s="157" t="s">
        <v>817</v>
      </c>
      <c r="F634" s="223" t="s">
        <v>305</v>
      </c>
      <c r="G634" s="223"/>
      <c r="H634" s="224" t="s">
        <v>306</v>
      </c>
      <c r="I634" s="157" t="s">
        <v>1009</v>
      </c>
      <c r="J634" s="157" t="s">
        <v>1009</v>
      </c>
      <c r="K634" s="157" t="s">
        <v>1009</v>
      </c>
      <c r="L634" s="223" t="s">
        <v>296</v>
      </c>
      <c r="M634" s="173"/>
      <c r="N634" s="173"/>
      <c r="O634" s="157" t="s">
        <v>271</v>
      </c>
      <c r="P634" s="158">
        <v>336.34</v>
      </c>
      <c r="Q634" s="185"/>
      <c r="R634" s="175"/>
      <c r="S634" s="174">
        <f t="shared" si="29"/>
        <v>336.34</v>
      </c>
      <c r="T634" s="157"/>
      <c r="U634" s="177"/>
      <c r="V634" s="157"/>
      <c r="W634" s="157"/>
      <c r="X634" s="176">
        <f t="shared" si="27"/>
        <v>0</v>
      </c>
      <c r="Y634" s="228"/>
      <c r="Z634" s="311"/>
      <c r="AA634" s="157"/>
      <c r="AB634" s="157"/>
      <c r="AC634" s="157"/>
    </row>
    <row r="635" spans="1:29" outlineLevel="1">
      <c r="A635" s="170" t="s">
        <v>302</v>
      </c>
      <c r="B635" s="157" t="s">
        <v>303</v>
      </c>
      <c r="C635" s="171">
        <v>42906</v>
      </c>
      <c r="D635" s="178"/>
      <c r="E635" s="157" t="s">
        <v>818</v>
      </c>
      <c r="F635" s="223" t="s">
        <v>305</v>
      </c>
      <c r="G635" s="223"/>
      <c r="H635" s="224" t="s">
        <v>306</v>
      </c>
      <c r="I635" s="157"/>
      <c r="J635" s="172"/>
      <c r="K635" s="157"/>
      <c r="L635" s="223" t="s">
        <v>296</v>
      </c>
      <c r="M635" s="173"/>
      <c r="N635" s="173"/>
      <c r="O635" s="157" t="s">
        <v>307</v>
      </c>
      <c r="P635" s="158"/>
      <c r="Q635" s="185"/>
      <c r="R635" s="175"/>
      <c r="S635" s="174">
        <f t="shared" si="29"/>
        <v>0</v>
      </c>
      <c r="T635" s="157"/>
      <c r="U635" s="177">
        <v>-199.86</v>
      </c>
      <c r="V635" s="157"/>
      <c r="W635" s="157"/>
      <c r="X635" s="176">
        <f t="shared" si="27"/>
        <v>-199.86</v>
      </c>
      <c r="Y635" s="228"/>
      <c r="Z635" s="311"/>
      <c r="AA635" s="157"/>
      <c r="AB635" s="157"/>
      <c r="AC635" s="157"/>
    </row>
    <row r="636" spans="1:29" outlineLevel="1">
      <c r="A636" s="170" t="s">
        <v>302</v>
      </c>
      <c r="B636" s="157" t="s">
        <v>303</v>
      </c>
      <c r="C636" s="171">
        <v>42906</v>
      </c>
      <c r="D636" s="178"/>
      <c r="E636" s="157" t="s">
        <v>819</v>
      </c>
      <c r="F636" s="223" t="s">
        <v>305</v>
      </c>
      <c r="G636" s="223"/>
      <c r="H636" s="224" t="s">
        <v>306</v>
      </c>
      <c r="I636" s="157"/>
      <c r="J636" s="172"/>
      <c r="K636" s="157"/>
      <c r="L636" s="223" t="s">
        <v>296</v>
      </c>
      <c r="M636" s="173"/>
      <c r="N636" s="173"/>
      <c r="O636" s="157" t="s">
        <v>307</v>
      </c>
      <c r="P636" s="158"/>
      <c r="Q636" s="185"/>
      <c r="R636" s="175"/>
      <c r="S636" s="174">
        <f t="shared" si="29"/>
        <v>0</v>
      </c>
      <c r="T636" s="157"/>
      <c r="U636" s="177">
        <v>-71.42</v>
      </c>
      <c r="V636" s="157"/>
      <c r="W636" s="157"/>
      <c r="X636" s="176">
        <f t="shared" si="27"/>
        <v>-71.42</v>
      </c>
      <c r="Y636" s="228"/>
      <c r="Z636" s="311"/>
      <c r="AA636" s="157"/>
      <c r="AB636" s="157"/>
      <c r="AC636" s="157"/>
    </row>
    <row r="637" spans="1:29" outlineLevel="1">
      <c r="A637" s="170" t="s">
        <v>302</v>
      </c>
      <c r="B637" s="157" t="s">
        <v>303</v>
      </c>
      <c r="C637" s="171">
        <v>42906</v>
      </c>
      <c r="D637" s="178"/>
      <c r="E637" s="157" t="s">
        <v>820</v>
      </c>
      <c r="F637" s="223" t="s">
        <v>305</v>
      </c>
      <c r="G637" s="223"/>
      <c r="H637" s="224" t="s">
        <v>306</v>
      </c>
      <c r="I637" s="157"/>
      <c r="J637" s="172"/>
      <c r="K637" s="157"/>
      <c r="L637" s="223" t="s">
        <v>296</v>
      </c>
      <c r="M637" s="173"/>
      <c r="N637" s="173"/>
      <c r="O637" s="157" t="s">
        <v>307</v>
      </c>
      <c r="P637" s="158"/>
      <c r="Q637" s="185"/>
      <c r="R637" s="175"/>
      <c r="S637" s="174">
        <f t="shared" si="29"/>
        <v>0</v>
      </c>
      <c r="T637" s="157"/>
      <c r="U637" s="177">
        <v>-66.33</v>
      </c>
      <c r="V637" s="157"/>
      <c r="W637" s="157"/>
      <c r="X637" s="176">
        <f t="shared" si="27"/>
        <v>-66.33</v>
      </c>
      <c r="Y637" s="228"/>
      <c r="Z637" s="311"/>
      <c r="AA637" s="157"/>
      <c r="AB637" s="157"/>
      <c r="AC637" s="157"/>
    </row>
    <row r="638" spans="1:29" outlineLevel="1">
      <c r="A638" s="170" t="s">
        <v>302</v>
      </c>
      <c r="B638" s="157" t="s">
        <v>303</v>
      </c>
      <c r="C638" s="171">
        <v>42906</v>
      </c>
      <c r="D638" s="178"/>
      <c r="E638" s="157" t="s">
        <v>304</v>
      </c>
      <c r="F638" s="223" t="s">
        <v>305</v>
      </c>
      <c r="G638" s="223"/>
      <c r="H638" s="224" t="s">
        <v>306</v>
      </c>
      <c r="I638" s="157"/>
      <c r="J638" s="172"/>
      <c r="K638" s="157"/>
      <c r="L638" s="223" t="s">
        <v>296</v>
      </c>
      <c r="M638" s="173"/>
      <c r="N638" s="173"/>
      <c r="O638" s="157" t="s">
        <v>308</v>
      </c>
      <c r="P638" s="158"/>
      <c r="Q638" s="185"/>
      <c r="R638" s="175"/>
      <c r="S638" s="174">
        <f t="shared" si="29"/>
        <v>0</v>
      </c>
      <c r="T638" s="157"/>
      <c r="U638" s="177">
        <v>-410.7</v>
      </c>
      <c r="V638" s="157"/>
      <c r="W638" s="157"/>
      <c r="X638" s="176">
        <f t="shared" si="27"/>
        <v>-410.7</v>
      </c>
      <c r="Y638" s="228"/>
      <c r="Z638" s="311"/>
      <c r="AA638" s="157"/>
      <c r="AB638" s="157"/>
      <c r="AC638" s="157"/>
    </row>
    <row r="639" spans="1:29" outlineLevel="1">
      <c r="A639" s="170" t="s">
        <v>302</v>
      </c>
      <c r="B639" s="157" t="s">
        <v>303</v>
      </c>
      <c r="C639" s="171">
        <v>42906</v>
      </c>
      <c r="D639" s="178"/>
      <c r="E639" s="157" t="s">
        <v>304</v>
      </c>
      <c r="F639" s="223" t="s">
        <v>305</v>
      </c>
      <c r="G639" s="223"/>
      <c r="H639" s="224" t="s">
        <v>306</v>
      </c>
      <c r="I639" s="157"/>
      <c r="J639" s="172"/>
      <c r="K639" s="157"/>
      <c r="L639" s="223" t="s">
        <v>296</v>
      </c>
      <c r="M639" s="173"/>
      <c r="N639" s="173"/>
      <c r="O639" s="157" t="s">
        <v>307</v>
      </c>
      <c r="P639" s="158"/>
      <c r="Q639" s="185"/>
      <c r="R639" s="175"/>
      <c r="S639" s="174">
        <f t="shared" si="29"/>
        <v>0</v>
      </c>
      <c r="T639" s="157"/>
      <c r="U639" s="177">
        <v>-326.98</v>
      </c>
      <c r="V639" s="157"/>
      <c r="W639" s="157"/>
      <c r="X639" s="176">
        <f t="shared" si="27"/>
        <v>-326.98</v>
      </c>
      <c r="Y639" s="228"/>
      <c r="Z639" s="311"/>
      <c r="AA639" s="157"/>
      <c r="AB639" s="157"/>
      <c r="AC639" s="157"/>
    </row>
    <row r="640" spans="1:29" outlineLevel="1">
      <c r="A640" s="170" t="s">
        <v>302</v>
      </c>
      <c r="B640" s="157" t="s">
        <v>303</v>
      </c>
      <c r="C640" s="171">
        <v>42906</v>
      </c>
      <c r="D640" s="178"/>
      <c r="E640" s="157" t="s">
        <v>821</v>
      </c>
      <c r="F640" s="223" t="s">
        <v>305</v>
      </c>
      <c r="G640" s="223"/>
      <c r="H640" s="224" t="s">
        <v>306</v>
      </c>
      <c r="I640" s="157"/>
      <c r="J640" s="172"/>
      <c r="K640" s="157"/>
      <c r="L640" s="223" t="s">
        <v>296</v>
      </c>
      <c r="M640" s="173"/>
      <c r="N640" s="173"/>
      <c r="O640" s="157" t="s">
        <v>307</v>
      </c>
      <c r="P640" s="158"/>
      <c r="Q640" s="185"/>
      <c r="R640" s="175"/>
      <c r="S640" s="174">
        <f t="shared" si="29"/>
        <v>0</v>
      </c>
      <c r="T640" s="157"/>
      <c r="U640" s="177">
        <v>-32</v>
      </c>
      <c r="V640" s="157"/>
      <c r="W640" s="157"/>
      <c r="X640" s="176">
        <f t="shared" si="27"/>
        <v>-32</v>
      </c>
      <c r="Y640" s="228"/>
      <c r="Z640" s="311"/>
      <c r="AA640" s="157"/>
      <c r="AB640" s="157"/>
      <c r="AC640" s="157"/>
    </row>
    <row r="641" spans="1:29" outlineLevel="1">
      <c r="A641" s="170" t="s">
        <v>302</v>
      </c>
      <c r="B641" s="157" t="s">
        <v>303</v>
      </c>
      <c r="C641" s="171">
        <v>42906</v>
      </c>
      <c r="D641" s="178"/>
      <c r="E641" s="157" t="s">
        <v>822</v>
      </c>
      <c r="F641" s="223" t="s">
        <v>305</v>
      </c>
      <c r="G641" s="223"/>
      <c r="H641" s="224" t="s">
        <v>306</v>
      </c>
      <c r="I641" s="157" t="s">
        <v>1009</v>
      </c>
      <c r="J641" s="157" t="s">
        <v>1009</v>
      </c>
      <c r="K641" s="157" t="s">
        <v>1009</v>
      </c>
      <c r="L641" s="223" t="s">
        <v>296</v>
      </c>
      <c r="M641" s="173"/>
      <c r="N641" s="173"/>
      <c r="O641" s="157" t="s">
        <v>271</v>
      </c>
      <c r="P641" s="158">
        <v>788.29</v>
      </c>
      <c r="Q641" s="185"/>
      <c r="R641" s="175"/>
      <c r="S641" s="174">
        <f t="shared" si="29"/>
        <v>788.29</v>
      </c>
      <c r="T641" s="157"/>
      <c r="U641" s="177"/>
      <c r="V641" s="157"/>
      <c r="W641" s="157"/>
      <c r="X641" s="176">
        <f t="shared" si="27"/>
        <v>0</v>
      </c>
      <c r="Y641" s="228"/>
      <c r="Z641" s="311"/>
      <c r="AA641" s="157"/>
      <c r="AB641" s="157"/>
      <c r="AC641" s="157"/>
    </row>
    <row r="642" spans="1:29" outlineLevel="1">
      <c r="A642" s="170" t="s">
        <v>302</v>
      </c>
      <c r="B642" s="157" t="s">
        <v>303</v>
      </c>
      <c r="C642" s="171">
        <v>42905</v>
      </c>
      <c r="D642" s="178"/>
      <c r="E642" s="157" t="s">
        <v>304</v>
      </c>
      <c r="F642" s="223" t="s">
        <v>305</v>
      </c>
      <c r="G642" s="223"/>
      <c r="H642" s="224" t="s">
        <v>306</v>
      </c>
      <c r="I642" s="157"/>
      <c r="J642" s="172"/>
      <c r="K642" s="157"/>
      <c r="L642" s="223" t="s">
        <v>296</v>
      </c>
      <c r="M642" s="173"/>
      <c r="N642" s="173"/>
      <c r="O642" s="157" t="s">
        <v>308</v>
      </c>
      <c r="P642" s="158"/>
      <c r="Q642" s="185"/>
      <c r="R642" s="175"/>
      <c r="S642" s="174">
        <f t="shared" si="29"/>
        <v>0</v>
      </c>
      <c r="T642" s="157"/>
      <c r="U642" s="177">
        <v>-494</v>
      </c>
      <c r="V642" s="157"/>
      <c r="W642" s="157"/>
      <c r="X642" s="176">
        <f t="shared" si="27"/>
        <v>-494</v>
      </c>
      <c r="Y642" s="228"/>
      <c r="Z642" s="311"/>
      <c r="AA642" s="157"/>
      <c r="AB642" s="157"/>
      <c r="AC642" s="157"/>
    </row>
    <row r="643" spans="1:29" outlineLevel="1">
      <c r="A643" s="170" t="s">
        <v>302</v>
      </c>
      <c r="B643" s="157" t="s">
        <v>303</v>
      </c>
      <c r="C643" s="171">
        <v>42905</v>
      </c>
      <c r="D643" s="178"/>
      <c r="E643" s="157" t="s">
        <v>823</v>
      </c>
      <c r="F643" s="223" t="s">
        <v>305</v>
      </c>
      <c r="G643" s="223"/>
      <c r="H643" s="224" t="s">
        <v>306</v>
      </c>
      <c r="I643" s="157"/>
      <c r="J643" s="172"/>
      <c r="K643" s="157"/>
      <c r="L643" s="223" t="s">
        <v>296</v>
      </c>
      <c r="M643" s="173"/>
      <c r="N643" s="173"/>
      <c r="O643" s="157" t="s">
        <v>307</v>
      </c>
      <c r="P643" s="158"/>
      <c r="Q643" s="185"/>
      <c r="R643" s="175"/>
      <c r="S643" s="174">
        <f t="shared" si="29"/>
        <v>0</v>
      </c>
      <c r="T643" s="157"/>
      <c r="U643" s="177">
        <v>-13.18</v>
      </c>
      <c r="V643" s="157"/>
      <c r="W643" s="157"/>
      <c r="X643" s="176">
        <f t="shared" si="27"/>
        <v>-13.18</v>
      </c>
      <c r="Y643" s="228"/>
      <c r="Z643" s="311"/>
      <c r="AA643" s="157"/>
      <c r="AB643" s="157"/>
      <c r="AC643" s="157"/>
    </row>
    <row r="644" spans="1:29" outlineLevel="1">
      <c r="A644" s="170" t="s">
        <v>302</v>
      </c>
      <c r="B644" s="157" t="s">
        <v>303</v>
      </c>
      <c r="C644" s="171">
        <v>42905</v>
      </c>
      <c r="D644" s="178"/>
      <c r="E644" s="157" t="s">
        <v>824</v>
      </c>
      <c r="F644" s="223" t="s">
        <v>305</v>
      </c>
      <c r="G644" s="223"/>
      <c r="H644" s="224" t="s">
        <v>306</v>
      </c>
      <c r="I644" s="157"/>
      <c r="J644" s="172"/>
      <c r="K644" s="157"/>
      <c r="L644" s="223" t="s">
        <v>296</v>
      </c>
      <c r="M644" s="173"/>
      <c r="N644" s="173"/>
      <c r="O644" s="157" t="s">
        <v>307</v>
      </c>
      <c r="P644" s="158"/>
      <c r="Q644" s="185"/>
      <c r="R644" s="175"/>
      <c r="S644" s="174">
        <f t="shared" si="29"/>
        <v>0</v>
      </c>
      <c r="T644" s="157"/>
      <c r="U644" s="177">
        <v>-134.93</v>
      </c>
      <c r="V644" s="157"/>
      <c r="W644" s="157"/>
      <c r="X644" s="176">
        <f t="shared" si="27"/>
        <v>-134.93</v>
      </c>
      <c r="Y644" s="228"/>
      <c r="Z644" s="311"/>
      <c r="AA644" s="157"/>
      <c r="AB644" s="157"/>
      <c r="AC644" s="157"/>
    </row>
    <row r="645" spans="1:29" outlineLevel="1">
      <c r="A645" s="170" t="s">
        <v>302</v>
      </c>
      <c r="B645" s="157" t="s">
        <v>303</v>
      </c>
      <c r="C645" s="171">
        <v>42905</v>
      </c>
      <c r="D645" s="178"/>
      <c r="E645" s="157" t="s">
        <v>825</v>
      </c>
      <c r="F645" s="223" t="s">
        <v>305</v>
      </c>
      <c r="G645" s="223"/>
      <c r="H645" s="224" t="s">
        <v>306</v>
      </c>
      <c r="I645" s="157"/>
      <c r="J645" s="172"/>
      <c r="K645" s="157"/>
      <c r="L645" s="223" t="s">
        <v>296</v>
      </c>
      <c r="M645" s="173"/>
      <c r="N645" s="173"/>
      <c r="O645" s="157" t="s">
        <v>307</v>
      </c>
      <c r="P645" s="158"/>
      <c r="Q645" s="185"/>
      <c r="R645" s="175"/>
      <c r="S645" s="174">
        <f t="shared" si="29"/>
        <v>0</v>
      </c>
      <c r="T645" s="157"/>
      <c r="U645" s="177">
        <v>-28</v>
      </c>
      <c r="V645" s="157"/>
      <c r="W645" s="157"/>
      <c r="X645" s="176">
        <f t="shared" si="27"/>
        <v>-28</v>
      </c>
      <c r="Y645" s="228"/>
      <c r="Z645" s="311"/>
      <c r="AA645" s="157"/>
      <c r="AB645" s="157"/>
      <c r="AC645" s="157"/>
    </row>
    <row r="646" spans="1:29" outlineLevel="1">
      <c r="A646" s="170" t="s">
        <v>302</v>
      </c>
      <c r="B646" s="157" t="s">
        <v>303</v>
      </c>
      <c r="C646" s="171">
        <v>42905</v>
      </c>
      <c r="D646" s="178"/>
      <c r="E646" s="157" t="s">
        <v>826</v>
      </c>
      <c r="F646" s="223" t="s">
        <v>305</v>
      </c>
      <c r="G646" s="223"/>
      <c r="H646" s="224" t="s">
        <v>306</v>
      </c>
      <c r="I646" s="157"/>
      <c r="J646" s="172"/>
      <c r="K646" s="157"/>
      <c r="L646" s="223" t="s">
        <v>296</v>
      </c>
      <c r="M646" s="173"/>
      <c r="N646" s="173"/>
      <c r="O646" s="157" t="s">
        <v>307</v>
      </c>
      <c r="P646" s="158"/>
      <c r="Q646" s="185"/>
      <c r="R646" s="175"/>
      <c r="S646" s="174">
        <f t="shared" si="29"/>
        <v>0</v>
      </c>
      <c r="T646" s="157"/>
      <c r="U646" s="177">
        <v>-123.41</v>
      </c>
      <c r="V646" s="157"/>
      <c r="W646" s="157"/>
      <c r="X646" s="176">
        <f t="shared" si="27"/>
        <v>-123.41</v>
      </c>
      <c r="Y646" s="228"/>
      <c r="Z646" s="311"/>
      <c r="AA646" s="157"/>
      <c r="AB646" s="157"/>
      <c r="AC646" s="157"/>
    </row>
    <row r="647" spans="1:29" outlineLevel="1">
      <c r="A647" s="170" t="s">
        <v>302</v>
      </c>
      <c r="B647" s="157" t="s">
        <v>303</v>
      </c>
      <c r="C647" s="171">
        <v>42905</v>
      </c>
      <c r="D647" s="178"/>
      <c r="E647" s="157" t="s">
        <v>827</v>
      </c>
      <c r="F647" s="223" t="s">
        <v>305</v>
      </c>
      <c r="G647" s="223"/>
      <c r="H647" s="224" t="s">
        <v>306</v>
      </c>
      <c r="I647" s="157"/>
      <c r="J647" s="172"/>
      <c r="K647" s="157"/>
      <c r="L647" s="223" t="s">
        <v>296</v>
      </c>
      <c r="M647" s="173"/>
      <c r="N647" s="173"/>
      <c r="O647" s="157" t="s">
        <v>307</v>
      </c>
      <c r="P647" s="158"/>
      <c r="Q647" s="185"/>
      <c r="R647" s="175"/>
      <c r="S647" s="174">
        <f t="shared" si="29"/>
        <v>0</v>
      </c>
      <c r="T647" s="157"/>
      <c r="U647" s="177">
        <v>-5.49</v>
      </c>
      <c r="V647" s="157"/>
      <c r="W647" s="157"/>
      <c r="X647" s="176">
        <f t="shared" si="27"/>
        <v>-5.49</v>
      </c>
      <c r="Y647" s="228"/>
      <c r="Z647" s="311"/>
      <c r="AA647" s="157"/>
      <c r="AB647" s="157"/>
      <c r="AC647" s="157"/>
    </row>
    <row r="648" spans="1:29" outlineLevel="1">
      <c r="A648" s="170" t="s">
        <v>302</v>
      </c>
      <c r="B648" s="157" t="s">
        <v>303</v>
      </c>
      <c r="C648" s="171">
        <v>42905</v>
      </c>
      <c r="D648" s="178"/>
      <c r="E648" s="157" t="s">
        <v>828</v>
      </c>
      <c r="F648" s="223" t="s">
        <v>305</v>
      </c>
      <c r="G648" s="223"/>
      <c r="H648" s="224" t="s">
        <v>306</v>
      </c>
      <c r="I648" s="157"/>
      <c r="J648" s="172"/>
      <c r="K648" s="157"/>
      <c r="L648" s="223" t="s">
        <v>296</v>
      </c>
      <c r="M648" s="173"/>
      <c r="N648" s="173"/>
      <c r="O648" s="157" t="s">
        <v>307</v>
      </c>
      <c r="P648" s="158"/>
      <c r="Q648" s="185"/>
      <c r="R648" s="175"/>
      <c r="S648" s="174">
        <f t="shared" si="29"/>
        <v>0</v>
      </c>
      <c r="T648" s="157"/>
      <c r="U648" s="177">
        <v>-234.92</v>
      </c>
      <c r="V648" s="157"/>
      <c r="W648" s="157"/>
      <c r="X648" s="176">
        <f t="shared" si="27"/>
        <v>-234.92</v>
      </c>
      <c r="Y648" s="228"/>
      <c r="Z648" s="311"/>
      <c r="AA648" s="157"/>
      <c r="AB648" s="157"/>
      <c r="AC648" s="157"/>
    </row>
    <row r="649" spans="1:29" outlineLevel="1">
      <c r="A649" s="170" t="s">
        <v>302</v>
      </c>
      <c r="B649" s="157" t="s">
        <v>303</v>
      </c>
      <c r="C649" s="171">
        <v>42905</v>
      </c>
      <c r="D649" s="178"/>
      <c r="E649" s="157" t="s">
        <v>829</v>
      </c>
      <c r="F649" s="223" t="s">
        <v>305</v>
      </c>
      <c r="G649" s="223"/>
      <c r="H649" s="224" t="s">
        <v>306</v>
      </c>
      <c r="I649" s="157"/>
      <c r="J649" s="172"/>
      <c r="K649" s="157"/>
      <c r="L649" s="223" t="s">
        <v>296</v>
      </c>
      <c r="M649" s="173"/>
      <c r="N649" s="173"/>
      <c r="O649" s="157" t="s">
        <v>307</v>
      </c>
      <c r="P649" s="158"/>
      <c r="Q649" s="185"/>
      <c r="R649" s="175"/>
      <c r="S649" s="174">
        <f t="shared" si="29"/>
        <v>0</v>
      </c>
      <c r="T649" s="157"/>
      <c r="U649" s="177">
        <v>-38.700000000000003</v>
      </c>
      <c r="V649" s="157"/>
      <c r="W649" s="157"/>
      <c r="X649" s="176">
        <f t="shared" si="27"/>
        <v>-38.700000000000003</v>
      </c>
      <c r="Y649" s="228"/>
      <c r="Z649" s="311"/>
      <c r="AA649" s="157"/>
      <c r="AB649" s="157"/>
      <c r="AC649" s="157"/>
    </row>
    <row r="650" spans="1:29" outlineLevel="1">
      <c r="A650" s="170" t="s">
        <v>302</v>
      </c>
      <c r="B650" s="157" t="s">
        <v>303</v>
      </c>
      <c r="C650" s="171">
        <v>42905</v>
      </c>
      <c r="D650" s="178"/>
      <c r="E650" s="157" t="s">
        <v>830</v>
      </c>
      <c r="F650" s="223" t="s">
        <v>305</v>
      </c>
      <c r="G650" s="223"/>
      <c r="H650" s="224" t="s">
        <v>306</v>
      </c>
      <c r="I650" s="157" t="s">
        <v>1009</v>
      </c>
      <c r="J650" s="157" t="s">
        <v>1009</v>
      </c>
      <c r="K650" s="157" t="s">
        <v>1009</v>
      </c>
      <c r="L650" s="223" t="s">
        <v>296</v>
      </c>
      <c r="M650" s="173"/>
      <c r="N650" s="173"/>
      <c r="O650" s="157" t="s">
        <v>271</v>
      </c>
      <c r="P650" s="158">
        <v>1525.19</v>
      </c>
      <c r="Q650" s="185"/>
      <c r="R650" s="175"/>
      <c r="S650" s="174">
        <f t="shared" si="29"/>
        <v>1525.19</v>
      </c>
      <c r="T650" s="157"/>
      <c r="U650" s="177"/>
      <c r="V650" s="157"/>
      <c r="W650" s="157"/>
      <c r="X650" s="176">
        <f t="shared" si="27"/>
        <v>0</v>
      </c>
      <c r="Y650" s="228"/>
      <c r="Z650" s="311"/>
      <c r="AA650" s="157"/>
      <c r="AB650" s="157"/>
      <c r="AC650" s="157"/>
    </row>
    <row r="651" spans="1:29" outlineLevel="1">
      <c r="A651" s="170" t="s">
        <v>302</v>
      </c>
      <c r="B651" s="157" t="s">
        <v>303</v>
      </c>
      <c r="C651" s="171">
        <v>42905</v>
      </c>
      <c r="D651" s="178"/>
      <c r="E651" s="157" t="s">
        <v>831</v>
      </c>
      <c r="F651" s="223" t="s">
        <v>305</v>
      </c>
      <c r="G651" s="223"/>
      <c r="H651" s="224" t="s">
        <v>306</v>
      </c>
      <c r="I651" s="157" t="s">
        <v>1009</v>
      </c>
      <c r="J651" s="157" t="s">
        <v>1009</v>
      </c>
      <c r="K651" s="157" t="s">
        <v>1009</v>
      </c>
      <c r="L651" s="223" t="s">
        <v>296</v>
      </c>
      <c r="M651" s="173"/>
      <c r="N651" s="173"/>
      <c r="O651" s="157" t="s">
        <v>271</v>
      </c>
      <c r="P651" s="158">
        <v>1518.78</v>
      </c>
      <c r="Q651" s="185"/>
      <c r="R651" s="175"/>
      <c r="S651" s="174">
        <f t="shared" si="29"/>
        <v>1518.78</v>
      </c>
      <c r="T651" s="157"/>
      <c r="U651" s="177"/>
      <c r="V651" s="157"/>
      <c r="W651" s="157"/>
      <c r="X651" s="176">
        <f t="shared" si="27"/>
        <v>0</v>
      </c>
      <c r="Y651" s="228"/>
      <c r="Z651" s="311"/>
      <c r="AA651" s="157"/>
      <c r="AB651" s="157"/>
      <c r="AC651" s="157"/>
    </row>
    <row r="652" spans="1:29" outlineLevel="1">
      <c r="A652" s="170" t="s">
        <v>302</v>
      </c>
      <c r="B652" s="157" t="s">
        <v>303</v>
      </c>
      <c r="C652" s="171">
        <v>42905</v>
      </c>
      <c r="D652" s="178"/>
      <c r="E652" s="157" t="s">
        <v>832</v>
      </c>
      <c r="F652" s="223" t="s">
        <v>305</v>
      </c>
      <c r="G652" s="223"/>
      <c r="H652" s="224" t="s">
        <v>306</v>
      </c>
      <c r="I652" s="157" t="s">
        <v>1009</v>
      </c>
      <c r="J652" s="157" t="s">
        <v>1009</v>
      </c>
      <c r="K652" s="157" t="s">
        <v>1009</v>
      </c>
      <c r="L652" s="223" t="s">
        <v>296</v>
      </c>
      <c r="M652" s="173"/>
      <c r="N652" s="173"/>
      <c r="O652" s="157" t="s">
        <v>271</v>
      </c>
      <c r="P652" s="158">
        <v>908.3</v>
      </c>
      <c r="Q652" s="185"/>
      <c r="R652" s="175"/>
      <c r="S652" s="174">
        <f t="shared" si="29"/>
        <v>908.3</v>
      </c>
      <c r="T652" s="157"/>
      <c r="U652" s="177"/>
      <c r="V652" s="157"/>
      <c r="W652" s="157"/>
      <c r="X652" s="176">
        <f t="shared" si="27"/>
        <v>0</v>
      </c>
      <c r="Y652" s="228"/>
      <c r="Z652" s="311"/>
      <c r="AA652" s="157"/>
      <c r="AB652" s="157"/>
      <c r="AC652" s="157"/>
    </row>
    <row r="653" spans="1:29" outlineLevel="1">
      <c r="A653" s="170" t="s">
        <v>302</v>
      </c>
      <c r="B653" s="157" t="s">
        <v>303</v>
      </c>
      <c r="C653" s="171">
        <v>42902</v>
      </c>
      <c r="D653" s="178"/>
      <c r="E653" s="157" t="s">
        <v>304</v>
      </c>
      <c r="F653" s="223" t="s">
        <v>305</v>
      </c>
      <c r="G653" s="223"/>
      <c r="H653" s="224" t="s">
        <v>306</v>
      </c>
      <c r="I653" s="157"/>
      <c r="J653" s="172"/>
      <c r="K653" s="157"/>
      <c r="L653" s="223" t="s">
        <v>296</v>
      </c>
      <c r="M653" s="173"/>
      <c r="N653" s="173"/>
      <c r="O653" s="157" t="s">
        <v>307</v>
      </c>
      <c r="P653" s="158"/>
      <c r="Q653" s="185"/>
      <c r="R653" s="175"/>
      <c r="S653" s="174">
        <f t="shared" si="29"/>
        <v>0</v>
      </c>
      <c r="T653" s="157"/>
      <c r="U653" s="177">
        <v>-302.27999999999997</v>
      </c>
      <c r="V653" s="157"/>
      <c r="W653" s="157"/>
      <c r="X653" s="176">
        <f t="shared" si="27"/>
        <v>-302.27999999999997</v>
      </c>
      <c r="Y653" s="228"/>
      <c r="Z653" s="311"/>
      <c r="AA653" s="157"/>
      <c r="AB653" s="157"/>
      <c r="AC653" s="157"/>
    </row>
    <row r="654" spans="1:29" outlineLevel="1">
      <c r="A654" s="170" t="s">
        <v>302</v>
      </c>
      <c r="B654" s="157" t="s">
        <v>303</v>
      </c>
      <c r="C654" s="171">
        <v>42902</v>
      </c>
      <c r="D654" s="178"/>
      <c r="E654" s="157" t="s">
        <v>833</v>
      </c>
      <c r="F654" s="223" t="s">
        <v>305</v>
      </c>
      <c r="G654" s="223"/>
      <c r="H654" s="224" t="s">
        <v>306</v>
      </c>
      <c r="I654" s="157"/>
      <c r="J654" s="172"/>
      <c r="K654" s="157"/>
      <c r="L654" s="223" t="s">
        <v>296</v>
      </c>
      <c r="M654" s="173"/>
      <c r="N654" s="173"/>
      <c r="O654" s="157" t="s">
        <v>307</v>
      </c>
      <c r="P654" s="158"/>
      <c r="Q654" s="185"/>
      <c r="R654" s="175"/>
      <c r="S654" s="174">
        <f t="shared" si="29"/>
        <v>0</v>
      </c>
      <c r="T654" s="157"/>
      <c r="U654" s="177">
        <v>-6</v>
      </c>
      <c r="V654" s="157"/>
      <c r="W654" s="157"/>
      <c r="X654" s="176">
        <f t="shared" si="27"/>
        <v>-6</v>
      </c>
      <c r="Y654" s="228"/>
      <c r="Z654" s="311"/>
      <c r="AA654" s="157"/>
      <c r="AB654" s="157"/>
      <c r="AC654" s="157"/>
    </row>
    <row r="655" spans="1:29" outlineLevel="1">
      <c r="A655" s="170" t="s">
        <v>302</v>
      </c>
      <c r="B655" s="157" t="s">
        <v>303</v>
      </c>
      <c r="C655" s="171">
        <v>42902</v>
      </c>
      <c r="D655" s="178"/>
      <c r="E655" s="157" t="s">
        <v>834</v>
      </c>
      <c r="F655" s="223" t="s">
        <v>305</v>
      </c>
      <c r="G655" s="223"/>
      <c r="H655" s="224" t="s">
        <v>306</v>
      </c>
      <c r="I655" s="157"/>
      <c r="J655" s="172"/>
      <c r="K655" s="157"/>
      <c r="L655" s="223" t="s">
        <v>296</v>
      </c>
      <c r="M655" s="173"/>
      <c r="N655" s="173"/>
      <c r="O655" s="157" t="s">
        <v>307</v>
      </c>
      <c r="P655" s="158"/>
      <c r="Q655" s="185"/>
      <c r="R655" s="175"/>
      <c r="S655" s="174">
        <f t="shared" si="29"/>
        <v>0</v>
      </c>
      <c r="T655" s="157"/>
      <c r="U655" s="177">
        <v>-31.54</v>
      </c>
      <c r="V655" s="157"/>
      <c r="W655" s="157"/>
      <c r="X655" s="176">
        <f t="shared" si="27"/>
        <v>-31.54</v>
      </c>
      <c r="Y655" s="228"/>
      <c r="Z655" s="311"/>
      <c r="AA655" s="157"/>
      <c r="AB655" s="157"/>
      <c r="AC655" s="157"/>
    </row>
    <row r="656" spans="1:29" outlineLevel="1">
      <c r="A656" s="170" t="s">
        <v>302</v>
      </c>
      <c r="B656" s="157" t="s">
        <v>303</v>
      </c>
      <c r="C656" s="171">
        <v>42902</v>
      </c>
      <c r="D656" s="178"/>
      <c r="E656" s="157" t="s">
        <v>835</v>
      </c>
      <c r="F656" s="223" t="s">
        <v>305</v>
      </c>
      <c r="G656" s="223"/>
      <c r="H656" s="224" t="s">
        <v>306</v>
      </c>
      <c r="I656" s="157"/>
      <c r="J656" s="172"/>
      <c r="K656" s="157"/>
      <c r="L656" s="223" t="s">
        <v>296</v>
      </c>
      <c r="M656" s="173"/>
      <c r="N656" s="173"/>
      <c r="O656" s="157" t="s">
        <v>307</v>
      </c>
      <c r="P656" s="158"/>
      <c r="Q656" s="185"/>
      <c r="R656" s="175"/>
      <c r="S656" s="174">
        <f t="shared" si="29"/>
        <v>0</v>
      </c>
      <c r="T656" s="157"/>
      <c r="U656" s="177">
        <v>-5.98</v>
      </c>
      <c r="V656" s="157"/>
      <c r="W656" s="157"/>
      <c r="X656" s="176">
        <f t="shared" si="27"/>
        <v>-5.98</v>
      </c>
      <c r="Y656" s="228"/>
      <c r="Z656" s="311"/>
      <c r="AA656" s="157"/>
      <c r="AB656" s="157"/>
      <c r="AC656" s="157"/>
    </row>
    <row r="657" spans="1:29" outlineLevel="1">
      <c r="A657" s="170" t="s">
        <v>302</v>
      </c>
      <c r="B657" s="157" t="s">
        <v>303</v>
      </c>
      <c r="C657" s="171">
        <v>42902</v>
      </c>
      <c r="D657" s="178"/>
      <c r="E657" s="157" t="s">
        <v>836</v>
      </c>
      <c r="F657" s="223" t="s">
        <v>305</v>
      </c>
      <c r="G657" s="223"/>
      <c r="H657" s="224" t="s">
        <v>306</v>
      </c>
      <c r="I657" s="157" t="s">
        <v>1009</v>
      </c>
      <c r="J657" s="157" t="s">
        <v>1009</v>
      </c>
      <c r="K657" s="157" t="s">
        <v>1009</v>
      </c>
      <c r="L657" s="223" t="s">
        <v>296</v>
      </c>
      <c r="M657" s="173"/>
      <c r="N657" s="173"/>
      <c r="O657" s="157" t="s">
        <v>271</v>
      </c>
      <c r="P657" s="158">
        <v>750.48</v>
      </c>
      <c r="Q657" s="185"/>
      <c r="R657" s="175"/>
      <c r="S657" s="174">
        <f t="shared" si="29"/>
        <v>750.48</v>
      </c>
      <c r="T657" s="157"/>
      <c r="U657" s="177"/>
      <c r="V657" s="157"/>
      <c r="W657" s="157"/>
      <c r="X657" s="176">
        <f t="shared" si="27"/>
        <v>0</v>
      </c>
      <c r="Y657" s="228"/>
      <c r="Z657" s="311"/>
      <c r="AA657" s="157"/>
      <c r="AB657" s="157"/>
      <c r="AC657" s="157"/>
    </row>
    <row r="658" spans="1:29" outlineLevel="1">
      <c r="A658" s="170" t="s">
        <v>302</v>
      </c>
      <c r="B658" s="157" t="s">
        <v>303</v>
      </c>
      <c r="C658" s="171">
        <v>42901</v>
      </c>
      <c r="D658" s="178"/>
      <c r="E658" s="157" t="s">
        <v>837</v>
      </c>
      <c r="F658" s="223" t="s">
        <v>305</v>
      </c>
      <c r="G658" s="223"/>
      <c r="H658" s="224" t="s">
        <v>306</v>
      </c>
      <c r="I658" s="157"/>
      <c r="J658" s="172"/>
      <c r="K658" s="157"/>
      <c r="L658" s="223" t="s">
        <v>296</v>
      </c>
      <c r="M658" s="173"/>
      <c r="N658" s="173"/>
      <c r="O658" s="157" t="s">
        <v>307</v>
      </c>
      <c r="P658" s="158"/>
      <c r="Q658" s="185"/>
      <c r="R658" s="175"/>
      <c r="S658" s="174">
        <f t="shared" si="29"/>
        <v>0</v>
      </c>
      <c r="T658" s="157"/>
      <c r="U658" s="177">
        <v>-48.28</v>
      </c>
      <c r="V658" s="157"/>
      <c r="W658" s="157"/>
      <c r="X658" s="176">
        <f t="shared" si="27"/>
        <v>-48.28</v>
      </c>
      <c r="Y658" s="228"/>
      <c r="Z658" s="311"/>
      <c r="AA658" s="157"/>
      <c r="AB658" s="157"/>
      <c r="AC658" s="157"/>
    </row>
    <row r="659" spans="1:29" outlineLevel="1">
      <c r="A659" s="170" t="s">
        <v>302</v>
      </c>
      <c r="B659" s="157" t="s">
        <v>303</v>
      </c>
      <c r="C659" s="171">
        <v>42901</v>
      </c>
      <c r="D659" s="178"/>
      <c r="E659" s="157" t="s">
        <v>838</v>
      </c>
      <c r="F659" s="223" t="s">
        <v>305</v>
      </c>
      <c r="G659" s="223"/>
      <c r="H659" s="224" t="s">
        <v>306</v>
      </c>
      <c r="I659" s="157" t="s">
        <v>1009</v>
      </c>
      <c r="J659" s="157" t="s">
        <v>1009</v>
      </c>
      <c r="K659" s="157" t="s">
        <v>1009</v>
      </c>
      <c r="L659" s="223" t="s">
        <v>296</v>
      </c>
      <c r="M659" s="173"/>
      <c r="N659" s="173"/>
      <c r="O659" s="157" t="s">
        <v>271</v>
      </c>
      <c r="P659" s="158">
        <v>507.78</v>
      </c>
      <c r="Q659" s="185"/>
      <c r="R659" s="175"/>
      <c r="S659" s="174">
        <f t="shared" si="29"/>
        <v>507.78</v>
      </c>
      <c r="T659" s="157"/>
      <c r="U659" s="177"/>
      <c r="V659" s="157"/>
      <c r="W659" s="157"/>
      <c r="X659" s="176">
        <f t="shared" si="27"/>
        <v>0</v>
      </c>
      <c r="Y659" s="228"/>
      <c r="Z659" s="311"/>
      <c r="AA659" s="157"/>
      <c r="AB659" s="157"/>
      <c r="AC659" s="157"/>
    </row>
    <row r="660" spans="1:29" outlineLevel="1">
      <c r="A660" s="170" t="s">
        <v>302</v>
      </c>
      <c r="B660" s="157" t="s">
        <v>303</v>
      </c>
      <c r="C660" s="171">
        <v>42900</v>
      </c>
      <c r="D660" s="178"/>
      <c r="E660" s="157" t="s">
        <v>839</v>
      </c>
      <c r="F660" s="223" t="s">
        <v>305</v>
      </c>
      <c r="G660" s="223"/>
      <c r="H660" s="224" t="s">
        <v>306</v>
      </c>
      <c r="I660" s="157"/>
      <c r="J660" s="172"/>
      <c r="K660" s="157"/>
      <c r="L660" s="223" t="s">
        <v>296</v>
      </c>
      <c r="M660" s="173"/>
      <c r="N660" s="173"/>
      <c r="O660" s="157" t="s">
        <v>307</v>
      </c>
      <c r="P660" s="158"/>
      <c r="Q660" s="185"/>
      <c r="R660" s="175"/>
      <c r="S660" s="174">
        <f t="shared" si="29"/>
        <v>0</v>
      </c>
      <c r="T660" s="157"/>
      <c r="U660" s="177">
        <v>-57.66</v>
      </c>
      <c r="V660" s="157"/>
      <c r="W660" s="157"/>
      <c r="X660" s="176">
        <f t="shared" si="27"/>
        <v>-57.66</v>
      </c>
      <c r="Y660" s="228"/>
      <c r="Z660" s="311"/>
      <c r="AA660" s="157"/>
      <c r="AB660" s="157"/>
      <c r="AC660" s="157"/>
    </row>
    <row r="661" spans="1:29" outlineLevel="1">
      <c r="A661" s="170" t="s">
        <v>302</v>
      </c>
      <c r="B661" s="157" t="s">
        <v>303</v>
      </c>
      <c r="C661" s="171">
        <v>42900</v>
      </c>
      <c r="D661" s="178"/>
      <c r="E661" s="157" t="s">
        <v>840</v>
      </c>
      <c r="F661" s="223" t="s">
        <v>305</v>
      </c>
      <c r="G661" s="223"/>
      <c r="H661" s="224" t="s">
        <v>306</v>
      </c>
      <c r="I661" s="157"/>
      <c r="J661" s="172"/>
      <c r="K661" s="157"/>
      <c r="L661" s="223" t="s">
        <v>296</v>
      </c>
      <c r="M661" s="173"/>
      <c r="N661" s="173"/>
      <c r="O661" s="157" t="s">
        <v>307</v>
      </c>
      <c r="P661" s="158"/>
      <c r="Q661" s="185"/>
      <c r="R661" s="175"/>
      <c r="S661" s="174">
        <f t="shared" si="29"/>
        <v>0</v>
      </c>
      <c r="T661" s="157"/>
      <c r="U661" s="177">
        <v>-16</v>
      </c>
      <c r="V661" s="157"/>
      <c r="W661" s="157"/>
      <c r="X661" s="176">
        <f t="shared" si="27"/>
        <v>-16</v>
      </c>
      <c r="Y661" s="228"/>
      <c r="Z661" s="311"/>
      <c r="AA661" s="157"/>
      <c r="AB661" s="157"/>
      <c r="AC661" s="157"/>
    </row>
    <row r="662" spans="1:29" outlineLevel="1">
      <c r="A662" s="170" t="s">
        <v>302</v>
      </c>
      <c r="B662" s="157" t="s">
        <v>303</v>
      </c>
      <c r="C662" s="171">
        <v>42900</v>
      </c>
      <c r="D662" s="178"/>
      <c r="E662" s="157" t="s">
        <v>841</v>
      </c>
      <c r="F662" s="223" t="s">
        <v>305</v>
      </c>
      <c r="G662" s="223"/>
      <c r="H662" s="224" t="s">
        <v>306</v>
      </c>
      <c r="I662" s="157" t="s">
        <v>1009</v>
      </c>
      <c r="J662" s="157" t="s">
        <v>1009</v>
      </c>
      <c r="K662" s="157" t="s">
        <v>1009</v>
      </c>
      <c r="L662" s="223" t="s">
        <v>296</v>
      </c>
      <c r="M662" s="173"/>
      <c r="N662" s="173"/>
      <c r="O662" s="157" t="s">
        <v>271</v>
      </c>
      <c r="P662" s="158">
        <v>629.44000000000005</v>
      </c>
      <c r="Q662" s="185"/>
      <c r="R662" s="175"/>
      <c r="S662" s="174">
        <f t="shared" si="29"/>
        <v>629.44000000000005</v>
      </c>
      <c r="T662" s="157"/>
      <c r="U662" s="177"/>
      <c r="V662" s="157"/>
      <c r="W662" s="157"/>
      <c r="X662" s="176">
        <f t="shared" si="27"/>
        <v>0</v>
      </c>
      <c r="Y662" s="228"/>
      <c r="Z662" s="311"/>
      <c r="AA662" s="157"/>
      <c r="AB662" s="157"/>
      <c r="AC662" s="157"/>
    </row>
    <row r="663" spans="1:29" outlineLevel="1">
      <c r="A663" s="170" t="s">
        <v>302</v>
      </c>
      <c r="B663" s="157" t="s">
        <v>303</v>
      </c>
      <c r="C663" s="171">
        <v>42900</v>
      </c>
      <c r="D663" s="178"/>
      <c r="E663" s="157" t="s">
        <v>842</v>
      </c>
      <c r="F663" s="223" t="s">
        <v>305</v>
      </c>
      <c r="G663" s="223"/>
      <c r="H663" s="224" t="s">
        <v>306</v>
      </c>
      <c r="I663" s="157" t="s">
        <v>1009</v>
      </c>
      <c r="J663" s="157" t="s">
        <v>1009</v>
      </c>
      <c r="K663" s="157" t="s">
        <v>1009</v>
      </c>
      <c r="L663" s="223" t="s">
        <v>296</v>
      </c>
      <c r="M663" s="173"/>
      <c r="N663" s="173"/>
      <c r="O663" s="157" t="s">
        <v>271</v>
      </c>
      <c r="P663" s="158">
        <v>289.10000000000002</v>
      </c>
      <c r="Q663" s="185"/>
      <c r="R663" s="175"/>
      <c r="S663" s="174">
        <f t="shared" si="29"/>
        <v>289.10000000000002</v>
      </c>
      <c r="T663" s="157"/>
      <c r="U663" s="177"/>
      <c r="V663" s="157"/>
      <c r="W663" s="157"/>
      <c r="X663" s="176">
        <f t="shared" si="27"/>
        <v>0</v>
      </c>
      <c r="Y663" s="228"/>
      <c r="Z663" s="311"/>
      <c r="AA663" s="157"/>
      <c r="AB663" s="157"/>
      <c r="AC663" s="157"/>
    </row>
    <row r="664" spans="1:29" outlineLevel="1">
      <c r="A664" s="170" t="s">
        <v>302</v>
      </c>
      <c r="B664" s="157" t="s">
        <v>303</v>
      </c>
      <c r="C664" s="171">
        <v>42899</v>
      </c>
      <c r="D664" s="178"/>
      <c r="E664" s="157" t="s">
        <v>304</v>
      </c>
      <c r="F664" s="223" t="s">
        <v>305</v>
      </c>
      <c r="G664" s="223"/>
      <c r="H664" s="224" t="s">
        <v>306</v>
      </c>
      <c r="I664" s="157"/>
      <c r="J664" s="172"/>
      <c r="K664" s="157"/>
      <c r="L664" s="223" t="s">
        <v>296</v>
      </c>
      <c r="M664" s="173"/>
      <c r="N664" s="173"/>
      <c r="O664" s="157" t="s">
        <v>308</v>
      </c>
      <c r="P664" s="158"/>
      <c r="Q664" s="185"/>
      <c r="R664" s="175"/>
      <c r="S664" s="174">
        <f t="shared" si="29"/>
        <v>0</v>
      </c>
      <c r="T664" s="157"/>
      <c r="U664" s="177">
        <v>-358</v>
      </c>
      <c r="V664" s="157"/>
      <c r="W664" s="157"/>
      <c r="X664" s="176">
        <f t="shared" si="27"/>
        <v>-358</v>
      </c>
      <c r="Y664" s="228"/>
      <c r="Z664" s="311"/>
      <c r="AA664" s="157"/>
      <c r="AB664" s="157"/>
      <c r="AC664" s="157"/>
    </row>
    <row r="665" spans="1:29" outlineLevel="1">
      <c r="A665" s="170" t="s">
        <v>302</v>
      </c>
      <c r="B665" s="157" t="s">
        <v>303</v>
      </c>
      <c r="C665" s="171">
        <v>42899</v>
      </c>
      <c r="D665" s="178"/>
      <c r="E665" s="157" t="s">
        <v>843</v>
      </c>
      <c r="F665" s="223" t="s">
        <v>305</v>
      </c>
      <c r="G665" s="223"/>
      <c r="H665" s="224" t="s">
        <v>306</v>
      </c>
      <c r="I665" s="157"/>
      <c r="J665" s="172"/>
      <c r="K665" s="157"/>
      <c r="L665" s="223" t="s">
        <v>296</v>
      </c>
      <c r="M665" s="173"/>
      <c r="N665" s="173"/>
      <c r="O665" s="157" t="s">
        <v>307</v>
      </c>
      <c r="P665" s="158"/>
      <c r="Q665" s="185"/>
      <c r="R665" s="175"/>
      <c r="S665" s="174">
        <f t="shared" si="29"/>
        <v>0</v>
      </c>
      <c r="T665" s="157"/>
      <c r="U665" s="177">
        <v>-25.3</v>
      </c>
      <c r="V665" s="157"/>
      <c r="W665" s="157"/>
      <c r="X665" s="176">
        <f t="shared" ref="X665:X726" si="30">U665</f>
        <v>-25.3</v>
      </c>
      <c r="Y665" s="228"/>
      <c r="Z665" s="311"/>
      <c r="AA665" s="157"/>
      <c r="AB665" s="157"/>
      <c r="AC665" s="157"/>
    </row>
    <row r="666" spans="1:29" outlineLevel="1">
      <c r="A666" s="170" t="s">
        <v>302</v>
      </c>
      <c r="B666" s="157" t="s">
        <v>303</v>
      </c>
      <c r="C666" s="171">
        <v>42899</v>
      </c>
      <c r="D666" s="178"/>
      <c r="E666" s="157" t="s">
        <v>844</v>
      </c>
      <c r="F666" s="223" t="s">
        <v>305</v>
      </c>
      <c r="G666" s="223"/>
      <c r="H666" s="224" t="s">
        <v>306</v>
      </c>
      <c r="I666" s="157"/>
      <c r="J666" s="172"/>
      <c r="K666" s="157"/>
      <c r="L666" s="223" t="s">
        <v>296</v>
      </c>
      <c r="M666" s="173"/>
      <c r="N666" s="173"/>
      <c r="O666" s="157" t="s">
        <v>307</v>
      </c>
      <c r="P666" s="158"/>
      <c r="Q666" s="185"/>
      <c r="R666" s="175"/>
      <c r="S666" s="174">
        <f t="shared" si="29"/>
        <v>0</v>
      </c>
      <c r="T666" s="157"/>
      <c r="U666" s="177">
        <v>-28.82</v>
      </c>
      <c r="V666" s="157"/>
      <c r="W666" s="157"/>
      <c r="X666" s="176">
        <f t="shared" si="30"/>
        <v>-28.82</v>
      </c>
      <c r="Y666" s="228"/>
      <c r="Z666" s="311"/>
      <c r="AA666" s="157"/>
      <c r="AB666" s="157"/>
      <c r="AC666" s="157"/>
    </row>
    <row r="667" spans="1:29" outlineLevel="1">
      <c r="A667" s="170" t="s">
        <v>302</v>
      </c>
      <c r="B667" s="157" t="s">
        <v>303</v>
      </c>
      <c r="C667" s="171">
        <v>42899</v>
      </c>
      <c r="D667" s="178"/>
      <c r="E667" s="157" t="s">
        <v>845</v>
      </c>
      <c r="F667" s="223" t="s">
        <v>305</v>
      </c>
      <c r="G667" s="223"/>
      <c r="H667" s="224" t="s">
        <v>306</v>
      </c>
      <c r="I667" s="157"/>
      <c r="J667" s="172"/>
      <c r="K667" s="157"/>
      <c r="L667" s="223" t="s">
        <v>296</v>
      </c>
      <c r="M667" s="173"/>
      <c r="N667" s="173"/>
      <c r="O667" s="157" t="s">
        <v>307</v>
      </c>
      <c r="P667" s="158"/>
      <c r="Q667" s="185"/>
      <c r="R667" s="175"/>
      <c r="S667" s="174">
        <f t="shared" si="29"/>
        <v>0</v>
      </c>
      <c r="T667" s="157"/>
      <c r="U667" s="177">
        <v>-126.61</v>
      </c>
      <c r="V667" s="157"/>
      <c r="W667" s="157"/>
      <c r="X667" s="176">
        <f t="shared" si="30"/>
        <v>-126.61</v>
      </c>
      <c r="Y667" s="228"/>
      <c r="Z667" s="311"/>
      <c r="AA667" s="157"/>
      <c r="AB667" s="157"/>
      <c r="AC667" s="157"/>
    </row>
    <row r="668" spans="1:29" outlineLevel="1">
      <c r="A668" s="170" t="s">
        <v>302</v>
      </c>
      <c r="B668" s="157" t="s">
        <v>303</v>
      </c>
      <c r="C668" s="171">
        <v>42899</v>
      </c>
      <c r="D668" s="178"/>
      <c r="E668" s="157" t="s">
        <v>846</v>
      </c>
      <c r="F668" s="223" t="s">
        <v>305</v>
      </c>
      <c r="G668" s="223"/>
      <c r="H668" s="224" t="s">
        <v>306</v>
      </c>
      <c r="I668" s="157"/>
      <c r="J668" s="172"/>
      <c r="K668" s="157"/>
      <c r="L668" s="223" t="s">
        <v>296</v>
      </c>
      <c r="M668" s="173"/>
      <c r="N668" s="173"/>
      <c r="O668" s="157" t="s">
        <v>307</v>
      </c>
      <c r="P668" s="158"/>
      <c r="Q668" s="185"/>
      <c r="R668" s="175"/>
      <c r="S668" s="174">
        <f t="shared" si="29"/>
        <v>0</v>
      </c>
      <c r="T668" s="157"/>
      <c r="U668" s="177">
        <v>-42.31</v>
      </c>
      <c r="V668" s="157"/>
      <c r="W668" s="157"/>
      <c r="X668" s="176">
        <f t="shared" si="30"/>
        <v>-42.31</v>
      </c>
      <c r="Y668" s="228"/>
      <c r="Z668" s="311"/>
      <c r="AA668" s="157"/>
      <c r="AB668" s="157"/>
      <c r="AC668" s="157"/>
    </row>
    <row r="669" spans="1:29" outlineLevel="1">
      <c r="A669" s="170" t="s">
        <v>302</v>
      </c>
      <c r="B669" s="157" t="s">
        <v>303</v>
      </c>
      <c r="C669" s="171">
        <v>42899</v>
      </c>
      <c r="D669" s="178"/>
      <c r="E669" s="157" t="s">
        <v>847</v>
      </c>
      <c r="F669" s="223" t="s">
        <v>305</v>
      </c>
      <c r="G669" s="223"/>
      <c r="H669" s="224" t="s">
        <v>306</v>
      </c>
      <c r="I669" s="157" t="s">
        <v>1009</v>
      </c>
      <c r="J669" s="157" t="s">
        <v>1009</v>
      </c>
      <c r="K669" s="157" t="s">
        <v>1009</v>
      </c>
      <c r="L669" s="223" t="s">
        <v>296</v>
      </c>
      <c r="M669" s="173"/>
      <c r="N669" s="173"/>
      <c r="O669" s="157" t="s">
        <v>271</v>
      </c>
      <c r="P669" s="158">
        <v>329.05</v>
      </c>
      <c r="Q669" s="185"/>
      <c r="R669" s="175"/>
      <c r="S669" s="174">
        <f t="shared" si="29"/>
        <v>329.05</v>
      </c>
      <c r="T669" s="157"/>
      <c r="U669" s="177"/>
      <c r="V669" s="157"/>
      <c r="W669" s="157"/>
      <c r="X669" s="176">
        <f t="shared" si="30"/>
        <v>0</v>
      </c>
      <c r="Y669" s="228"/>
      <c r="Z669" s="311"/>
      <c r="AA669" s="157"/>
      <c r="AB669" s="157"/>
      <c r="AC669" s="157"/>
    </row>
    <row r="670" spans="1:29" outlineLevel="1">
      <c r="A670" s="170" t="s">
        <v>302</v>
      </c>
      <c r="B670" s="157" t="s">
        <v>303</v>
      </c>
      <c r="C670" s="171">
        <v>42898</v>
      </c>
      <c r="D670" s="178"/>
      <c r="E670" s="157" t="s">
        <v>304</v>
      </c>
      <c r="F670" s="223" t="s">
        <v>305</v>
      </c>
      <c r="G670" s="223"/>
      <c r="H670" s="224" t="s">
        <v>306</v>
      </c>
      <c r="I670" s="157"/>
      <c r="J670" s="172"/>
      <c r="K670" s="157"/>
      <c r="L670" s="223" t="s">
        <v>296</v>
      </c>
      <c r="M670" s="173"/>
      <c r="N670" s="173"/>
      <c r="O670" s="157" t="s">
        <v>307</v>
      </c>
      <c r="P670" s="158"/>
      <c r="Q670" s="185"/>
      <c r="R670" s="175"/>
      <c r="S670" s="174">
        <f t="shared" si="29"/>
        <v>0</v>
      </c>
      <c r="T670" s="157"/>
      <c r="U670" s="177">
        <v>-5907.2</v>
      </c>
      <c r="V670" s="157"/>
      <c r="W670" s="157"/>
      <c r="X670" s="176">
        <f t="shared" si="30"/>
        <v>-5907.2</v>
      </c>
      <c r="Y670" s="228"/>
      <c r="Z670" s="311"/>
      <c r="AA670" s="157"/>
      <c r="AB670" s="157"/>
      <c r="AC670" s="157"/>
    </row>
    <row r="671" spans="1:29" outlineLevel="1">
      <c r="A671" s="170" t="s">
        <v>302</v>
      </c>
      <c r="B671" s="157" t="s">
        <v>303</v>
      </c>
      <c r="C671" s="171">
        <v>42898</v>
      </c>
      <c r="D671" s="178"/>
      <c r="E671" s="157" t="s">
        <v>304</v>
      </c>
      <c r="F671" s="223" t="s">
        <v>305</v>
      </c>
      <c r="G671" s="223"/>
      <c r="H671" s="224" t="s">
        <v>306</v>
      </c>
      <c r="I671" s="157"/>
      <c r="J671" s="172"/>
      <c r="K671" s="157"/>
      <c r="L671" s="223" t="s">
        <v>296</v>
      </c>
      <c r="M671" s="173"/>
      <c r="N671" s="173"/>
      <c r="O671" s="157" t="s">
        <v>308</v>
      </c>
      <c r="P671" s="158"/>
      <c r="Q671" s="185"/>
      <c r="R671" s="175"/>
      <c r="S671" s="174">
        <f t="shared" ref="S671:S717" si="31">P671</f>
        <v>0</v>
      </c>
      <c r="T671" s="157"/>
      <c r="U671" s="177">
        <v>-465</v>
      </c>
      <c r="V671" s="157"/>
      <c r="W671" s="157"/>
      <c r="X671" s="176">
        <f t="shared" si="30"/>
        <v>-465</v>
      </c>
      <c r="Y671" s="228"/>
      <c r="Z671" s="311"/>
      <c r="AA671" s="157"/>
      <c r="AB671" s="157"/>
      <c r="AC671" s="157"/>
    </row>
    <row r="672" spans="1:29" outlineLevel="1">
      <c r="A672" s="170" t="s">
        <v>302</v>
      </c>
      <c r="B672" s="157" t="s">
        <v>303</v>
      </c>
      <c r="C672" s="171">
        <v>42898</v>
      </c>
      <c r="D672" s="178"/>
      <c r="E672" s="157" t="s">
        <v>304</v>
      </c>
      <c r="F672" s="223" t="s">
        <v>305</v>
      </c>
      <c r="G672" s="223"/>
      <c r="H672" s="224" t="s">
        <v>306</v>
      </c>
      <c r="I672" s="157"/>
      <c r="J672" s="172"/>
      <c r="K672" s="157"/>
      <c r="L672" s="223" t="s">
        <v>296</v>
      </c>
      <c r="M672" s="173"/>
      <c r="N672" s="173"/>
      <c r="O672" s="157" t="s">
        <v>307</v>
      </c>
      <c r="P672" s="158"/>
      <c r="Q672" s="185"/>
      <c r="R672" s="175"/>
      <c r="S672" s="174">
        <f t="shared" si="31"/>
        <v>0</v>
      </c>
      <c r="T672" s="157"/>
      <c r="U672" s="177">
        <v>-3685.35</v>
      </c>
      <c r="V672" s="157"/>
      <c r="W672" s="157"/>
      <c r="X672" s="176">
        <f t="shared" si="30"/>
        <v>-3685.35</v>
      </c>
      <c r="Y672" s="228"/>
      <c r="Z672" s="311"/>
      <c r="AA672" s="157"/>
      <c r="AB672" s="157"/>
      <c r="AC672" s="157"/>
    </row>
    <row r="673" spans="1:29" outlineLevel="1">
      <c r="A673" s="170" t="s">
        <v>302</v>
      </c>
      <c r="B673" s="157" t="s">
        <v>303</v>
      </c>
      <c r="C673" s="171">
        <v>42898</v>
      </c>
      <c r="D673" s="178"/>
      <c r="E673" s="157" t="s">
        <v>848</v>
      </c>
      <c r="F673" s="223" t="s">
        <v>305</v>
      </c>
      <c r="G673" s="223"/>
      <c r="H673" s="224" t="s">
        <v>306</v>
      </c>
      <c r="I673" s="157"/>
      <c r="J673" s="172"/>
      <c r="K673" s="157"/>
      <c r="L673" s="223" t="s">
        <v>296</v>
      </c>
      <c r="M673" s="173"/>
      <c r="N673" s="173"/>
      <c r="O673" s="157" t="s">
        <v>307</v>
      </c>
      <c r="P673" s="158"/>
      <c r="Q673" s="185"/>
      <c r="R673" s="175"/>
      <c r="S673" s="174">
        <f t="shared" si="31"/>
        <v>0</v>
      </c>
      <c r="T673" s="157"/>
      <c r="U673" s="177">
        <v>-48</v>
      </c>
      <c r="V673" s="157"/>
      <c r="W673" s="157"/>
      <c r="X673" s="176">
        <f t="shared" si="30"/>
        <v>-48</v>
      </c>
      <c r="Y673" s="228"/>
      <c r="Z673" s="311"/>
      <c r="AA673" s="157"/>
      <c r="AB673" s="157"/>
      <c r="AC673" s="157"/>
    </row>
    <row r="674" spans="1:29" outlineLevel="1">
      <c r="A674" s="170" t="s">
        <v>302</v>
      </c>
      <c r="B674" s="157" t="s">
        <v>303</v>
      </c>
      <c r="C674" s="171">
        <v>42898</v>
      </c>
      <c r="D674" s="178"/>
      <c r="E674" s="157" t="s">
        <v>849</v>
      </c>
      <c r="F674" s="223" t="s">
        <v>305</v>
      </c>
      <c r="G674" s="223"/>
      <c r="H674" s="224" t="s">
        <v>306</v>
      </c>
      <c r="I674" s="157"/>
      <c r="J674" s="172"/>
      <c r="K674" s="157"/>
      <c r="L674" s="223" t="s">
        <v>296</v>
      </c>
      <c r="M674" s="173"/>
      <c r="N674" s="173"/>
      <c r="O674" s="157" t="s">
        <v>307</v>
      </c>
      <c r="P674" s="158"/>
      <c r="Q674" s="185"/>
      <c r="R674" s="175"/>
      <c r="S674" s="174">
        <f t="shared" si="31"/>
        <v>0</v>
      </c>
      <c r="T674" s="157"/>
      <c r="U674" s="177">
        <v>-60</v>
      </c>
      <c r="V674" s="157"/>
      <c r="W674" s="157"/>
      <c r="X674" s="176">
        <f t="shared" si="30"/>
        <v>-60</v>
      </c>
      <c r="Y674" s="228"/>
      <c r="Z674" s="311"/>
      <c r="AA674" s="157"/>
      <c r="AB674" s="157"/>
      <c r="AC674" s="157"/>
    </row>
    <row r="675" spans="1:29" outlineLevel="1">
      <c r="A675" s="170" t="s">
        <v>302</v>
      </c>
      <c r="B675" s="157" t="s">
        <v>303</v>
      </c>
      <c r="C675" s="171">
        <v>42898</v>
      </c>
      <c r="D675" s="178"/>
      <c r="E675" s="157" t="s">
        <v>850</v>
      </c>
      <c r="F675" s="223" t="s">
        <v>305</v>
      </c>
      <c r="G675" s="223"/>
      <c r="H675" s="224" t="s">
        <v>306</v>
      </c>
      <c r="I675" s="157"/>
      <c r="J675" s="172"/>
      <c r="K675" s="157"/>
      <c r="L675" s="223" t="s">
        <v>296</v>
      </c>
      <c r="M675" s="173"/>
      <c r="N675" s="173"/>
      <c r="O675" s="157" t="s">
        <v>307</v>
      </c>
      <c r="P675" s="158"/>
      <c r="Q675" s="185"/>
      <c r="R675" s="175"/>
      <c r="S675" s="174">
        <f t="shared" si="31"/>
        <v>0</v>
      </c>
      <c r="T675" s="157"/>
      <c r="U675" s="177">
        <v>-55.48</v>
      </c>
      <c r="V675" s="157"/>
      <c r="W675" s="157"/>
      <c r="X675" s="176">
        <f t="shared" si="30"/>
        <v>-55.48</v>
      </c>
      <c r="Y675" s="228"/>
      <c r="Z675" s="311"/>
      <c r="AA675" s="157"/>
      <c r="AB675" s="157"/>
      <c r="AC675" s="157"/>
    </row>
    <row r="676" spans="1:29" outlineLevel="1">
      <c r="A676" s="170" t="s">
        <v>302</v>
      </c>
      <c r="B676" s="157" t="s">
        <v>303</v>
      </c>
      <c r="C676" s="171">
        <v>42898</v>
      </c>
      <c r="D676" s="178"/>
      <c r="E676" s="157" t="s">
        <v>851</v>
      </c>
      <c r="F676" s="223" t="s">
        <v>305</v>
      </c>
      <c r="G676" s="223"/>
      <c r="H676" s="224" t="s">
        <v>306</v>
      </c>
      <c r="I676" s="157"/>
      <c r="J676" s="172"/>
      <c r="K676" s="157"/>
      <c r="L676" s="223" t="s">
        <v>296</v>
      </c>
      <c r="M676" s="173"/>
      <c r="N676" s="173"/>
      <c r="O676" s="157" t="s">
        <v>307</v>
      </c>
      <c r="P676" s="158"/>
      <c r="Q676" s="185"/>
      <c r="R676" s="175"/>
      <c r="S676" s="174">
        <f t="shared" si="31"/>
        <v>0</v>
      </c>
      <c r="T676" s="157"/>
      <c r="U676" s="177">
        <v>-8.99</v>
      </c>
      <c r="V676" s="157"/>
      <c r="W676" s="157"/>
      <c r="X676" s="176">
        <f t="shared" si="30"/>
        <v>-8.99</v>
      </c>
      <c r="Y676" s="228"/>
      <c r="Z676" s="311"/>
      <c r="AA676" s="157"/>
      <c r="AB676" s="157"/>
      <c r="AC676" s="157"/>
    </row>
    <row r="677" spans="1:29" outlineLevel="1">
      <c r="A677" s="170" t="s">
        <v>302</v>
      </c>
      <c r="B677" s="157" t="s">
        <v>303</v>
      </c>
      <c r="C677" s="171">
        <v>42898</v>
      </c>
      <c r="D677" s="178"/>
      <c r="E677" s="157" t="s">
        <v>852</v>
      </c>
      <c r="F677" s="223" t="s">
        <v>305</v>
      </c>
      <c r="G677" s="223"/>
      <c r="H677" s="224" t="s">
        <v>306</v>
      </c>
      <c r="I677" s="157"/>
      <c r="J677" s="172"/>
      <c r="K677" s="157"/>
      <c r="L677" s="223" t="s">
        <v>296</v>
      </c>
      <c r="M677" s="173"/>
      <c r="N677" s="173"/>
      <c r="O677" s="157" t="s">
        <v>307</v>
      </c>
      <c r="P677" s="158"/>
      <c r="Q677" s="185"/>
      <c r="R677" s="175"/>
      <c r="S677" s="174">
        <f t="shared" si="31"/>
        <v>0</v>
      </c>
      <c r="T677" s="157"/>
      <c r="U677" s="177">
        <v>-12</v>
      </c>
      <c r="V677" s="157"/>
      <c r="W677" s="157"/>
      <c r="X677" s="176">
        <f t="shared" si="30"/>
        <v>-12</v>
      </c>
      <c r="Y677" s="228"/>
      <c r="Z677" s="311"/>
      <c r="AA677" s="157"/>
      <c r="AB677" s="157"/>
      <c r="AC677" s="157"/>
    </row>
    <row r="678" spans="1:29" outlineLevel="1">
      <c r="A678" s="170" t="s">
        <v>302</v>
      </c>
      <c r="B678" s="157" t="s">
        <v>303</v>
      </c>
      <c r="C678" s="171">
        <v>42898</v>
      </c>
      <c r="D678" s="178"/>
      <c r="E678" s="157" t="s">
        <v>853</v>
      </c>
      <c r="F678" s="223" t="s">
        <v>305</v>
      </c>
      <c r="G678" s="223"/>
      <c r="H678" s="224" t="s">
        <v>306</v>
      </c>
      <c r="I678" s="157" t="s">
        <v>1009</v>
      </c>
      <c r="J678" s="157" t="s">
        <v>1009</v>
      </c>
      <c r="K678" s="157" t="s">
        <v>1009</v>
      </c>
      <c r="L678" s="223" t="s">
        <v>296</v>
      </c>
      <c r="M678" s="173"/>
      <c r="N678" s="173"/>
      <c r="O678" s="157" t="s">
        <v>271</v>
      </c>
      <c r="P678" s="158">
        <v>1353.91</v>
      </c>
      <c r="Q678" s="185"/>
      <c r="R678" s="175"/>
      <c r="S678" s="174">
        <f t="shared" si="31"/>
        <v>1353.91</v>
      </c>
      <c r="T678" s="157"/>
      <c r="U678" s="177"/>
      <c r="V678" s="157"/>
      <c r="W678" s="157"/>
      <c r="X678" s="176">
        <f t="shared" si="30"/>
        <v>0</v>
      </c>
      <c r="Y678" s="228"/>
      <c r="Z678" s="311"/>
      <c r="AA678" s="157"/>
      <c r="AB678" s="157"/>
      <c r="AC678" s="157"/>
    </row>
    <row r="679" spans="1:29" outlineLevel="1">
      <c r="A679" s="170" t="s">
        <v>302</v>
      </c>
      <c r="B679" s="157" t="s">
        <v>303</v>
      </c>
      <c r="C679" s="171">
        <v>42898</v>
      </c>
      <c r="D679" s="178"/>
      <c r="E679" s="157" t="s">
        <v>854</v>
      </c>
      <c r="F679" s="223" t="s">
        <v>305</v>
      </c>
      <c r="G679" s="223"/>
      <c r="H679" s="224" t="s">
        <v>306</v>
      </c>
      <c r="I679" s="157" t="s">
        <v>1009</v>
      </c>
      <c r="J679" s="157" t="s">
        <v>1009</v>
      </c>
      <c r="K679" s="157" t="s">
        <v>1009</v>
      </c>
      <c r="L679" s="223" t="s">
        <v>296</v>
      </c>
      <c r="M679" s="173"/>
      <c r="N679" s="173"/>
      <c r="O679" s="157" t="s">
        <v>271</v>
      </c>
      <c r="P679" s="158">
        <v>1154.33</v>
      </c>
      <c r="Q679" s="185"/>
      <c r="R679" s="175"/>
      <c r="S679" s="174">
        <f t="shared" si="31"/>
        <v>1154.33</v>
      </c>
      <c r="T679" s="157"/>
      <c r="U679" s="177"/>
      <c r="V679" s="157"/>
      <c r="W679" s="157"/>
      <c r="X679" s="176">
        <f t="shared" si="30"/>
        <v>0</v>
      </c>
      <c r="Y679" s="228"/>
      <c r="Z679" s="311"/>
      <c r="AA679" s="157"/>
      <c r="AB679" s="157"/>
      <c r="AC679" s="157"/>
    </row>
    <row r="680" spans="1:29" outlineLevel="1">
      <c r="A680" s="170" t="s">
        <v>302</v>
      </c>
      <c r="B680" s="157" t="s">
        <v>303</v>
      </c>
      <c r="C680" s="171">
        <v>42898</v>
      </c>
      <c r="D680" s="178"/>
      <c r="E680" s="157" t="s">
        <v>855</v>
      </c>
      <c r="F680" s="223" t="s">
        <v>305</v>
      </c>
      <c r="G680" s="223"/>
      <c r="H680" s="224" t="s">
        <v>306</v>
      </c>
      <c r="I680" s="157" t="s">
        <v>1009</v>
      </c>
      <c r="J680" s="157" t="s">
        <v>1009</v>
      </c>
      <c r="K680" s="157" t="s">
        <v>1009</v>
      </c>
      <c r="L680" s="223" t="s">
        <v>296</v>
      </c>
      <c r="M680" s="173"/>
      <c r="N680" s="173"/>
      <c r="O680" s="157" t="s">
        <v>271</v>
      </c>
      <c r="P680" s="158">
        <v>852.19</v>
      </c>
      <c r="Q680" s="185"/>
      <c r="R680" s="175"/>
      <c r="S680" s="174">
        <f t="shared" si="31"/>
        <v>852.19</v>
      </c>
      <c r="T680" s="157"/>
      <c r="U680" s="177"/>
      <c r="V680" s="157"/>
      <c r="W680" s="157"/>
      <c r="X680" s="176">
        <f t="shared" si="30"/>
        <v>0</v>
      </c>
      <c r="Y680" s="228"/>
      <c r="Z680" s="311"/>
      <c r="AA680" s="157"/>
      <c r="AB680" s="157"/>
      <c r="AC680" s="157"/>
    </row>
    <row r="681" spans="1:29" outlineLevel="1">
      <c r="A681" s="170" t="s">
        <v>302</v>
      </c>
      <c r="B681" s="157" t="s">
        <v>303</v>
      </c>
      <c r="C681" s="171">
        <v>42895</v>
      </c>
      <c r="D681" s="178"/>
      <c r="E681" s="157" t="s">
        <v>304</v>
      </c>
      <c r="F681" s="223" t="s">
        <v>305</v>
      </c>
      <c r="G681" s="223"/>
      <c r="H681" s="224" t="s">
        <v>306</v>
      </c>
      <c r="I681" s="157"/>
      <c r="J681" s="172"/>
      <c r="K681" s="157"/>
      <c r="L681" s="223" t="s">
        <v>296</v>
      </c>
      <c r="M681" s="173"/>
      <c r="N681" s="173"/>
      <c r="O681" s="157" t="s">
        <v>307</v>
      </c>
      <c r="P681" s="158"/>
      <c r="Q681" s="185"/>
      <c r="R681" s="175"/>
      <c r="S681" s="174">
        <f t="shared" si="31"/>
        <v>0</v>
      </c>
      <c r="T681" s="157"/>
      <c r="U681" s="177">
        <v>-189.25</v>
      </c>
      <c r="V681" s="157"/>
      <c r="W681" s="157"/>
      <c r="X681" s="176">
        <f t="shared" si="30"/>
        <v>-189.25</v>
      </c>
      <c r="Y681" s="228"/>
      <c r="Z681" s="311"/>
      <c r="AA681" s="157"/>
      <c r="AB681" s="157"/>
      <c r="AC681" s="157"/>
    </row>
    <row r="682" spans="1:29" outlineLevel="1">
      <c r="A682" s="170" t="s">
        <v>302</v>
      </c>
      <c r="B682" s="157" t="s">
        <v>303</v>
      </c>
      <c r="C682" s="171">
        <v>42895</v>
      </c>
      <c r="D682" s="178"/>
      <c r="E682" s="157" t="s">
        <v>856</v>
      </c>
      <c r="F682" s="223" t="s">
        <v>305</v>
      </c>
      <c r="G682" s="223"/>
      <c r="H682" s="224" t="s">
        <v>306</v>
      </c>
      <c r="I682" s="157"/>
      <c r="J682" s="172"/>
      <c r="K682" s="157"/>
      <c r="L682" s="223" t="s">
        <v>296</v>
      </c>
      <c r="M682" s="173"/>
      <c r="N682" s="173"/>
      <c r="O682" s="157" t="s">
        <v>307</v>
      </c>
      <c r="P682" s="158"/>
      <c r="Q682" s="185"/>
      <c r="R682" s="175"/>
      <c r="S682" s="174">
        <f t="shared" si="31"/>
        <v>0</v>
      </c>
      <c r="T682" s="157"/>
      <c r="U682" s="177">
        <v>-48.7</v>
      </c>
      <c r="V682" s="157"/>
      <c r="W682" s="157"/>
      <c r="X682" s="176">
        <f t="shared" si="30"/>
        <v>-48.7</v>
      </c>
      <c r="Y682" s="228"/>
      <c r="Z682" s="311"/>
      <c r="AA682" s="157"/>
      <c r="AB682" s="157"/>
      <c r="AC682" s="157"/>
    </row>
    <row r="683" spans="1:29" outlineLevel="1">
      <c r="A683" s="170" t="s">
        <v>302</v>
      </c>
      <c r="B683" s="157" t="s">
        <v>303</v>
      </c>
      <c r="C683" s="171">
        <v>42895</v>
      </c>
      <c r="D683" s="178"/>
      <c r="E683" s="157" t="s">
        <v>857</v>
      </c>
      <c r="F683" s="223" t="s">
        <v>305</v>
      </c>
      <c r="G683" s="223"/>
      <c r="H683" s="224" t="s">
        <v>306</v>
      </c>
      <c r="I683" s="157" t="s">
        <v>1009</v>
      </c>
      <c r="J683" s="157" t="s">
        <v>1009</v>
      </c>
      <c r="K683" s="157" t="s">
        <v>1009</v>
      </c>
      <c r="L683" s="223" t="s">
        <v>296</v>
      </c>
      <c r="M683" s="173"/>
      <c r="N683" s="173"/>
      <c r="O683" s="157" t="s">
        <v>271</v>
      </c>
      <c r="P683" s="158">
        <v>893.94</v>
      </c>
      <c r="Q683" s="185"/>
      <c r="R683" s="175"/>
      <c r="S683" s="174">
        <f t="shared" si="31"/>
        <v>893.94</v>
      </c>
      <c r="T683" s="157"/>
      <c r="U683" s="177"/>
      <c r="V683" s="157"/>
      <c r="W683" s="157"/>
      <c r="X683" s="176">
        <f t="shared" si="30"/>
        <v>0</v>
      </c>
      <c r="Y683" s="228"/>
      <c r="Z683" s="311"/>
      <c r="AA683" s="157"/>
      <c r="AB683" s="157"/>
      <c r="AC683" s="157"/>
    </row>
    <row r="684" spans="1:29" outlineLevel="1">
      <c r="A684" s="170" t="s">
        <v>302</v>
      </c>
      <c r="B684" s="157" t="s">
        <v>303</v>
      </c>
      <c r="C684" s="171">
        <v>42894</v>
      </c>
      <c r="D684" s="178"/>
      <c r="E684" s="157" t="s">
        <v>304</v>
      </c>
      <c r="F684" s="223" t="s">
        <v>305</v>
      </c>
      <c r="G684" s="223"/>
      <c r="H684" s="224" t="s">
        <v>306</v>
      </c>
      <c r="I684" s="157"/>
      <c r="J684" s="172"/>
      <c r="K684" s="157"/>
      <c r="L684" s="223" t="s">
        <v>296</v>
      </c>
      <c r="M684" s="173"/>
      <c r="N684" s="173"/>
      <c r="O684" s="157" t="s">
        <v>308</v>
      </c>
      <c r="P684" s="158"/>
      <c r="Q684" s="185"/>
      <c r="R684" s="175"/>
      <c r="S684" s="174">
        <f t="shared" si="31"/>
        <v>0</v>
      </c>
      <c r="T684" s="157"/>
      <c r="U684" s="177">
        <v>-300</v>
      </c>
      <c r="V684" s="157"/>
      <c r="W684" s="157"/>
      <c r="X684" s="176">
        <f t="shared" si="30"/>
        <v>-300</v>
      </c>
      <c r="Y684" s="228"/>
      <c r="Z684" s="311"/>
      <c r="AA684" s="157"/>
      <c r="AB684" s="157"/>
      <c r="AC684" s="157"/>
    </row>
    <row r="685" spans="1:29" outlineLevel="1">
      <c r="A685" s="170" t="s">
        <v>302</v>
      </c>
      <c r="B685" s="157" t="s">
        <v>303</v>
      </c>
      <c r="C685" s="171">
        <v>42894</v>
      </c>
      <c r="D685" s="178"/>
      <c r="E685" s="157" t="s">
        <v>304</v>
      </c>
      <c r="F685" s="223" t="s">
        <v>305</v>
      </c>
      <c r="G685" s="223"/>
      <c r="H685" s="224" t="s">
        <v>306</v>
      </c>
      <c r="I685" s="157"/>
      <c r="J685" s="172"/>
      <c r="K685" s="157"/>
      <c r="L685" s="223" t="s">
        <v>296</v>
      </c>
      <c r="M685" s="173"/>
      <c r="N685" s="173"/>
      <c r="O685" s="157" t="s">
        <v>307</v>
      </c>
      <c r="P685" s="158"/>
      <c r="Q685" s="185"/>
      <c r="R685" s="175"/>
      <c r="S685" s="174">
        <f t="shared" si="31"/>
        <v>0</v>
      </c>
      <c r="T685" s="157"/>
      <c r="U685" s="177">
        <v>-610.5</v>
      </c>
      <c r="V685" s="157"/>
      <c r="W685" s="157"/>
      <c r="X685" s="176">
        <f t="shared" si="30"/>
        <v>-610.5</v>
      </c>
      <c r="Y685" s="228"/>
      <c r="Z685" s="311"/>
      <c r="AA685" s="157"/>
      <c r="AB685" s="157"/>
      <c r="AC685" s="157"/>
    </row>
    <row r="686" spans="1:29" outlineLevel="1">
      <c r="A686" s="170" t="s">
        <v>302</v>
      </c>
      <c r="B686" s="157" t="s">
        <v>303</v>
      </c>
      <c r="C686" s="171">
        <v>42894</v>
      </c>
      <c r="D686" s="178"/>
      <c r="E686" s="157" t="s">
        <v>858</v>
      </c>
      <c r="F686" s="223" t="s">
        <v>305</v>
      </c>
      <c r="G686" s="223"/>
      <c r="H686" s="224" t="s">
        <v>306</v>
      </c>
      <c r="I686" s="157"/>
      <c r="J686" s="172"/>
      <c r="K686" s="157"/>
      <c r="L686" s="223" t="s">
        <v>296</v>
      </c>
      <c r="M686" s="173"/>
      <c r="N686" s="173"/>
      <c r="O686" s="157" t="s">
        <v>307</v>
      </c>
      <c r="P686" s="158"/>
      <c r="Q686" s="185"/>
      <c r="R686" s="175"/>
      <c r="S686" s="174">
        <f t="shared" si="31"/>
        <v>0</v>
      </c>
      <c r="T686" s="157"/>
      <c r="U686" s="177">
        <v>-35.83</v>
      </c>
      <c r="V686" s="157"/>
      <c r="W686" s="157"/>
      <c r="X686" s="176">
        <f t="shared" si="30"/>
        <v>-35.83</v>
      </c>
      <c r="Y686" s="228"/>
      <c r="Z686" s="311"/>
      <c r="AA686" s="157"/>
      <c r="AB686" s="157"/>
      <c r="AC686" s="157"/>
    </row>
    <row r="687" spans="1:29" outlineLevel="1">
      <c r="A687" s="170" t="s">
        <v>302</v>
      </c>
      <c r="B687" s="157" t="s">
        <v>303</v>
      </c>
      <c r="C687" s="171">
        <v>42894</v>
      </c>
      <c r="D687" s="178"/>
      <c r="E687" s="157" t="s">
        <v>859</v>
      </c>
      <c r="F687" s="223" t="s">
        <v>305</v>
      </c>
      <c r="G687" s="223"/>
      <c r="H687" s="224" t="s">
        <v>306</v>
      </c>
      <c r="I687" s="157"/>
      <c r="J687" s="172"/>
      <c r="K687" s="157"/>
      <c r="L687" s="223" t="s">
        <v>296</v>
      </c>
      <c r="M687" s="173"/>
      <c r="N687" s="173"/>
      <c r="O687" s="157" t="s">
        <v>307</v>
      </c>
      <c r="P687" s="158"/>
      <c r="Q687" s="185"/>
      <c r="R687" s="175"/>
      <c r="S687" s="174">
        <f t="shared" si="31"/>
        <v>0</v>
      </c>
      <c r="T687" s="157"/>
      <c r="U687" s="177">
        <v>-43.93</v>
      </c>
      <c r="V687" s="157"/>
      <c r="W687" s="157"/>
      <c r="X687" s="176">
        <f t="shared" si="30"/>
        <v>-43.93</v>
      </c>
      <c r="Y687" s="228"/>
      <c r="Z687" s="311"/>
      <c r="AA687" s="157"/>
      <c r="AB687" s="157"/>
      <c r="AC687" s="157"/>
    </row>
    <row r="688" spans="1:29" outlineLevel="1">
      <c r="A688" s="170" t="s">
        <v>302</v>
      </c>
      <c r="B688" s="157" t="s">
        <v>303</v>
      </c>
      <c r="C688" s="171">
        <v>42894</v>
      </c>
      <c r="D688" s="178"/>
      <c r="E688" s="157" t="s">
        <v>860</v>
      </c>
      <c r="F688" s="223" t="s">
        <v>305</v>
      </c>
      <c r="G688" s="223"/>
      <c r="H688" s="224" t="s">
        <v>306</v>
      </c>
      <c r="I688" s="157"/>
      <c r="J688" s="172"/>
      <c r="K688" s="157"/>
      <c r="L688" s="223" t="s">
        <v>296</v>
      </c>
      <c r="M688" s="173"/>
      <c r="N688" s="173"/>
      <c r="O688" s="157" t="s">
        <v>307</v>
      </c>
      <c r="P688" s="158"/>
      <c r="Q688" s="185"/>
      <c r="R688" s="175"/>
      <c r="S688" s="174">
        <f t="shared" si="31"/>
        <v>0</v>
      </c>
      <c r="T688" s="157"/>
      <c r="U688" s="177">
        <v>-17.91</v>
      </c>
      <c r="V688" s="157"/>
      <c r="W688" s="157"/>
      <c r="X688" s="176">
        <f t="shared" si="30"/>
        <v>-17.91</v>
      </c>
      <c r="Y688" s="228"/>
      <c r="Z688" s="311"/>
      <c r="AA688" s="157"/>
      <c r="AB688" s="157"/>
      <c r="AC688" s="157"/>
    </row>
    <row r="689" spans="1:29" outlineLevel="1">
      <c r="A689" s="170" t="s">
        <v>302</v>
      </c>
      <c r="B689" s="157" t="s">
        <v>303</v>
      </c>
      <c r="C689" s="171">
        <v>42894</v>
      </c>
      <c r="D689" s="178"/>
      <c r="E689" s="157" t="s">
        <v>861</v>
      </c>
      <c r="F689" s="223" t="s">
        <v>305</v>
      </c>
      <c r="G689" s="223"/>
      <c r="H689" s="224" t="s">
        <v>306</v>
      </c>
      <c r="I689" s="157" t="s">
        <v>1009</v>
      </c>
      <c r="J689" s="157" t="s">
        <v>1009</v>
      </c>
      <c r="K689" s="157" t="s">
        <v>1009</v>
      </c>
      <c r="L689" s="223" t="s">
        <v>296</v>
      </c>
      <c r="M689" s="173"/>
      <c r="N689" s="173"/>
      <c r="O689" s="157" t="s">
        <v>271</v>
      </c>
      <c r="P689" s="158">
        <v>1406.94</v>
      </c>
      <c r="Q689" s="185"/>
      <c r="R689" s="175"/>
      <c r="S689" s="174">
        <f t="shared" si="31"/>
        <v>1406.94</v>
      </c>
      <c r="T689" s="157"/>
      <c r="U689" s="177"/>
      <c r="V689" s="157"/>
      <c r="W689" s="157"/>
      <c r="X689" s="176">
        <f t="shared" si="30"/>
        <v>0</v>
      </c>
      <c r="Y689" s="228"/>
      <c r="Z689" s="311"/>
      <c r="AA689" s="157"/>
      <c r="AB689" s="157"/>
      <c r="AC689" s="157"/>
    </row>
    <row r="690" spans="1:29" outlineLevel="1">
      <c r="A690" s="170" t="s">
        <v>302</v>
      </c>
      <c r="B690" s="157" t="s">
        <v>303</v>
      </c>
      <c r="C690" s="171">
        <v>42893</v>
      </c>
      <c r="D690" s="178"/>
      <c r="E690" s="157" t="s">
        <v>862</v>
      </c>
      <c r="F690" s="223" t="s">
        <v>305</v>
      </c>
      <c r="G690" s="223"/>
      <c r="H690" s="224" t="s">
        <v>306</v>
      </c>
      <c r="I690" s="157"/>
      <c r="J690" s="172"/>
      <c r="K690" s="157"/>
      <c r="L690" s="223" t="s">
        <v>296</v>
      </c>
      <c r="M690" s="173"/>
      <c r="N690" s="173"/>
      <c r="O690" s="157" t="s">
        <v>307</v>
      </c>
      <c r="P690" s="158"/>
      <c r="Q690" s="185"/>
      <c r="R690" s="175"/>
      <c r="S690" s="174">
        <f t="shared" si="31"/>
        <v>0</v>
      </c>
      <c r="T690" s="157"/>
      <c r="U690" s="177">
        <v>-3.1</v>
      </c>
      <c r="V690" s="157"/>
      <c r="W690" s="157"/>
      <c r="X690" s="176">
        <f t="shared" si="30"/>
        <v>-3.1</v>
      </c>
      <c r="Y690" s="228"/>
      <c r="Z690" s="311"/>
      <c r="AA690" s="157"/>
      <c r="AB690" s="157"/>
      <c r="AC690" s="157"/>
    </row>
    <row r="691" spans="1:29" outlineLevel="1">
      <c r="A691" s="170" t="s">
        <v>302</v>
      </c>
      <c r="B691" s="157" t="s">
        <v>303</v>
      </c>
      <c r="C691" s="171">
        <v>42893</v>
      </c>
      <c r="D691" s="178"/>
      <c r="E691" s="157" t="s">
        <v>863</v>
      </c>
      <c r="F691" s="223" t="s">
        <v>305</v>
      </c>
      <c r="G691" s="223"/>
      <c r="H691" s="224" t="s">
        <v>306</v>
      </c>
      <c r="I691" s="157"/>
      <c r="J691" s="172"/>
      <c r="K691" s="157"/>
      <c r="L691" s="223" t="s">
        <v>296</v>
      </c>
      <c r="M691" s="173"/>
      <c r="N691" s="173"/>
      <c r="O691" s="157" t="s">
        <v>307</v>
      </c>
      <c r="P691" s="158"/>
      <c r="Q691" s="185"/>
      <c r="R691" s="175"/>
      <c r="S691" s="174">
        <f t="shared" si="31"/>
        <v>0</v>
      </c>
      <c r="T691" s="157"/>
      <c r="U691" s="177">
        <v>-18.29</v>
      </c>
      <c r="V691" s="157"/>
      <c r="W691" s="157"/>
      <c r="X691" s="176">
        <f t="shared" si="30"/>
        <v>-18.29</v>
      </c>
      <c r="Y691" s="228"/>
      <c r="Z691" s="311"/>
      <c r="AA691" s="157"/>
      <c r="AB691" s="157"/>
      <c r="AC691" s="157"/>
    </row>
    <row r="692" spans="1:29" outlineLevel="1">
      <c r="A692" s="170" t="s">
        <v>302</v>
      </c>
      <c r="B692" s="157" t="s">
        <v>303</v>
      </c>
      <c r="C692" s="171">
        <v>42893</v>
      </c>
      <c r="D692" s="178"/>
      <c r="E692" s="157" t="s">
        <v>863</v>
      </c>
      <c r="F692" s="223" t="s">
        <v>305</v>
      </c>
      <c r="G692" s="223"/>
      <c r="H692" s="224" t="s">
        <v>306</v>
      </c>
      <c r="I692" s="157"/>
      <c r="J692" s="172"/>
      <c r="K692" s="157"/>
      <c r="L692" s="223" t="s">
        <v>296</v>
      </c>
      <c r="M692" s="173"/>
      <c r="N692" s="173"/>
      <c r="O692" s="157" t="s">
        <v>307</v>
      </c>
      <c r="P692" s="158"/>
      <c r="Q692" s="185"/>
      <c r="R692" s="175"/>
      <c r="S692" s="174">
        <f t="shared" si="31"/>
        <v>0</v>
      </c>
      <c r="T692" s="157"/>
      <c r="U692" s="177">
        <v>-18.420000000000002</v>
      </c>
      <c r="V692" s="157"/>
      <c r="W692" s="157"/>
      <c r="X692" s="176">
        <f t="shared" si="30"/>
        <v>-18.420000000000002</v>
      </c>
      <c r="Y692" s="228"/>
      <c r="Z692" s="311"/>
      <c r="AA692" s="157"/>
      <c r="AB692" s="157"/>
      <c r="AC692" s="157"/>
    </row>
    <row r="693" spans="1:29" outlineLevel="1">
      <c r="A693" s="170" t="s">
        <v>302</v>
      </c>
      <c r="B693" s="157" t="s">
        <v>303</v>
      </c>
      <c r="C693" s="171">
        <v>42893</v>
      </c>
      <c r="D693" s="178"/>
      <c r="E693" s="157" t="s">
        <v>864</v>
      </c>
      <c r="F693" s="223" t="s">
        <v>305</v>
      </c>
      <c r="G693" s="223"/>
      <c r="H693" s="224" t="s">
        <v>306</v>
      </c>
      <c r="I693" s="157" t="s">
        <v>1009</v>
      </c>
      <c r="J693" s="157" t="s">
        <v>1009</v>
      </c>
      <c r="K693" s="157" t="s">
        <v>1009</v>
      </c>
      <c r="L693" s="223" t="s">
        <v>296</v>
      </c>
      <c r="M693" s="173"/>
      <c r="N693" s="173"/>
      <c r="O693" s="157" t="s">
        <v>271</v>
      </c>
      <c r="P693" s="158">
        <v>992.73</v>
      </c>
      <c r="Q693" s="185"/>
      <c r="R693" s="175"/>
      <c r="S693" s="174">
        <f t="shared" si="31"/>
        <v>992.73</v>
      </c>
      <c r="T693" s="157"/>
      <c r="U693" s="177"/>
      <c r="V693" s="157"/>
      <c r="W693" s="157"/>
      <c r="X693" s="176">
        <f t="shared" si="30"/>
        <v>0</v>
      </c>
      <c r="Y693" s="228"/>
      <c r="Z693" s="311"/>
      <c r="AA693" s="157"/>
      <c r="AB693" s="157"/>
      <c r="AC693" s="157"/>
    </row>
    <row r="694" spans="1:29" outlineLevel="1">
      <c r="A694" s="170" t="s">
        <v>302</v>
      </c>
      <c r="B694" s="157" t="s">
        <v>303</v>
      </c>
      <c r="C694" s="171">
        <v>42893</v>
      </c>
      <c r="D694" s="178"/>
      <c r="E694" s="157" t="s">
        <v>865</v>
      </c>
      <c r="F694" s="223" t="s">
        <v>305</v>
      </c>
      <c r="G694" s="223"/>
      <c r="H694" s="224" t="s">
        <v>306</v>
      </c>
      <c r="I694" s="157" t="s">
        <v>1009</v>
      </c>
      <c r="J694" s="157" t="s">
        <v>1009</v>
      </c>
      <c r="K694" s="157" t="s">
        <v>1009</v>
      </c>
      <c r="L694" s="223" t="s">
        <v>296</v>
      </c>
      <c r="M694" s="173"/>
      <c r="N694" s="173"/>
      <c r="O694" s="157" t="s">
        <v>271</v>
      </c>
      <c r="P694" s="158">
        <v>233.4</v>
      </c>
      <c r="Q694" s="185"/>
      <c r="R694" s="175"/>
      <c r="S694" s="174">
        <f t="shared" si="31"/>
        <v>233.4</v>
      </c>
      <c r="T694" s="157"/>
      <c r="U694" s="177"/>
      <c r="V694" s="157"/>
      <c r="W694" s="157"/>
      <c r="X694" s="176">
        <f t="shared" si="30"/>
        <v>0</v>
      </c>
      <c r="Y694" s="228"/>
      <c r="Z694" s="311"/>
      <c r="AA694" s="157"/>
      <c r="AB694" s="157"/>
      <c r="AC694" s="157"/>
    </row>
    <row r="695" spans="1:29" outlineLevel="1">
      <c r="A695" s="170" t="s">
        <v>302</v>
      </c>
      <c r="B695" s="157" t="s">
        <v>303</v>
      </c>
      <c r="C695" s="171">
        <v>42892</v>
      </c>
      <c r="D695" s="178"/>
      <c r="E695" s="157" t="s">
        <v>304</v>
      </c>
      <c r="F695" s="223" t="s">
        <v>305</v>
      </c>
      <c r="G695" s="223"/>
      <c r="H695" s="224" t="s">
        <v>306</v>
      </c>
      <c r="I695" s="157"/>
      <c r="J695" s="172"/>
      <c r="K695" s="157"/>
      <c r="L695" s="223" t="s">
        <v>296</v>
      </c>
      <c r="M695" s="173"/>
      <c r="N695" s="173"/>
      <c r="O695" s="157" t="s">
        <v>308</v>
      </c>
      <c r="P695" s="158"/>
      <c r="Q695" s="185"/>
      <c r="R695" s="175"/>
      <c r="S695" s="174">
        <f t="shared" si="31"/>
        <v>0</v>
      </c>
      <c r="T695" s="157"/>
      <c r="U695" s="177">
        <v>-409</v>
      </c>
      <c r="V695" s="157"/>
      <c r="W695" s="157"/>
      <c r="X695" s="176">
        <f t="shared" si="30"/>
        <v>-409</v>
      </c>
      <c r="Y695" s="228"/>
      <c r="Z695" s="311"/>
      <c r="AA695" s="157"/>
      <c r="AB695" s="157"/>
      <c r="AC695" s="157"/>
    </row>
    <row r="696" spans="1:29" outlineLevel="1">
      <c r="A696" s="170" t="s">
        <v>302</v>
      </c>
      <c r="B696" s="157" t="s">
        <v>303</v>
      </c>
      <c r="C696" s="171">
        <v>42892</v>
      </c>
      <c r="D696" s="178"/>
      <c r="E696" s="157" t="s">
        <v>866</v>
      </c>
      <c r="F696" s="223" t="s">
        <v>305</v>
      </c>
      <c r="G696" s="223"/>
      <c r="H696" s="224" t="s">
        <v>306</v>
      </c>
      <c r="I696" s="157"/>
      <c r="J696" s="172"/>
      <c r="K696" s="157"/>
      <c r="L696" s="223" t="s">
        <v>296</v>
      </c>
      <c r="M696" s="173"/>
      <c r="N696" s="173"/>
      <c r="O696" s="157" t="s">
        <v>307</v>
      </c>
      <c r="P696" s="158"/>
      <c r="Q696" s="185"/>
      <c r="R696" s="175"/>
      <c r="S696" s="174">
        <f t="shared" si="31"/>
        <v>0</v>
      </c>
      <c r="T696" s="157"/>
      <c r="U696" s="177">
        <v>-118</v>
      </c>
      <c r="V696" s="157"/>
      <c r="W696" s="157"/>
      <c r="X696" s="176">
        <f t="shared" si="30"/>
        <v>-118</v>
      </c>
      <c r="Y696" s="228"/>
      <c r="Z696" s="311"/>
      <c r="AA696" s="157"/>
      <c r="AB696" s="157"/>
      <c r="AC696" s="157"/>
    </row>
    <row r="697" spans="1:29" outlineLevel="1">
      <c r="A697" s="170" t="s">
        <v>302</v>
      </c>
      <c r="B697" s="157" t="s">
        <v>303</v>
      </c>
      <c r="C697" s="171">
        <v>42892</v>
      </c>
      <c r="D697" s="178"/>
      <c r="E697" s="157" t="s">
        <v>867</v>
      </c>
      <c r="F697" s="223" t="s">
        <v>305</v>
      </c>
      <c r="G697" s="223"/>
      <c r="H697" s="224" t="s">
        <v>306</v>
      </c>
      <c r="I697" s="157" t="s">
        <v>1009</v>
      </c>
      <c r="J697" s="157" t="s">
        <v>1009</v>
      </c>
      <c r="K697" s="157" t="s">
        <v>1009</v>
      </c>
      <c r="L697" s="223" t="s">
        <v>296</v>
      </c>
      <c r="M697" s="173"/>
      <c r="N697" s="173"/>
      <c r="O697" s="157" t="s">
        <v>271</v>
      </c>
      <c r="P697" s="158">
        <v>485.31</v>
      </c>
      <c r="Q697" s="185"/>
      <c r="R697" s="175"/>
      <c r="S697" s="174">
        <f t="shared" si="31"/>
        <v>485.31</v>
      </c>
      <c r="T697" s="157"/>
      <c r="U697" s="177"/>
      <c r="V697" s="157"/>
      <c r="W697" s="157"/>
      <c r="X697" s="176">
        <f t="shared" si="30"/>
        <v>0</v>
      </c>
      <c r="Y697" s="228"/>
      <c r="Z697" s="311"/>
      <c r="AA697" s="157"/>
      <c r="AB697" s="157"/>
      <c r="AC697" s="157"/>
    </row>
    <row r="698" spans="1:29" outlineLevel="1">
      <c r="A698" s="170" t="s">
        <v>302</v>
      </c>
      <c r="B698" s="157" t="s">
        <v>303</v>
      </c>
      <c r="C698" s="171">
        <v>42891</v>
      </c>
      <c r="D698" s="178"/>
      <c r="E698" s="157" t="s">
        <v>304</v>
      </c>
      <c r="F698" s="223" t="s">
        <v>305</v>
      </c>
      <c r="G698" s="223"/>
      <c r="H698" s="224" t="s">
        <v>306</v>
      </c>
      <c r="I698" s="157"/>
      <c r="J698" s="172"/>
      <c r="K698" s="157"/>
      <c r="L698" s="223" t="s">
        <v>296</v>
      </c>
      <c r="M698" s="173"/>
      <c r="N698" s="173"/>
      <c r="O698" s="157" t="s">
        <v>308</v>
      </c>
      <c r="P698" s="158"/>
      <c r="Q698" s="185"/>
      <c r="R698" s="175"/>
      <c r="S698" s="174">
        <f t="shared" si="31"/>
        <v>0</v>
      </c>
      <c r="T698" s="157"/>
      <c r="U698" s="177">
        <v>-438</v>
      </c>
      <c r="V698" s="157"/>
      <c r="W698" s="157"/>
      <c r="X698" s="176">
        <f t="shared" si="30"/>
        <v>-438</v>
      </c>
      <c r="Y698" s="228"/>
      <c r="Z698" s="311"/>
      <c r="AA698" s="157"/>
      <c r="AB698" s="157"/>
      <c r="AC698" s="157"/>
    </row>
    <row r="699" spans="1:29" outlineLevel="1">
      <c r="A699" s="170" t="s">
        <v>302</v>
      </c>
      <c r="B699" s="157" t="s">
        <v>303</v>
      </c>
      <c r="C699" s="171">
        <v>42891</v>
      </c>
      <c r="D699" s="178"/>
      <c r="E699" s="157" t="s">
        <v>868</v>
      </c>
      <c r="F699" s="223" t="s">
        <v>305</v>
      </c>
      <c r="G699" s="223"/>
      <c r="H699" s="224" t="s">
        <v>306</v>
      </c>
      <c r="I699" s="157"/>
      <c r="J699" s="172"/>
      <c r="K699" s="157"/>
      <c r="L699" s="223" t="s">
        <v>296</v>
      </c>
      <c r="M699" s="173"/>
      <c r="N699" s="173"/>
      <c r="O699" s="157" t="s">
        <v>307</v>
      </c>
      <c r="P699" s="158"/>
      <c r="Q699" s="185"/>
      <c r="R699" s="175"/>
      <c r="S699" s="174">
        <f t="shared" si="31"/>
        <v>0</v>
      </c>
      <c r="T699" s="157"/>
      <c r="U699" s="177">
        <v>-79</v>
      </c>
      <c r="V699" s="157"/>
      <c r="W699" s="157"/>
      <c r="X699" s="176">
        <f t="shared" si="30"/>
        <v>-79</v>
      </c>
      <c r="Y699" s="228"/>
      <c r="Z699" s="311"/>
      <c r="AA699" s="157"/>
      <c r="AB699" s="157"/>
      <c r="AC699" s="157"/>
    </row>
    <row r="700" spans="1:29" outlineLevel="1">
      <c r="A700" s="170" t="s">
        <v>302</v>
      </c>
      <c r="B700" s="157" t="s">
        <v>303</v>
      </c>
      <c r="C700" s="171">
        <v>42891</v>
      </c>
      <c r="D700" s="178"/>
      <c r="E700" s="157" t="s">
        <v>869</v>
      </c>
      <c r="F700" s="223" t="s">
        <v>305</v>
      </c>
      <c r="G700" s="223"/>
      <c r="H700" s="224" t="s">
        <v>306</v>
      </c>
      <c r="I700" s="157"/>
      <c r="J700" s="172"/>
      <c r="K700" s="157"/>
      <c r="L700" s="223" t="s">
        <v>296</v>
      </c>
      <c r="M700" s="173"/>
      <c r="N700" s="173"/>
      <c r="O700" s="157" t="s">
        <v>307</v>
      </c>
      <c r="P700" s="158"/>
      <c r="Q700" s="185"/>
      <c r="R700" s="175"/>
      <c r="S700" s="174">
        <f t="shared" si="31"/>
        <v>0</v>
      </c>
      <c r="T700" s="157"/>
      <c r="U700" s="177">
        <v>-40.299999999999997</v>
      </c>
      <c r="V700" s="157"/>
      <c r="W700" s="157"/>
      <c r="X700" s="176">
        <f t="shared" si="30"/>
        <v>-40.299999999999997</v>
      </c>
      <c r="Y700" s="228"/>
      <c r="Z700" s="311"/>
      <c r="AA700" s="157"/>
      <c r="AB700" s="157"/>
      <c r="AC700" s="157"/>
    </row>
    <row r="701" spans="1:29" outlineLevel="1">
      <c r="A701" s="170" t="s">
        <v>302</v>
      </c>
      <c r="B701" s="157" t="s">
        <v>303</v>
      </c>
      <c r="C701" s="171">
        <v>42891</v>
      </c>
      <c r="D701" s="178"/>
      <c r="E701" s="157" t="s">
        <v>870</v>
      </c>
      <c r="F701" s="223" t="s">
        <v>305</v>
      </c>
      <c r="G701" s="223"/>
      <c r="H701" s="224" t="s">
        <v>306</v>
      </c>
      <c r="I701" s="157"/>
      <c r="J701" s="172"/>
      <c r="K701" s="157"/>
      <c r="L701" s="223" t="s">
        <v>296</v>
      </c>
      <c r="M701" s="173"/>
      <c r="N701" s="173"/>
      <c r="O701" s="157" t="s">
        <v>307</v>
      </c>
      <c r="P701" s="158"/>
      <c r="Q701" s="185"/>
      <c r="R701" s="175"/>
      <c r="S701" s="174">
        <f t="shared" si="31"/>
        <v>0</v>
      </c>
      <c r="T701" s="157"/>
      <c r="U701" s="177">
        <v>-62.51</v>
      </c>
      <c r="V701" s="157"/>
      <c r="W701" s="157"/>
      <c r="X701" s="176">
        <f t="shared" si="30"/>
        <v>-62.51</v>
      </c>
      <c r="Y701" s="228"/>
      <c r="Z701" s="311"/>
      <c r="AA701" s="157"/>
      <c r="AB701" s="157"/>
      <c r="AC701" s="157"/>
    </row>
    <row r="702" spans="1:29" outlineLevel="1">
      <c r="A702" s="170" t="s">
        <v>302</v>
      </c>
      <c r="B702" s="157" t="s">
        <v>303</v>
      </c>
      <c r="C702" s="171">
        <v>42891</v>
      </c>
      <c r="D702" s="178"/>
      <c r="E702" s="157" t="s">
        <v>871</v>
      </c>
      <c r="F702" s="223" t="s">
        <v>305</v>
      </c>
      <c r="G702" s="223"/>
      <c r="H702" s="224" t="s">
        <v>306</v>
      </c>
      <c r="I702" s="157"/>
      <c r="J702" s="172"/>
      <c r="K702" s="157"/>
      <c r="L702" s="223" t="s">
        <v>296</v>
      </c>
      <c r="M702" s="173"/>
      <c r="N702" s="173"/>
      <c r="O702" s="157" t="s">
        <v>307</v>
      </c>
      <c r="P702" s="158"/>
      <c r="Q702" s="185"/>
      <c r="R702" s="175"/>
      <c r="S702" s="174">
        <f t="shared" si="31"/>
        <v>0</v>
      </c>
      <c r="T702" s="157"/>
      <c r="U702" s="177">
        <v>-267.95999999999998</v>
      </c>
      <c r="V702" s="157"/>
      <c r="W702" s="157"/>
      <c r="X702" s="176">
        <f t="shared" si="30"/>
        <v>-267.95999999999998</v>
      </c>
      <c r="Y702" s="228"/>
      <c r="Z702" s="311"/>
      <c r="AA702" s="157"/>
      <c r="AB702" s="157"/>
      <c r="AC702" s="157"/>
    </row>
    <row r="703" spans="1:29" outlineLevel="1">
      <c r="A703" s="170" t="s">
        <v>302</v>
      </c>
      <c r="B703" s="157" t="s">
        <v>303</v>
      </c>
      <c r="C703" s="171">
        <v>42891</v>
      </c>
      <c r="D703" s="178"/>
      <c r="E703" s="157" t="s">
        <v>872</v>
      </c>
      <c r="F703" s="223" t="s">
        <v>305</v>
      </c>
      <c r="G703" s="223"/>
      <c r="H703" s="224" t="s">
        <v>306</v>
      </c>
      <c r="I703" s="157"/>
      <c r="J703" s="172"/>
      <c r="K703" s="157"/>
      <c r="L703" s="223" t="s">
        <v>296</v>
      </c>
      <c r="M703" s="173"/>
      <c r="N703" s="173"/>
      <c r="O703" s="157" t="s">
        <v>307</v>
      </c>
      <c r="P703" s="158"/>
      <c r="Q703" s="185"/>
      <c r="R703" s="175"/>
      <c r="S703" s="174">
        <f t="shared" si="31"/>
        <v>0</v>
      </c>
      <c r="T703" s="157"/>
      <c r="U703" s="177">
        <v>-27.63</v>
      </c>
      <c r="V703" s="157"/>
      <c r="W703" s="157"/>
      <c r="X703" s="176">
        <f t="shared" si="30"/>
        <v>-27.63</v>
      </c>
      <c r="Y703" s="228"/>
      <c r="Z703" s="311"/>
      <c r="AA703" s="157"/>
      <c r="AB703" s="157"/>
      <c r="AC703" s="157"/>
    </row>
    <row r="704" spans="1:29" outlineLevel="1">
      <c r="A704" s="170" t="s">
        <v>302</v>
      </c>
      <c r="B704" s="157" t="s">
        <v>303</v>
      </c>
      <c r="C704" s="171">
        <v>42891</v>
      </c>
      <c r="D704" s="178"/>
      <c r="E704" s="157" t="s">
        <v>873</v>
      </c>
      <c r="F704" s="223" t="s">
        <v>305</v>
      </c>
      <c r="G704" s="223"/>
      <c r="H704" s="224" t="s">
        <v>306</v>
      </c>
      <c r="I704" s="157"/>
      <c r="J704" s="172"/>
      <c r="K704" s="157"/>
      <c r="L704" s="223" t="s">
        <v>296</v>
      </c>
      <c r="M704" s="173"/>
      <c r="N704" s="173"/>
      <c r="O704" s="157" t="s">
        <v>307</v>
      </c>
      <c r="P704" s="158"/>
      <c r="Q704" s="185"/>
      <c r="R704" s="175"/>
      <c r="S704" s="174">
        <f t="shared" si="31"/>
        <v>0</v>
      </c>
      <c r="T704" s="157"/>
      <c r="U704" s="177">
        <v>-95.91</v>
      </c>
      <c r="V704" s="157"/>
      <c r="W704" s="157"/>
      <c r="X704" s="176">
        <f t="shared" si="30"/>
        <v>-95.91</v>
      </c>
      <c r="Y704" s="228"/>
      <c r="Z704" s="311"/>
      <c r="AA704" s="157"/>
      <c r="AB704" s="157"/>
      <c r="AC704" s="157"/>
    </row>
    <row r="705" spans="1:29" outlineLevel="1">
      <c r="A705" s="170" t="s">
        <v>302</v>
      </c>
      <c r="B705" s="157" t="s">
        <v>303</v>
      </c>
      <c r="C705" s="171">
        <v>42891</v>
      </c>
      <c r="D705" s="178"/>
      <c r="E705" s="157" t="s">
        <v>874</v>
      </c>
      <c r="F705" s="223" t="s">
        <v>305</v>
      </c>
      <c r="G705" s="223"/>
      <c r="H705" s="224" t="s">
        <v>306</v>
      </c>
      <c r="I705" s="157"/>
      <c r="J705" s="172"/>
      <c r="K705" s="157"/>
      <c r="L705" s="223" t="s">
        <v>296</v>
      </c>
      <c r="M705" s="173"/>
      <c r="N705" s="173"/>
      <c r="O705" s="157" t="s">
        <v>307</v>
      </c>
      <c r="P705" s="158"/>
      <c r="Q705" s="185"/>
      <c r="R705" s="175"/>
      <c r="S705" s="174">
        <f t="shared" si="31"/>
        <v>0</v>
      </c>
      <c r="T705" s="157"/>
      <c r="U705" s="177">
        <v>-5</v>
      </c>
      <c r="V705" s="157"/>
      <c r="W705" s="157"/>
      <c r="X705" s="176">
        <f t="shared" si="30"/>
        <v>-5</v>
      </c>
      <c r="Y705" s="228"/>
      <c r="Z705" s="311"/>
      <c r="AA705" s="157"/>
      <c r="AB705" s="157"/>
      <c r="AC705" s="157"/>
    </row>
    <row r="706" spans="1:29" outlineLevel="1">
      <c r="A706" s="170" t="s">
        <v>302</v>
      </c>
      <c r="B706" s="157" t="s">
        <v>303</v>
      </c>
      <c r="C706" s="171">
        <v>42891</v>
      </c>
      <c r="D706" s="178"/>
      <c r="E706" s="157" t="s">
        <v>875</v>
      </c>
      <c r="F706" s="223" t="s">
        <v>305</v>
      </c>
      <c r="G706" s="223"/>
      <c r="H706" s="224" t="s">
        <v>306</v>
      </c>
      <c r="I706" s="157" t="s">
        <v>1009</v>
      </c>
      <c r="J706" s="157" t="s">
        <v>1009</v>
      </c>
      <c r="K706" s="157" t="s">
        <v>1009</v>
      </c>
      <c r="L706" s="223" t="s">
        <v>296</v>
      </c>
      <c r="M706" s="173"/>
      <c r="N706" s="173"/>
      <c r="O706" s="157" t="s">
        <v>271</v>
      </c>
      <c r="P706" s="158">
        <v>1301.8900000000001</v>
      </c>
      <c r="Q706" s="185"/>
      <c r="R706" s="175"/>
      <c r="S706" s="174">
        <f t="shared" si="31"/>
        <v>1301.8900000000001</v>
      </c>
      <c r="T706" s="157"/>
      <c r="U706" s="177"/>
      <c r="V706" s="157"/>
      <c r="W706" s="157"/>
      <c r="X706" s="176">
        <f t="shared" si="30"/>
        <v>0</v>
      </c>
      <c r="Y706" s="228"/>
      <c r="Z706" s="311"/>
      <c r="AA706" s="157"/>
      <c r="AB706" s="157"/>
      <c r="AC706" s="157"/>
    </row>
    <row r="707" spans="1:29" outlineLevel="1">
      <c r="A707" s="170" t="s">
        <v>302</v>
      </c>
      <c r="B707" s="157" t="s">
        <v>303</v>
      </c>
      <c r="C707" s="171">
        <v>42891</v>
      </c>
      <c r="D707" s="178"/>
      <c r="E707" s="157" t="s">
        <v>876</v>
      </c>
      <c r="F707" s="223" t="s">
        <v>305</v>
      </c>
      <c r="G707" s="223"/>
      <c r="H707" s="224" t="s">
        <v>306</v>
      </c>
      <c r="I707" s="157" t="s">
        <v>1009</v>
      </c>
      <c r="J707" s="157" t="s">
        <v>1009</v>
      </c>
      <c r="K707" s="157" t="s">
        <v>1009</v>
      </c>
      <c r="L707" s="223" t="s">
        <v>296</v>
      </c>
      <c r="M707" s="173"/>
      <c r="N707" s="173"/>
      <c r="O707" s="157" t="s">
        <v>271</v>
      </c>
      <c r="P707" s="158">
        <v>1019.55</v>
      </c>
      <c r="Q707" s="185"/>
      <c r="R707" s="175"/>
      <c r="S707" s="174">
        <f t="shared" si="31"/>
        <v>1019.55</v>
      </c>
      <c r="T707" s="157"/>
      <c r="U707" s="177"/>
      <c r="V707" s="157"/>
      <c r="W707" s="157"/>
      <c r="X707" s="176">
        <f t="shared" si="30"/>
        <v>0</v>
      </c>
      <c r="Y707" s="228"/>
      <c r="Z707" s="311"/>
      <c r="AA707" s="157"/>
      <c r="AB707" s="157"/>
      <c r="AC707" s="157"/>
    </row>
    <row r="708" spans="1:29" outlineLevel="1">
      <c r="A708" s="170" t="s">
        <v>302</v>
      </c>
      <c r="B708" s="157" t="s">
        <v>303</v>
      </c>
      <c r="C708" s="171">
        <v>42891</v>
      </c>
      <c r="D708" s="178"/>
      <c r="E708" s="157" t="s">
        <v>877</v>
      </c>
      <c r="F708" s="223" t="s">
        <v>305</v>
      </c>
      <c r="G708" s="223"/>
      <c r="H708" s="224" t="s">
        <v>306</v>
      </c>
      <c r="I708" s="157" t="s">
        <v>1009</v>
      </c>
      <c r="J708" s="157" t="s">
        <v>1009</v>
      </c>
      <c r="K708" s="157" t="s">
        <v>1009</v>
      </c>
      <c r="L708" s="223" t="s">
        <v>296</v>
      </c>
      <c r="M708" s="173"/>
      <c r="N708" s="173"/>
      <c r="O708" s="157" t="s">
        <v>271</v>
      </c>
      <c r="P708" s="158">
        <v>648.09</v>
      </c>
      <c r="Q708" s="185"/>
      <c r="R708" s="175"/>
      <c r="S708" s="174">
        <f t="shared" si="31"/>
        <v>648.09</v>
      </c>
      <c r="T708" s="157"/>
      <c r="U708" s="177"/>
      <c r="V708" s="157"/>
      <c r="W708" s="157"/>
      <c r="X708" s="176">
        <f t="shared" si="30"/>
        <v>0</v>
      </c>
      <c r="Y708" s="228"/>
      <c r="Z708" s="311"/>
      <c r="AA708" s="157"/>
      <c r="AB708" s="157"/>
      <c r="AC708" s="157"/>
    </row>
    <row r="709" spans="1:29" outlineLevel="1">
      <c r="A709" s="170" t="s">
        <v>302</v>
      </c>
      <c r="B709" s="157" t="s">
        <v>303</v>
      </c>
      <c r="C709" s="171">
        <v>42888</v>
      </c>
      <c r="D709" s="178"/>
      <c r="E709" s="157" t="s">
        <v>878</v>
      </c>
      <c r="F709" s="223" t="s">
        <v>305</v>
      </c>
      <c r="G709" s="223"/>
      <c r="H709" s="224" t="s">
        <v>306</v>
      </c>
      <c r="I709" s="157"/>
      <c r="J709" s="172"/>
      <c r="K709" s="157"/>
      <c r="L709" s="223" t="s">
        <v>296</v>
      </c>
      <c r="M709" s="173"/>
      <c r="N709" s="173"/>
      <c r="O709" s="157" t="s">
        <v>307</v>
      </c>
      <c r="P709" s="158"/>
      <c r="Q709" s="185"/>
      <c r="R709" s="175"/>
      <c r="S709" s="174">
        <f t="shared" si="31"/>
        <v>0</v>
      </c>
      <c r="T709" s="157"/>
      <c r="U709" s="177">
        <v>-31.97</v>
      </c>
      <c r="V709" s="157"/>
      <c r="W709" s="157"/>
      <c r="X709" s="176">
        <f t="shared" si="30"/>
        <v>-31.97</v>
      </c>
      <c r="Y709" s="228"/>
      <c r="Z709" s="311"/>
      <c r="AA709" s="157"/>
      <c r="AB709" s="157"/>
      <c r="AC709" s="157"/>
    </row>
    <row r="710" spans="1:29" outlineLevel="1">
      <c r="A710" s="170" t="s">
        <v>302</v>
      </c>
      <c r="B710" s="157" t="s">
        <v>303</v>
      </c>
      <c r="C710" s="171">
        <v>42888</v>
      </c>
      <c r="D710" s="178"/>
      <c r="E710" s="157" t="s">
        <v>879</v>
      </c>
      <c r="F710" s="223" t="s">
        <v>305</v>
      </c>
      <c r="G710" s="223"/>
      <c r="H710" s="224" t="s">
        <v>306</v>
      </c>
      <c r="I710" s="157"/>
      <c r="J710" s="172"/>
      <c r="K710" s="157"/>
      <c r="L710" s="223" t="s">
        <v>296</v>
      </c>
      <c r="M710" s="173"/>
      <c r="N710" s="173"/>
      <c r="O710" s="157" t="s">
        <v>307</v>
      </c>
      <c r="P710" s="158"/>
      <c r="Q710" s="185"/>
      <c r="R710" s="175"/>
      <c r="S710" s="174">
        <f t="shared" si="31"/>
        <v>0</v>
      </c>
      <c r="T710" s="157"/>
      <c r="U710" s="177">
        <v>-36.450000000000003</v>
      </c>
      <c r="V710" s="157"/>
      <c r="W710" s="157"/>
      <c r="X710" s="176">
        <f t="shared" si="30"/>
        <v>-36.450000000000003</v>
      </c>
      <c r="Y710" s="228"/>
      <c r="Z710" s="311"/>
      <c r="AA710" s="157"/>
      <c r="AB710" s="157"/>
      <c r="AC710" s="157"/>
    </row>
    <row r="711" spans="1:29" outlineLevel="1">
      <c r="A711" s="170" t="s">
        <v>302</v>
      </c>
      <c r="B711" s="157" t="s">
        <v>303</v>
      </c>
      <c r="C711" s="171">
        <v>42888</v>
      </c>
      <c r="D711" s="178"/>
      <c r="E711" s="157" t="s">
        <v>880</v>
      </c>
      <c r="F711" s="223" t="s">
        <v>305</v>
      </c>
      <c r="G711" s="223"/>
      <c r="H711" s="224" t="s">
        <v>306</v>
      </c>
      <c r="I711" s="157"/>
      <c r="J711" s="172"/>
      <c r="K711" s="157"/>
      <c r="L711" s="223" t="s">
        <v>296</v>
      </c>
      <c r="M711" s="173"/>
      <c r="N711" s="173"/>
      <c r="O711" s="157" t="s">
        <v>307</v>
      </c>
      <c r="P711" s="158"/>
      <c r="Q711" s="185"/>
      <c r="R711" s="175"/>
      <c r="S711" s="174">
        <f t="shared" si="31"/>
        <v>0</v>
      </c>
      <c r="T711" s="157"/>
      <c r="U711" s="177">
        <v>-17.63</v>
      </c>
      <c r="V711" s="157"/>
      <c r="W711" s="157"/>
      <c r="X711" s="176">
        <f t="shared" si="30"/>
        <v>-17.63</v>
      </c>
      <c r="Y711" s="228"/>
      <c r="Z711" s="311"/>
      <c r="AA711" s="157"/>
      <c r="AB711" s="157"/>
      <c r="AC711" s="157"/>
    </row>
    <row r="712" spans="1:29" outlineLevel="1">
      <c r="A712" s="170" t="s">
        <v>302</v>
      </c>
      <c r="B712" s="157" t="s">
        <v>303</v>
      </c>
      <c r="C712" s="171">
        <v>42888</v>
      </c>
      <c r="D712" s="178"/>
      <c r="E712" s="157" t="s">
        <v>881</v>
      </c>
      <c r="F712" s="223" t="s">
        <v>305</v>
      </c>
      <c r="G712" s="223"/>
      <c r="H712" s="224" t="s">
        <v>306</v>
      </c>
      <c r="I712" s="157"/>
      <c r="J712" s="172"/>
      <c r="K712" s="157"/>
      <c r="L712" s="223" t="s">
        <v>296</v>
      </c>
      <c r="M712" s="173"/>
      <c r="N712" s="173"/>
      <c r="O712" s="157" t="s">
        <v>307</v>
      </c>
      <c r="P712" s="158"/>
      <c r="Q712" s="185"/>
      <c r="R712" s="175"/>
      <c r="S712" s="174">
        <f t="shared" si="31"/>
        <v>0</v>
      </c>
      <c r="T712" s="157"/>
      <c r="U712" s="177">
        <v>-78.73</v>
      </c>
      <c r="V712" s="157"/>
      <c r="W712" s="157"/>
      <c r="X712" s="176">
        <f t="shared" si="30"/>
        <v>-78.73</v>
      </c>
      <c r="Y712" s="228"/>
      <c r="Z712" s="311"/>
      <c r="AA712" s="157"/>
      <c r="AB712" s="157"/>
      <c r="AC712" s="157"/>
    </row>
    <row r="713" spans="1:29" outlineLevel="1">
      <c r="A713" s="170" t="s">
        <v>302</v>
      </c>
      <c r="B713" s="157" t="s">
        <v>303</v>
      </c>
      <c r="C713" s="171">
        <v>42888</v>
      </c>
      <c r="D713" s="178"/>
      <c r="E713" s="157" t="s">
        <v>882</v>
      </c>
      <c r="F713" s="223" t="s">
        <v>305</v>
      </c>
      <c r="G713" s="223"/>
      <c r="H713" s="224" t="s">
        <v>306</v>
      </c>
      <c r="I713" s="157" t="s">
        <v>1009</v>
      </c>
      <c r="J713" s="157" t="s">
        <v>1009</v>
      </c>
      <c r="K713" s="157" t="s">
        <v>1009</v>
      </c>
      <c r="L713" s="223" t="s">
        <v>296</v>
      </c>
      <c r="M713" s="173"/>
      <c r="N713" s="173"/>
      <c r="O713" s="157" t="s">
        <v>271</v>
      </c>
      <c r="P713" s="158">
        <v>410.61</v>
      </c>
      <c r="Q713" s="185"/>
      <c r="R713" s="175"/>
      <c r="S713" s="174">
        <f t="shared" si="31"/>
        <v>410.61</v>
      </c>
      <c r="T713" s="157"/>
      <c r="U713" s="177"/>
      <c r="V713" s="157"/>
      <c r="W713" s="157"/>
      <c r="X713" s="176">
        <f t="shared" si="30"/>
        <v>0</v>
      </c>
      <c r="Y713" s="228"/>
      <c r="Z713" s="311"/>
      <c r="AA713" s="157"/>
      <c r="AB713" s="157"/>
      <c r="AC713" s="157"/>
    </row>
    <row r="714" spans="1:29" outlineLevel="1">
      <c r="A714" s="170" t="s">
        <v>302</v>
      </c>
      <c r="B714" s="157" t="s">
        <v>303</v>
      </c>
      <c r="C714" s="171">
        <v>42887</v>
      </c>
      <c r="D714" s="178"/>
      <c r="E714" s="157" t="s">
        <v>304</v>
      </c>
      <c r="F714" s="223" t="s">
        <v>305</v>
      </c>
      <c r="G714" s="223"/>
      <c r="H714" s="224" t="s">
        <v>306</v>
      </c>
      <c r="I714" s="157"/>
      <c r="J714" s="172"/>
      <c r="K714" s="157"/>
      <c r="L714" s="223" t="s">
        <v>296</v>
      </c>
      <c r="M714" s="173"/>
      <c r="N714" s="173"/>
      <c r="O714" s="157" t="s">
        <v>308</v>
      </c>
      <c r="P714" s="158"/>
      <c r="Q714" s="185"/>
      <c r="R714" s="175"/>
      <c r="S714" s="174">
        <f t="shared" si="31"/>
        <v>0</v>
      </c>
      <c r="T714" s="157"/>
      <c r="U714" s="177">
        <v>-355.5</v>
      </c>
      <c r="V714" s="157"/>
      <c r="W714" s="157"/>
      <c r="X714" s="176">
        <f t="shared" si="30"/>
        <v>-355.5</v>
      </c>
      <c r="Y714" s="228"/>
      <c r="Z714" s="311"/>
      <c r="AA714" s="157"/>
      <c r="AB714" s="157"/>
      <c r="AC714" s="157"/>
    </row>
    <row r="715" spans="1:29" outlineLevel="1">
      <c r="A715" s="170" t="s">
        <v>302</v>
      </c>
      <c r="B715" s="157" t="s">
        <v>303</v>
      </c>
      <c r="C715" s="171">
        <v>42887</v>
      </c>
      <c r="D715" s="178"/>
      <c r="E715" s="157" t="s">
        <v>883</v>
      </c>
      <c r="F715" s="223" t="s">
        <v>305</v>
      </c>
      <c r="G715" s="223"/>
      <c r="H715" s="224" t="s">
        <v>306</v>
      </c>
      <c r="I715" s="157"/>
      <c r="J715" s="172"/>
      <c r="K715" s="157"/>
      <c r="L715" s="223" t="s">
        <v>296</v>
      </c>
      <c r="M715" s="173"/>
      <c r="N715" s="173"/>
      <c r="O715" s="157" t="s">
        <v>307</v>
      </c>
      <c r="P715" s="158"/>
      <c r="Q715" s="185"/>
      <c r="R715" s="175"/>
      <c r="S715" s="174">
        <f t="shared" si="31"/>
        <v>0</v>
      </c>
      <c r="T715" s="157"/>
      <c r="U715" s="177">
        <v>-6.33</v>
      </c>
      <c r="V715" s="157"/>
      <c r="W715" s="157"/>
      <c r="X715" s="176">
        <f t="shared" si="30"/>
        <v>-6.33</v>
      </c>
      <c r="Y715" s="228"/>
      <c r="Z715" s="311"/>
      <c r="AA715" s="157"/>
      <c r="AB715" s="157"/>
      <c r="AC715" s="157"/>
    </row>
    <row r="716" spans="1:29" outlineLevel="1">
      <c r="A716" s="170" t="s">
        <v>302</v>
      </c>
      <c r="B716" s="157" t="s">
        <v>303</v>
      </c>
      <c r="C716" s="171">
        <v>42887</v>
      </c>
      <c r="D716" s="178"/>
      <c r="E716" s="157" t="s">
        <v>883</v>
      </c>
      <c r="F716" s="223" t="s">
        <v>305</v>
      </c>
      <c r="G716" s="223"/>
      <c r="H716" s="224" t="s">
        <v>306</v>
      </c>
      <c r="I716" s="157"/>
      <c r="J716" s="172"/>
      <c r="K716" s="157"/>
      <c r="L716" s="223" t="s">
        <v>296</v>
      </c>
      <c r="M716" s="173"/>
      <c r="N716" s="173"/>
      <c r="O716" s="157" t="s">
        <v>307</v>
      </c>
      <c r="P716" s="158"/>
      <c r="Q716" s="185"/>
      <c r="R716" s="175"/>
      <c r="S716" s="174">
        <f t="shared" si="31"/>
        <v>0</v>
      </c>
      <c r="T716" s="157"/>
      <c r="U716" s="177">
        <v>-20.67</v>
      </c>
      <c r="V716" s="157"/>
      <c r="W716" s="157"/>
      <c r="X716" s="176">
        <f t="shared" si="30"/>
        <v>-20.67</v>
      </c>
      <c r="Y716" s="228"/>
      <c r="Z716" s="311"/>
      <c r="AA716" s="157"/>
      <c r="AB716" s="157"/>
      <c r="AC716" s="157"/>
    </row>
    <row r="717" spans="1:29">
      <c r="A717" s="170" t="s">
        <v>302</v>
      </c>
      <c r="B717" s="157" t="s">
        <v>303</v>
      </c>
      <c r="C717" s="171">
        <v>42887</v>
      </c>
      <c r="D717" s="178"/>
      <c r="E717" s="157" t="s">
        <v>884</v>
      </c>
      <c r="F717" s="223" t="s">
        <v>305</v>
      </c>
      <c r="G717" s="223"/>
      <c r="H717" s="224" t="s">
        <v>306</v>
      </c>
      <c r="I717" s="157" t="s">
        <v>1009</v>
      </c>
      <c r="J717" s="157" t="s">
        <v>1009</v>
      </c>
      <c r="K717" s="157" t="s">
        <v>1009</v>
      </c>
      <c r="L717" s="223" t="s">
        <v>296</v>
      </c>
      <c r="M717" s="173"/>
      <c r="N717" s="173"/>
      <c r="O717" s="157" t="s">
        <v>271</v>
      </c>
      <c r="P717" s="158">
        <v>393.23</v>
      </c>
      <c r="Q717" s="185"/>
      <c r="R717" s="175"/>
      <c r="S717" s="174">
        <f t="shared" si="31"/>
        <v>393.23</v>
      </c>
      <c r="T717" s="157"/>
      <c r="U717" s="177"/>
      <c r="V717" s="157"/>
      <c r="W717" s="157"/>
      <c r="X717" s="176">
        <f t="shared" si="30"/>
        <v>0</v>
      </c>
      <c r="Y717" s="228"/>
      <c r="Z717" s="311"/>
      <c r="AA717" s="157"/>
      <c r="AB717" s="157"/>
      <c r="AC717" s="157"/>
    </row>
    <row r="718" spans="1:29" ht="12" thickBot="1">
      <c r="A718" s="170"/>
      <c r="B718" s="157"/>
      <c r="C718" s="171"/>
      <c r="D718" s="178"/>
      <c r="E718" s="157"/>
      <c r="F718" s="223"/>
      <c r="G718" s="223"/>
      <c r="I718" s="157"/>
      <c r="J718" s="172"/>
      <c r="K718" s="157"/>
      <c r="L718" s="223"/>
      <c r="M718" s="173"/>
      <c r="N718" s="173"/>
      <c r="O718" s="157"/>
      <c r="P718" s="297">
        <f>SUM(P607:P717)</f>
        <v>24908.639999999999</v>
      </c>
      <c r="Q718" s="297">
        <f t="shared" ref="Q718:X718" si="32">SUM(Q607:Q717)</f>
        <v>0</v>
      </c>
      <c r="R718" s="297">
        <f t="shared" si="32"/>
        <v>0</v>
      </c>
      <c r="S718" s="297">
        <f t="shared" si="32"/>
        <v>24908.639999999999</v>
      </c>
      <c r="T718" s="297">
        <f t="shared" si="32"/>
        <v>0</v>
      </c>
      <c r="U718" s="297">
        <f t="shared" si="32"/>
        <v>-19626.91</v>
      </c>
      <c r="V718" s="297">
        <f t="shared" si="32"/>
        <v>0</v>
      </c>
      <c r="W718" s="297">
        <f t="shared" si="32"/>
        <v>0</v>
      </c>
      <c r="X718" s="297">
        <f t="shared" si="32"/>
        <v>-19626.91</v>
      </c>
      <c r="Y718" s="297">
        <f>X718+S718</f>
        <v>5281.73</v>
      </c>
      <c r="Z718" s="312">
        <f>Y718/S718</f>
        <v>0.21204409393688292</v>
      </c>
      <c r="AA718" s="157"/>
      <c r="AB718" s="157"/>
      <c r="AC718" s="157"/>
    </row>
    <row r="719" spans="1:29" ht="12" customHeight="1" outlineLevel="1" thickTop="1">
      <c r="A719" s="170" t="s">
        <v>302</v>
      </c>
      <c r="B719" s="157" t="s">
        <v>303</v>
      </c>
      <c r="C719" s="171">
        <v>42738</v>
      </c>
      <c r="D719" s="178"/>
      <c r="E719" s="157" t="s">
        <v>304</v>
      </c>
      <c r="F719" s="223" t="s">
        <v>305</v>
      </c>
      <c r="G719" s="223"/>
      <c r="H719" s="224" t="s">
        <v>306</v>
      </c>
      <c r="I719" s="157"/>
      <c r="J719" s="172"/>
      <c r="K719" s="157"/>
      <c r="L719" s="223" t="s">
        <v>296</v>
      </c>
      <c r="M719" s="173"/>
      <c r="N719" s="173"/>
      <c r="O719" s="157" t="s">
        <v>307</v>
      </c>
      <c r="P719" s="158"/>
      <c r="Q719" s="185"/>
      <c r="R719" s="175"/>
      <c r="S719" s="174">
        <f t="shared" ref="S719:S782" si="33">P719</f>
        <v>0</v>
      </c>
      <c r="T719" s="157"/>
      <c r="U719" s="177">
        <v>-793.7</v>
      </c>
      <c r="V719" s="157"/>
      <c r="W719" s="157"/>
      <c r="X719" s="176">
        <f>U719</f>
        <v>-793.7</v>
      </c>
      <c r="Y719" s="184"/>
      <c r="Z719" s="179"/>
      <c r="AA719" s="157"/>
      <c r="AB719" s="157"/>
      <c r="AC719" s="157"/>
    </row>
    <row r="720" spans="1:29" ht="12" customHeight="1" outlineLevel="1">
      <c r="A720" s="170" t="s">
        <v>302</v>
      </c>
      <c r="B720" s="157" t="s">
        <v>303</v>
      </c>
      <c r="C720" s="171">
        <v>42919</v>
      </c>
      <c r="D720" s="178"/>
      <c r="E720" s="157" t="s">
        <v>885</v>
      </c>
      <c r="F720" s="223" t="s">
        <v>305</v>
      </c>
      <c r="G720" s="223"/>
      <c r="H720" s="224" t="s">
        <v>306</v>
      </c>
      <c r="I720" s="157"/>
      <c r="J720" s="172"/>
      <c r="K720" s="157"/>
      <c r="L720" s="223" t="s">
        <v>296</v>
      </c>
      <c r="M720" s="173"/>
      <c r="N720" s="173"/>
      <c r="O720" s="157" t="s">
        <v>307</v>
      </c>
      <c r="P720" s="158"/>
      <c r="Q720" s="185"/>
      <c r="R720" s="175"/>
      <c r="S720" s="174">
        <f t="shared" si="33"/>
        <v>0</v>
      </c>
      <c r="T720" s="157"/>
      <c r="U720" s="177">
        <v>-106.84</v>
      </c>
      <c r="V720" s="157"/>
      <c r="W720" s="157"/>
      <c r="X720" s="176">
        <f t="shared" si="30"/>
        <v>-106.84</v>
      </c>
      <c r="Y720" s="184"/>
      <c r="Z720" s="179"/>
      <c r="AA720" s="157"/>
      <c r="AB720" s="157"/>
      <c r="AC720" s="157"/>
    </row>
    <row r="721" spans="1:29" ht="12" customHeight="1" outlineLevel="1">
      <c r="A721" s="170" t="s">
        <v>302</v>
      </c>
      <c r="B721" s="157" t="s">
        <v>303</v>
      </c>
      <c r="C721" s="171">
        <v>42919</v>
      </c>
      <c r="D721" s="178"/>
      <c r="E721" s="157" t="s">
        <v>886</v>
      </c>
      <c r="F721" s="223" t="s">
        <v>305</v>
      </c>
      <c r="G721" s="223"/>
      <c r="H721" s="224" t="s">
        <v>306</v>
      </c>
      <c r="I721" s="157"/>
      <c r="J721" s="172"/>
      <c r="K721" s="157"/>
      <c r="L721" s="223" t="s">
        <v>296</v>
      </c>
      <c r="M721" s="173"/>
      <c r="N721" s="173"/>
      <c r="O721" s="157" t="s">
        <v>307</v>
      </c>
      <c r="P721" s="158"/>
      <c r="Q721" s="185"/>
      <c r="R721" s="175"/>
      <c r="S721" s="174">
        <f t="shared" si="33"/>
        <v>0</v>
      </c>
      <c r="T721" s="157"/>
      <c r="U721" s="177">
        <v>-81.599999999999994</v>
      </c>
      <c r="V721" s="157"/>
      <c r="W721" s="157"/>
      <c r="X721" s="176">
        <f t="shared" si="30"/>
        <v>-81.599999999999994</v>
      </c>
      <c r="Y721" s="184"/>
      <c r="Z721" s="179"/>
      <c r="AA721" s="157"/>
      <c r="AB721" s="157"/>
      <c r="AC721" s="157"/>
    </row>
    <row r="722" spans="1:29" ht="12" customHeight="1" outlineLevel="1">
      <c r="A722" s="170" t="s">
        <v>302</v>
      </c>
      <c r="B722" s="157" t="s">
        <v>303</v>
      </c>
      <c r="C722" s="171">
        <v>42919</v>
      </c>
      <c r="D722" s="178"/>
      <c r="E722" s="157" t="s">
        <v>304</v>
      </c>
      <c r="F722" s="223" t="s">
        <v>305</v>
      </c>
      <c r="G722" s="223"/>
      <c r="H722" s="224" t="s">
        <v>306</v>
      </c>
      <c r="I722" s="157"/>
      <c r="J722" s="172"/>
      <c r="K722" s="157"/>
      <c r="L722" s="223" t="s">
        <v>296</v>
      </c>
      <c r="M722" s="173"/>
      <c r="N722" s="173"/>
      <c r="O722" s="157" t="s">
        <v>308</v>
      </c>
      <c r="P722" s="158"/>
      <c r="Q722" s="185"/>
      <c r="R722" s="175"/>
      <c r="S722" s="174">
        <f t="shared" si="33"/>
        <v>0</v>
      </c>
      <c r="T722" s="157"/>
      <c r="U722" s="177">
        <v>-420.25</v>
      </c>
      <c r="V722" s="157"/>
      <c r="W722" s="157"/>
      <c r="X722" s="176">
        <f t="shared" si="30"/>
        <v>-420.25</v>
      </c>
      <c r="Y722" s="184"/>
      <c r="Z722" s="179"/>
      <c r="AA722" s="157"/>
      <c r="AB722" s="157"/>
      <c r="AC722" s="157"/>
    </row>
    <row r="723" spans="1:29" ht="12" customHeight="1" outlineLevel="1">
      <c r="A723" s="170" t="s">
        <v>302</v>
      </c>
      <c r="B723" s="157" t="s">
        <v>303</v>
      </c>
      <c r="C723" s="171">
        <v>42942</v>
      </c>
      <c r="D723" s="178"/>
      <c r="E723" s="157" t="s">
        <v>887</v>
      </c>
      <c r="F723" s="223" t="s">
        <v>305</v>
      </c>
      <c r="G723" s="223"/>
      <c r="H723" s="224" t="s">
        <v>306</v>
      </c>
      <c r="I723" s="157" t="s">
        <v>1009</v>
      </c>
      <c r="J723" s="157" t="s">
        <v>1009</v>
      </c>
      <c r="K723" s="157" t="s">
        <v>1009</v>
      </c>
      <c r="L723" s="223" t="s">
        <v>296</v>
      </c>
      <c r="M723" s="173"/>
      <c r="N723" s="173"/>
      <c r="O723" s="157" t="s">
        <v>271</v>
      </c>
      <c r="P723" s="158">
        <v>1428.85</v>
      </c>
      <c r="Q723" s="185"/>
      <c r="R723" s="175"/>
      <c r="S723" s="174">
        <f t="shared" si="33"/>
        <v>1428.85</v>
      </c>
      <c r="T723" s="157"/>
      <c r="U723" s="177"/>
      <c r="V723" s="157"/>
      <c r="W723" s="157"/>
      <c r="X723" s="176">
        <f t="shared" si="30"/>
        <v>0</v>
      </c>
      <c r="Y723" s="184"/>
      <c r="Z723" s="179"/>
      <c r="AA723" s="157"/>
      <c r="AB723" s="157"/>
      <c r="AC723" s="157"/>
    </row>
    <row r="724" spans="1:29" ht="12" customHeight="1" outlineLevel="1">
      <c r="A724" s="170" t="s">
        <v>302</v>
      </c>
      <c r="B724" s="157" t="s">
        <v>303</v>
      </c>
      <c r="C724" s="171">
        <v>42942</v>
      </c>
      <c r="D724" s="178"/>
      <c r="E724" s="157" t="s">
        <v>888</v>
      </c>
      <c r="F724" s="223" t="s">
        <v>305</v>
      </c>
      <c r="G724" s="223"/>
      <c r="H724" s="224" t="s">
        <v>306</v>
      </c>
      <c r="I724" s="157" t="s">
        <v>1009</v>
      </c>
      <c r="J724" s="157" t="s">
        <v>1009</v>
      </c>
      <c r="K724" s="157" t="s">
        <v>1009</v>
      </c>
      <c r="L724" s="223" t="s">
        <v>296</v>
      </c>
      <c r="M724" s="173"/>
      <c r="N724" s="173"/>
      <c r="O724" s="157" t="s">
        <v>271</v>
      </c>
      <c r="P724" s="158">
        <v>188.17</v>
      </c>
      <c r="Q724" s="185"/>
      <c r="R724" s="175"/>
      <c r="S724" s="174">
        <f t="shared" si="33"/>
        <v>188.17</v>
      </c>
      <c r="T724" s="157"/>
      <c r="U724" s="177"/>
      <c r="V724" s="157"/>
      <c r="W724" s="157"/>
      <c r="X724" s="176">
        <f t="shared" si="30"/>
        <v>0</v>
      </c>
      <c r="Y724" s="184"/>
      <c r="Z724" s="179"/>
      <c r="AA724" s="157"/>
      <c r="AB724" s="157"/>
      <c r="AC724" s="157"/>
    </row>
    <row r="725" spans="1:29" ht="12" customHeight="1" outlineLevel="1">
      <c r="A725" s="170" t="s">
        <v>302</v>
      </c>
      <c r="B725" s="157" t="s">
        <v>303</v>
      </c>
      <c r="C725" s="171">
        <v>42919</v>
      </c>
      <c r="D725" s="178"/>
      <c r="E725" s="157" t="s">
        <v>889</v>
      </c>
      <c r="F725" s="223" t="s">
        <v>305</v>
      </c>
      <c r="G725" s="223"/>
      <c r="H725" s="224" t="s">
        <v>306</v>
      </c>
      <c r="I725" s="157"/>
      <c r="J725" s="172"/>
      <c r="K725" s="157"/>
      <c r="L725" s="223" t="s">
        <v>296</v>
      </c>
      <c r="M725" s="173"/>
      <c r="N725" s="173"/>
      <c r="O725" s="157" t="s">
        <v>307</v>
      </c>
      <c r="P725" s="158"/>
      <c r="Q725" s="185"/>
      <c r="R725" s="175"/>
      <c r="S725" s="174">
        <f t="shared" si="33"/>
        <v>0</v>
      </c>
      <c r="T725" s="157"/>
      <c r="U725" s="177">
        <v>-43.69</v>
      </c>
      <c r="V725" s="157"/>
      <c r="W725" s="157"/>
      <c r="X725" s="176">
        <f t="shared" si="30"/>
        <v>-43.69</v>
      </c>
      <c r="Y725" s="184"/>
      <c r="Z725" s="179"/>
      <c r="AA725" s="157"/>
      <c r="AB725" s="157"/>
      <c r="AC725" s="157"/>
    </row>
    <row r="726" spans="1:29" ht="12" customHeight="1" outlineLevel="1">
      <c r="A726" s="170" t="s">
        <v>302</v>
      </c>
      <c r="B726" s="157" t="s">
        <v>303</v>
      </c>
      <c r="C726" s="171">
        <v>42919</v>
      </c>
      <c r="D726" s="178"/>
      <c r="E726" s="157" t="s">
        <v>890</v>
      </c>
      <c r="F726" s="223" t="s">
        <v>305</v>
      </c>
      <c r="G726" s="223"/>
      <c r="H726" s="224" t="s">
        <v>306</v>
      </c>
      <c r="I726" s="157"/>
      <c r="J726" s="172"/>
      <c r="K726" s="157"/>
      <c r="L726" s="223" t="s">
        <v>296</v>
      </c>
      <c r="M726" s="173"/>
      <c r="N726" s="173"/>
      <c r="O726" s="157" t="s">
        <v>307</v>
      </c>
      <c r="P726" s="158"/>
      <c r="Q726" s="185"/>
      <c r="R726" s="175"/>
      <c r="S726" s="174">
        <f t="shared" si="33"/>
        <v>0</v>
      </c>
      <c r="T726" s="157"/>
      <c r="U726" s="177">
        <v>-227.97</v>
      </c>
      <c r="V726" s="157"/>
      <c r="W726" s="157"/>
      <c r="X726" s="176">
        <f t="shared" si="30"/>
        <v>-227.97</v>
      </c>
      <c r="Y726" s="184"/>
      <c r="Z726" s="179"/>
      <c r="AA726" s="157"/>
      <c r="AB726" s="157"/>
      <c r="AC726" s="157"/>
    </row>
    <row r="727" spans="1:29" ht="12" customHeight="1" outlineLevel="1">
      <c r="A727" s="170" t="s">
        <v>302</v>
      </c>
      <c r="B727" s="157" t="s">
        <v>303</v>
      </c>
      <c r="C727" s="171">
        <v>42919</v>
      </c>
      <c r="D727" s="178"/>
      <c r="E727" s="157" t="s">
        <v>891</v>
      </c>
      <c r="F727" s="223" t="s">
        <v>305</v>
      </c>
      <c r="G727" s="223"/>
      <c r="H727" s="224" t="s">
        <v>306</v>
      </c>
      <c r="I727" s="157"/>
      <c r="J727" s="172"/>
      <c r="K727" s="157"/>
      <c r="L727" s="223" t="s">
        <v>296</v>
      </c>
      <c r="M727" s="173"/>
      <c r="N727" s="173"/>
      <c r="O727" s="157" t="s">
        <v>307</v>
      </c>
      <c r="P727" s="158"/>
      <c r="Q727" s="185"/>
      <c r="R727" s="175"/>
      <c r="S727" s="174">
        <f t="shared" si="33"/>
        <v>0</v>
      </c>
      <c r="T727" s="157"/>
      <c r="U727" s="177">
        <v>-40.700000000000003</v>
      </c>
      <c r="V727" s="157"/>
      <c r="W727" s="157"/>
      <c r="X727" s="176">
        <f t="shared" ref="X727:X790" si="34">U727</f>
        <v>-40.700000000000003</v>
      </c>
      <c r="Y727" s="184"/>
      <c r="Z727" s="179"/>
      <c r="AA727" s="157"/>
      <c r="AB727" s="157"/>
      <c r="AC727" s="157"/>
    </row>
    <row r="728" spans="1:29" ht="12" customHeight="1" outlineLevel="1">
      <c r="A728" s="170" t="s">
        <v>302</v>
      </c>
      <c r="B728" s="157" t="s">
        <v>303</v>
      </c>
      <c r="C728" s="171">
        <v>42921</v>
      </c>
      <c r="D728" s="178"/>
      <c r="E728" s="157" t="s">
        <v>892</v>
      </c>
      <c r="F728" s="223" t="s">
        <v>305</v>
      </c>
      <c r="G728" s="223"/>
      <c r="H728" s="224" t="s">
        <v>306</v>
      </c>
      <c r="I728" s="157"/>
      <c r="J728" s="172"/>
      <c r="K728" s="157"/>
      <c r="L728" s="223" t="s">
        <v>296</v>
      </c>
      <c r="M728" s="173"/>
      <c r="N728" s="173"/>
      <c r="O728" s="157" t="s">
        <v>307</v>
      </c>
      <c r="P728" s="158"/>
      <c r="Q728" s="185"/>
      <c r="R728" s="175"/>
      <c r="S728" s="174">
        <f t="shared" si="33"/>
        <v>0</v>
      </c>
      <c r="T728" s="157"/>
      <c r="U728" s="177">
        <v>-25.63</v>
      </c>
      <c r="V728" s="157"/>
      <c r="W728" s="157"/>
      <c r="X728" s="176">
        <f t="shared" si="34"/>
        <v>-25.63</v>
      </c>
      <c r="Y728" s="184"/>
      <c r="Z728" s="179"/>
      <c r="AA728" s="157"/>
      <c r="AB728" s="157"/>
      <c r="AC728" s="157"/>
    </row>
    <row r="729" spans="1:29" ht="12" customHeight="1" outlineLevel="1">
      <c r="A729" s="170" t="s">
        <v>302</v>
      </c>
      <c r="B729" s="157" t="s">
        <v>303</v>
      </c>
      <c r="C729" s="171">
        <v>42941</v>
      </c>
      <c r="D729" s="178"/>
      <c r="E729" s="157" t="s">
        <v>893</v>
      </c>
      <c r="F729" s="223" t="s">
        <v>305</v>
      </c>
      <c r="G729" s="223"/>
      <c r="H729" s="224" t="s">
        <v>306</v>
      </c>
      <c r="I729" s="157" t="s">
        <v>1009</v>
      </c>
      <c r="J729" s="157" t="s">
        <v>1009</v>
      </c>
      <c r="K729" s="157" t="s">
        <v>1009</v>
      </c>
      <c r="L729" s="223" t="s">
        <v>296</v>
      </c>
      <c r="M729" s="173"/>
      <c r="N729" s="173"/>
      <c r="O729" s="157" t="s">
        <v>271</v>
      </c>
      <c r="P729" s="158">
        <v>357.73</v>
      </c>
      <c r="Q729" s="185"/>
      <c r="R729" s="175"/>
      <c r="S729" s="174">
        <f t="shared" si="33"/>
        <v>357.73</v>
      </c>
      <c r="T729" s="157"/>
      <c r="U729" s="177"/>
      <c r="V729" s="157"/>
      <c r="W729" s="157"/>
      <c r="X729" s="176">
        <f t="shared" si="34"/>
        <v>0</v>
      </c>
      <c r="Y729" s="184"/>
      <c r="Z729" s="179"/>
      <c r="AA729" s="157"/>
      <c r="AB729" s="157"/>
      <c r="AC729" s="157"/>
    </row>
    <row r="730" spans="1:29" ht="12" customHeight="1" outlineLevel="1">
      <c r="A730" s="170" t="s">
        <v>302</v>
      </c>
      <c r="B730" s="157" t="s">
        <v>303</v>
      </c>
      <c r="C730" s="171">
        <v>42921</v>
      </c>
      <c r="D730" s="178"/>
      <c r="E730" s="157" t="s">
        <v>892</v>
      </c>
      <c r="F730" s="223" t="s">
        <v>305</v>
      </c>
      <c r="G730" s="223"/>
      <c r="H730" s="224" t="s">
        <v>306</v>
      </c>
      <c r="I730" s="157"/>
      <c r="J730" s="172"/>
      <c r="K730" s="157"/>
      <c r="L730" s="223" t="s">
        <v>296</v>
      </c>
      <c r="M730" s="173"/>
      <c r="N730" s="173"/>
      <c r="O730" s="157" t="s">
        <v>307</v>
      </c>
      <c r="P730" s="158"/>
      <c r="Q730" s="185"/>
      <c r="R730" s="175"/>
      <c r="S730" s="174">
        <f t="shared" si="33"/>
        <v>0</v>
      </c>
      <c r="T730" s="157"/>
      <c r="U730" s="177">
        <v>-130.56</v>
      </c>
      <c r="V730" s="157"/>
      <c r="W730" s="157"/>
      <c r="X730" s="176">
        <f t="shared" si="34"/>
        <v>-130.56</v>
      </c>
      <c r="Y730" s="184"/>
      <c r="Z730" s="179"/>
      <c r="AA730" s="157"/>
      <c r="AB730" s="157"/>
      <c r="AC730" s="157"/>
    </row>
    <row r="731" spans="1:29" ht="12" customHeight="1" outlineLevel="1">
      <c r="A731" s="170" t="s">
        <v>302</v>
      </c>
      <c r="B731" s="157" t="s">
        <v>303</v>
      </c>
      <c r="C731" s="171">
        <v>42921</v>
      </c>
      <c r="D731" s="178"/>
      <c r="E731" s="157" t="s">
        <v>304</v>
      </c>
      <c r="F731" s="223" t="s">
        <v>305</v>
      </c>
      <c r="G731" s="223"/>
      <c r="H731" s="224" t="s">
        <v>306</v>
      </c>
      <c r="I731" s="157"/>
      <c r="J731" s="172"/>
      <c r="K731" s="157"/>
      <c r="L731" s="223" t="s">
        <v>296</v>
      </c>
      <c r="M731" s="173"/>
      <c r="N731" s="173"/>
      <c r="O731" s="157" t="s">
        <v>308</v>
      </c>
      <c r="P731" s="158"/>
      <c r="Q731" s="185"/>
      <c r="R731" s="175"/>
      <c r="S731" s="174">
        <f t="shared" si="33"/>
        <v>0</v>
      </c>
      <c r="T731" s="157"/>
      <c r="U731" s="177">
        <v>-288.75</v>
      </c>
      <c r="V731" s="157"/>
      <c r="W731" s="157"/>
      <c r="X731" s="176">
        <f t="shared" si="34"/>
        <v>-288.75</v>
      </c>
      <c r="Y731" s="184"/>
      <c r="Z731" s="179"/>
      <c r="AA731" s="157"/>
      <c r="AB731" s="157"/>
      <c r="AC731" s="157"/>
    </row>
    <row r="732" spans="1:29" ht="12" customHeight="1" outlineLevel="1">
      <c r="A732" s="170" t="s">
        <v>302</v>
      </c>
      <c r="B732" s="157" t="s">
        <v>303</v>
      </c>
      <c r="C732" s="171">
        <v>42921</v>
      </c>
      <c r="D732" s="178"/>
      <c r="E732" s="157" t="s">
        <v>304</v>
      </c>
      <c r="F732" s="223" t="s">
        <v>305</v>
      </c>
      <c r="G732" s="223"/>
      <c r="H732" s="224" t="s">
        <v>306</v>
      </c>
      <c r="I732" s="157"/>
      <c r="J732" s="172"/>
      <c r="K732" s="157"/>
      <c r="L732" s="223" t="s">
        <v>296</v>
      </c>
      <c r="M732" s="173"/>
      <c r="N732" s="173"/>
      <c r="O732" s="157" t="s">
        <v>308</v>
      </c>
      <c r="P732" s="158"/>
      <c r="Q732" s="185"/>
      <c r="R732" s="175"/>
      <c r="S732" s="174">
        <f t="shared" si="33"/>
        <v>0</v>
      </c>
      <c r="T732" s="157"/>
      <c r="U732" s="177">
        <v>-1020</v>
      </c>
      <c r="V732" s="157"/>
      <c r="W732" s="157"/>
      <c r="X732" s="176">
        <f t="shared" si="34"/>
        <v>-1020</v>
      </c>
      <c r="Y732" s="184"/>
      <c r="Z732" s="179"/>
      <c r="AA732" s="157"/>
      <c r="AB732" s="157"/>
      <c r="AC732" s="157"/>
    </row>
    <row r="733" spans="1:29" ht="12" customHeight="1" outlineLevel="1">
      <c r="A733" s="170" t="s">
        <v>302</v>
      </c>
      <c r="B733" s="157" t="s">
        <v>303</v>
      </c>
      <c r="C733" s="171">
        <v>42921</v>
      </c>
      <c r="D733" s="178"/>
      <c r="E733" s="157" t="s">
        <v>894</v>
      </c>
      <c r="F733" s="223" t="s">
        <v>305</v>
      </c>
      <c r="G733" s="223"/>
      <c r="H733" s="224" t="s">
        <v>306</v>
      </c>
      <c r="I733" s="157"/>
      <c r="J733" s="172"/>
      <c r="K733" s="157"/>
      <c r="L733" s="223" t="s">
        <v>296</v>
      </c>
      <c r="M733" s="173"/>
      <c r="N733" s="173"/>
      <c r="O733" s="157" t="s">
        <v>307</v>
      </c>
      <c r="P733" s="158"/>
      <c r="Q733" s="185"/>
      <c r="R733" s="175"/>
      <c r="S733" s="174">
        <f t="shared" si="33"/>
        <v>0</v>
      </c>
      <c r="T733" s="157"/>
      <c r="U733" s="177">
        <v>-171</v>
      </c>
      <c r="V733" s="157"/>
      <c r="W733" s="157"/>
      <c r="X733" s="176">
        <f t="shared" si="34"/>
        <v>-171</v>
      </c>
      <c r="Y733" s="184"/>
      <c r="Z733" s="179"/>
      <c r="AA733" s="157"/>
      <c r="AB733" s="157"/>
      <c r="AC733" s="157"/>
    </row>
    <row r="734" spans="1:29" ht="12" customHeight="1" outlineLevel="1">
      <c r="A734" s="170" t="s">
        <v>302</v>
      </c>
      <c r="B734" s="157" t="s">
        <v>303</v>
      </c>
      <c r="C734" s="171">
        <v>42923</v>
      </c>
      <c r="D734" s="178"/>
      <c r="E734" s="157" t="s">
        <v>895</v>
      </c>
      <c r="F734" s="223" t="s">
        <v>305</v>
      </c>
      <c r="G734" s="223"/>
      <c r="H734" s="224" t="s">
        <v>306</v>
      </c>
      <c r="I734" s="157"/>
      <c r="J734" s="172"/>
      <c r="K734" s="157"/>
      <c r="L734" s="223" t="s">
        <v>296</v>
      </c>
      <c r="M734" s="173"/>
      <c r="N734" s="173"/>
      <c r="O734" s="157" t="s">
        <v>307</v>
      </c>
      <c r="P734" s="158"/>
      <c r="Q734" s="185"/>
      <c r="R734" s="175"/>
      <c r="S734" s="174">
        <f t="shared" si="33"/>
        <v>0</v>
      </c>
      <c r="T734" s="157"/>
      <c r="U734" s="177">
        <v>-157.25</v>
      </c>
      <c r="V734" s="157"/>
      <c r="W734" s="157"/>
      <c r="X734" s="176">
        <f t="shared" si="34"/>
        <v>-157.25</v>
      </c>
      <c r="Y734" s="184"/>
      <c r="Z734" s="179"/>
      <c r="AA734" s="157"/>
      <c r="AB734" s="157"/>
      <c r="AC734" s="157"/>
    </row>
    <row r="735" spans="1:29" ht="12" customHeight="1" outlineLevel="1">
      <c r="A735" s="170" t="s">
        <v>302</v>
      </c>
      <c r="B735" s="157" t="s">
        <v>303</v>
      </c>
      <c r="C735" s="171">
        <v>42923</v>
      </c>
      <c r="D735" s="178"/>
      <c r="E735" s="157" t="s">
        <v>304</v>
      </c>
      <c r="F735" s="223" t="s">
        <v>305</v>
      </c>
      <c r="G735" s="223"/>
      <c r="H735" s="224" t="s">
        <v>306</v>
      </c>
      <c r="I735" s="157"/>
      <c r="J735" s="172"/>
      <c r="K735" s="157"/>
      <c r="L735" s="223" t="s">
        <v>296</v>
      </c>
      <c r="M735" s="173"/>
      <c r="N735" s="173"/>
      <c r="O735" s="157" t="s">
        <v>307</v>
      </c>
      <c r="P735" s="158"/>
      <c r="Q735" s="185"/>
      <c r="R735" s="175"/>
      <c r="S735" s="174">
        <f t="shared" si="33"/>
        <v>0</v>
      </c>
      <c r="T735" s="157"/>
      <c r="U735" s="177">
        <v>-480</v>
      </c>
      <c r="V735" s="157"/>
      <c r="W735" s="157"/>
      <c r="X735" s="176">
        <f t="shared" si="34"/>
        <v>-480</v>
      </c>
      <c r="Y735" s="184"/>
      <c r="Z735" s="179"/>
      <c r="AA735" s="157"/>
      <c r="AB735" s="157"/>
      <c r="AC735" s="157"/>
    </row>
    <row r="736" spans="1:29" ht="12" customHeight="1" outlineLevel="1">
      <c r="A736" s="170" t="s">
        <v>302</v>
      </c>
      <c r="B736" s="157" t="s">
        <v>303</v>
      </c>
      <c r="C736" s="171">
        <v>42926</v>
      </c>
      <c r="D736" s="178"/>
      <c r="E736" s="157" t="s">
        <v>896</v>
      </c>
      <c r="F736" s="223" t="s">
        <v>305</v>
      </c>
      <c r="G736" s="223"/>
      <c r="H736" s="224" t="s">
        <v>306</v>
      </c>
      <c r="I736" s="157"/>
      <c r="J736" s="172"/>
      <c r="K736" s="157"/>
      <c r="L736" s="223" t="s">
        <v>296</v>
      </c>
      <c r="M736" s="173"/>
      <c r="N736" s="173"/>
      <c r="O736" s="157" t="s">
        <v>307</v>
      </c>
      <c r="P736" s="158"/>
      <c r="Q736" s="185"/>
      <c r="R736" s="175"/>
      <c r="S736" s="174">
        <f t="shared" si="33"/>
        <v>0</v>
      </c>
      <c r="T736" s="157"/>
      <c r="U736" s="177">
        <v>-147.41</v>
      </c>
      <c r="V736" s="157"/>
      <c r="W736" s="157"/>
      <c r="X736" s="176">
        <f t="shared" si="34"/>
        <v>-147.41</v>
      </c>
      <c r="Y736" s="184"/>
      <c r="Z736" s="179"/>
      <c r="AA736" s="157"/>
      <c r="AB736" s="157"/>
      <c r="AC736" s="157"/>
    </row>
    <row r="737" spans="1:29" ht="12" customHeight="1" outlineLevel="1">
      <c r="A737" s="170" t="s">
        <v>302</v>
      </c>
      <c r="B737" s="157" t="s">
        <v>303</v>
      </c>
      <c r="C737" s="171">
        <v>42926</v>
      </c>
      <c r="D737" s="178"/>
      <c r="E737" s="157" t="s">
        <v>897</v>
      </c>
      <c r="F737" s="223" t="s">
        <v>305</v>
      </c>
      <c r="G737" s="223"/>
      <c r="H737" s="224" t="s">
        <v>306</v>
      </c>
      <c r="I737" s="157"/>
      <c r="J737" s="172"/>
      <c r="K737" s="157"/>
      <c r="L737" s="223" t="s">
        <v>296</v>
      </c>
      <c r="M737" s="173"/>
      <c r="N737" s="173"/>
      <c r="O737" s="157" t="s">
        <v>307</v>
      </c>
      <c r="P737" s="158"/>
      <c r="Q737" s="185"/>
      <c r="R737" s="175"/>
      <c r="S737" s="174">
        <f t="shared" si="33"/>
        <v>0</v>
      </c>
      <c r="T737" s="157"/>
      <c r="U737" s="177">
        <v>-35.11</v>
      </c>
      <c r="V737" s="157"/>
      <c r="W737" s="157"/>
      <c r="X737" s="176">
        <f t="shared" si="34"/>
        <v>-35.11</v>
      </c>
      <c r="Y737" s="184"/>
      <c r="Z737" s="179"/>
      <c r="AA737" s="157"/>
      <c r="AB737" s="157"/>
      <c r="AC737" s="157"/>
    </row>
    <row r="738" spans="1:29" ht="12" customHeight="1" outlineLevel="1">
      <c r="A738" s="170" t="s">
        <v>302</v>
      </c>
      <c r="B738" s="157" t="s">
        <v>303</v>
      </c>
      <c r="C738" s="171">
        <v>42940</v>
      </c>
      <c r="D738" s="178"/>
      <c r="E738" s="157" t="s">
        <v>898</v>
      </c>
      <c r="F738" s="223" t="s">
        <v>305</v>
      </c>
      <c r="G738" s="223"/>
      <c r="H738" s="224" t="s">
        <v>306</v>
      </c>
      <c r="I738" s="157" t="s">
        <v>1009</v>
      </c>
      <c r="J738" s="157" t="s">
        <v>1009</v>
      </c>
      <c r="K738" s="157" t="s">
        <v>1009</v>
      </c>
      <c r="L738" s="223" t="s">
        <v>296</v>
      </c>
      <c r="M738" s="173"/>
      <c r="N738" s="173"/>
      <c r="O738" s="157" t="s">
        <v>271</v>
      </c>
      <c r="P738" s="158">
        <v>1934.8</v>
      </c>
      <c r="Q738" s="185"/>
      <c r="R738" s="175"/>
      <c r="S738" s="174">
        <f t="shared" si="33"/>
        <v>1934.8</v>
      </c>
      <c r="T738" s="157"/>
      <c r="U738" s="177"/>
      <c r="V738" s="157"/>
      <c r="W738" s="157"/>
      <c r="X738" s="176">
        <f t="shared" si="34"/>
        <v>0</v>
      </c>
      <c r="Y738" s="184"/>
      <c r="Z738" s="179"/>
      <c r="AA738" s="157"/>
      <c r="AB738" s="157"/>
      <c r="AC738" s="157"/>
    </row>
    <row r="739" spans="1:29" ht="12" customHeight="1" outlineLevel="1">
      <c r="A739" s="170" t="s">
        <v>302</v>
      </c>
      <c r="B739" s="157" t="s">
        <v>303</v>
      </c>
      <c r="C739" s="171">
        <v>42940</v>
      </c>
      <c r="D739" s="178"/>
      <c r="E739" s="157" t="s">
        <v>899</v>
      </c>
      <c r="F739" s="223" t="s">
        <v>305</v>
      </c>
      <c r="G739" s="223"/>
      <c r="H739" s="224" t="s">
        <v>306</v>
      </c>
      <c r="I739" s="157" t="s">
        <v>1009</v>
      </c>
      <c r="J739" s="157" t="s">
        <v>1009</v>
      </c>
      <c r="K739" s="157" t="s">
        <v>1009</v>
      </c>
      <c r="L739" s="223" t="s">
        <v>296</v>
      </c>
      <c r="M739" s="173"/>
      <c r="N739" s="173"/>
      <c r="O739" s="157" t="s">
        <v>271</v>
      </c>
      <c r="P739" s="158">
        <v>1613.02</v>
      </c>
      <c r="Q739" s="185"/>
      <c r="R739" s="175"/>
      <c r="S739" s="174">
        <f t="shared" si="33"/>
        <v>1613.02</v>
      </c>
      <c r="T739" s="157"/>
      <c r="U739" s="177"/>
      <c r="V739" s="157"/>
      <c r="W739" s="157"/>
      <c r="X739" s="176">
        <f t="shared" si="34"/>
        <v>0</v>
      </c>
      <c r="Y739" s="184"/>
      <c r="Z739" s="179"/>
      <c r="AA739" s="157"/>
      <c r="AB739" s="157"/>
      <c r="AC739" s="157"/>
    </row>
    <row r="740" spans="1:29" ht="12" customHeight="1" outlineLevel="1">
      <c r="A740" s="170" t="s">
        <v>302</v>
      </c>
      <c r="B740" s="157" t="s">
        <v>303</v>
      </c>
      <c r="C740" s="171">
        <v>42940</v>
      </c>
      <c r="D740" s="178"/>
      <c r="E740" s="157" t="s">
        <v>900</v>
      </c>
      <c r="F740" s="223" t="s">
        <v>305</v>
      </c>
      <c r="G740" s="223"/>
      <c r="H740" s="224" t="s">
        <v>306</v>
      </c>
      <c r="I740" s="157" t="s">
        <v>1009</v>
      </c>
      <c r="J740" s="157" t="s">
        <v>1009</v>
      </c>
      <c r="K740" s="157" t="s">
        <v>1009</v>
      </c>
      <c r="L740" s="223" t="s">
        <v>296</v>
      </c>
      <c r="M740" s="173"/>
      <c r="N740" s="173"/>
      <c r="O740" s="157" t="s">
        <v>271</v>
      </c>
      <c r="P740" s="158">
        <v>1198.3399999999999</v>
      </c>
      <c r="Q740" s="185"/>
      <c r="R740" s="175"/>
      <c r="S740" s="174">
        <f t="shared" si="33"/>
        <v>1198.3399999999999</v>
      </c>
      <c r="T740" s="157"/>
      <c r="U740" s="177"/>
      <c r="V740" s="157"/>
      <c r="W740" s="157"/>
      <c r="X740" s="176">
        <f t="shared" si="34"/>
        <v>0</v>
      </c>
      <c r="Y740" s="184"/>
      <c r="Z740" s="179"/>
      <c r="AA740" s="157"/>
      <c r="AB740" s="157"/>
      <c r="AC740" s="157"/>
    </row>
    <row r="741" spans="1:29" ht="12" customHeight="1" outlineLevel="1">
      <c r="A741" s="170" t="s">
        <v>302</v>
      </c>
      <c r="B741" s="157" t="s">
        <v>303</v>
      </c>
      <c r="C741" s="171">
        <v>42926</v>
      </c>
      <c r="D741" s="178"/>
      <c r="E741" s="157" t="s">
        <v>901</v>
      </c>
      <c r="F741" s="223" t="s">
        <v>305</v>
      </c>
      <c r="G741" s="223"/>
      <c r="H741" s="224" t="s">
        <v>306</v>
      </c>
      <c r="I741" s="157"/>
      <c r="J741" s="172"/>
      <c r="K741" s="157"/>
      <c r="L741" s="223" t="s">
        <v>296</v>
      </c>
      <c r="M741" s="173"/>
      <c r="N741" s="173"/>
      <c r="O741" s="157" t="s">
        <v>307</v>
      </c>
      <c r="P741" s="158"/>
      <c r="Q741" s="185"/>
      <c r="R741" s="175"/>
      <c r="S741" s="174">
        <f t="shared" si="33"/>
        <v>0</v>
      </c>
      <c r="T741" s="157"/>
      <c r="U741" s="177">
        <v>-18</v>
      </c>
      <c r="V741" s="157"/>
      <c r="W741" s="157"/>
      <c r="X741" s="176">
        <f t="shared" si="34"/>
        <v>-18</v>
      </c>
      <c r="Y741" s="184"/>
      <c r="Z741" s="179"/>
      <c r="AA741" s="157"/>
      <c r="AB741" s="157"/>
      <c r="AC741" s="157"/>
    </row>
    <row r="742" spans="1:29" ht="12" customHeight="1" outlineLevel="1">
      <c r="A742" s="170" t="s">
        <v>302</v>
      </c>
      <c r="B742" s="157" t="s">
        <v>303</v>
      </c>
      <c r="C742" s="171">
        <v>42937</v>
      </c>
      <c r="D742" s="178"/>
      <c r="E742" s="157" t="s">
        <v>902</v>
      </c>
      <c r="F742" s="223" t="s">
        <v>305</v>
      </c>
      <c r="G742" s="223"/>
      <c r="H742" s="224" t="s">
        <v>306</v>
      </c>
      <c r="I742" s="157" t="s">
        <v>1009</v>
      </c>
      <c r="J742" s="157" t="s">
        <v>1009</v>
      </c>
      <c r="K742" s="157" t="s">
        <v>1009</v>
      </c>
      <c r="L742" s="223" t="s">
        <v>296</v>
      </c>
      <c r="M742" s="173"/>
      <c r="N742" s="173"/>
      <c r="O742" s="157" t="s">
        <v>271</v>
      </c>
      <c r="P742" s="158">
        <v>1555.01</v>
      </c>
      <c r="Q742" s="185"/>
      <c r="R742" s="175"/>
      <c r="S742" s="174">
        <f t="shared" si="33"/>
        <v>1555.01</v>
      </c>
      <c r="T742" s="157"/>
      <c r="U742" s="177"/>
      <c r="V742" s="157"/>
      <c r="W742" s="157"/>
      <c r="X742" s="176">
        <f t="shared" si="34"/>
        <v>0</v>
      </c>
      <c r="Y742" s="184"/>
      <c r="Z742" s="179"/>
      <c r="AA742" s="157"/>
      <c r="AB742" s="157"/>
      <c r="AC742" s="157"/>
    </row>
    <row r="743" spans="1:29" ht="12" customHeight="1" outlineLevel="1">
      <c r="A743" s="170" t="s">
        <v>302</v>
      </c>
      <c r="B743" s="157" t="s">
        <v>303</v>
      </c>
      <c r="C743" s="171">
        <v>42926</v>
      </c>
      <c r="D743" s="178"/>
      <c r="E743" s="157" t="s">
        <v>903</v>
      </c>
      <c r="F743" s="223" t="s">
        <v>305</v>
      </c>
      <c r="G743" s="223"/>
      <c r="H743" s="224" t="s">
        <v>306</v>
      </c>
      <c r="I743" s="157"/>
      <c r="J743" s="172"/>
      <c r="K743" s="157"/>
      <c r="L743" s="223" t="s">
        <v>296</v>
      </c>
      <c r="M743" s="173"/>
      <c r="N743" s="173"/>
      <c r="O743" s="157" t="s">
        <v>307</v>
      </c>
      <c r="P743" s="158"/>
      <c r="Q743" s="185"/>
      <c r="R743" s="175"/>
      <c r="S743" s="174">
        <f t="shared" si="33"/>
        <v>0</v>
      </c>
      <c r="T743" s="157"/>
      <c r="U743" s="177">
        <v>-35.130000000000003</v>
      </c>
      <c r="V743" s="157"/>
      <c r="W743" s="157"/>
      <c r="X743" s="176">
        <f t="shared" si="34"/>
        <v>-35.130000000000003</v>
      </c>
      <c r="Y743" s="184"/>
      <c r="Z743" s="179"/>
      <c r="AA743" s="157"/>
      <c r="AB743" s="157"/>
      <c r="AC743" s="157"/>
    </row>
    <row r="744" spans="1:29" ht="12" customHeight="1" outlineLevel="1">
      <c r="A744" s="170" t="s">
        <v>302</v>
      </c>
      <c r="B744" s="157" t="s">
        <v>303</v>
      </c>
      <c r="C744" s="171">
        <v>42926</v>
      </c>
      <c r="D744" s="178"/>
      <c r="E744" s="157" t="s">
        <v>304</v>
      </c>
      <c r="F744" s="223" t="s">
        <v>305</v>
      </c>
      <c r="G744" s="223"/>
      <c r="H744" s="224" t="s">
        <v>306</v>
      </c>
      <c r="I744" s="157"/>
      <c r="J744" s="172"/>
      <c r="K744" s="157"/>
      <c r="L744" s="223" t="s">
        <v>296</v>
      </c>
      <c r="M744" s="173"/>
      <c r="N744" s="173"/>
      <c r="O744" s="157" t="s">
        <v>308</v>
      </c>
      <c r="P744" s="158"/>
      <c r="Q744" s="185"/>
      <c r="R744" s="175"/>
      <c r="S744" s="174">
        <f t="shared" si="33"/>
        <v>0</v>
      </c>
      <c r="T744" s="157"/>
      <c r="U744" s="177">
        <v>-547.9</v>
      </c>
      <c r="V744" s="157"/>
      <c r="W744" s="157"/>
      <c r="X744" s="176">
        <f t="shared" si="34"/>
        <v>-547.9</v>
      </c>
      <c r="Y744" s="184"/>
      <c r="Z744" s="179"/>
      <c r="AA744" s="157"/>
      <c r="AB744" s="157"/>
      <c r="AC744" s="157"/>
    </row>
    <row r="745" spans="1:29" ht="12" customHeight="1" outlineLevel="1">
      <c r="A745" s="170" t="s">
        <v>302</v>
      </c>
      <c r="B745" s="157" t="s">
        <v>303</v>
      </c>
      <c r="C745" s="171">
        <v>42926</v>
      </c>
      <c r="D745" s="178"/>
      <c r="E745" s="157" t="s">
        <v>304</v>
      </c>
      <c r="F745" s="223" t="s">
        <v>305</v>
      </c>
      <c r="G745" s="223"/>
      <c r="H745" s="224" t="s">
        <v>306</v>
      </c>
      <c r="I745" s="157"/>
      <c r="J745" s="172"/>
      <c r="K745" s="157"/>
      <c r="L745" s="223" t="s">
        <v>296</v>
      </c>
      <c r="M745" s="173"/>
      <c r="N745" s="173"/>
      <c r="O745" s="157" t="s">
        <v>308</v>
      </c>
      <c r="P745" s="158"/>
      <c r="Q745" s="185"/>
      <c r="R745" s="175"/>
      <c r="S745" s="174">
        <f t="shared" si="33"/>
        <v>0</v>
      </c>
      <c r="T745" s="157"/>
      <c r="U745" s="177">
        <v>-763.07</v>
      </c>
      <c r="V745" s="157"/>
      <c r="W745" s="157"/>
      <c r="X745" s="176">
        <f t="shared" si="34"/>
        <v>-763.07</v>
      </c>
      <c r="Y745" s="184"/>
      <c r="Z745" s="179"/>
      <c r="AA745" s="157"/>
      <c r="AB745" s="157"/>
      <c r="AC745" s="157"/>
    </row>
    <row r="746" spans="1:29" ht="12" customHeight="1" outlineLevel="1">
      <c r="A746" s="170" t="s">
        <v>302</v>
      </c>
      <c r="B746" s="157" t="s">
        <v>303</v>
      </c>
      <c r="C746" s="171">
        <v>42936</v>
      </c>
      <c r="D746" s="178"/>
      <c r="E746" s="157" t="s">
        <v>904</v>
      </c>
      <c r="F746" s="223" t="s">
        <v>305</v>
      </c>
      <c r="G746" s="223"/>
      <c r="H746" s="224" t="s">
        <v>306</v>
      </c>
      <c r="I746" s="157" t="s">
        <v>1009</v>
      </c>
      <c r="J746" s="157" t="s">
        <v>1009</v>
      </c>
      <c r="K746" s="157" t="s">
        <v>1009</v>
      </c>
      <c r="L746" s="223" t="s">
        <v>296</v>
      </c>
      <c r="M746" s="173"/>
      <c r="N746" s="173"/>
      <c r="O746" s="157" t="s">
        <v>271</v>
      </c>
      <c r="P746" s="158">
        <v>2722.15</v>
      </c>
      <c r="Q746" s="185"/>
      <c r="R746" s="175"/>
      <c r="S746" s="174">
        <f t="shared" si="33"/>
        <v>2722.15</v>
      </c>
      <c r="T746" s="157"/>
      <c r="U746" s="177"/>
      <c r="V746" s="157"/>
      <c r="W746" s="157"/>
      <c r="X746" s="176">
        <f t="shared" si="34"/>
        <v>0</v>
      </c>
      <c r="Y746" s="184"/>
      <c r="Z746" s="179"/>
      <c r="AA746" s="157"/>
      <c r="AB746" s="157"/>
      <c r="AC746" s="157"/>
    </row>
    <row r="747" spans="1:29" ht="12" customHeight="1" outlineLevel="1">
      <c r="A747" s="170" t="s">
        <v>302</v>
      </c>
      <c r="B747" s="157" t="s">
        <v>303</v>
      </c>
      <c r="C747" s="171">
        <v>42926</v>
      </c>
      <c r="D747" s="178"/>
      <c r="E747" s="157" t="s">
        <v>905</v>
      </c>
      <c r="F747" s="223" t="s">
        <v>305</v>
      </c>
      <c r="G747" s="223"/>
      <c r="H747" s="224" t="s">
        <v>306</v>
      </c>
      <c r="I747" s="157"/>
      <c r="J747" s="172"/>
      <c r="K747" s="157"/>
      <c r="L747" s="223" t="s">
        <v>296</v>
      </c>
      <c r="M747" s="173"/>
      <c r="N747" s="173"/>
      <c r="O747" s="157" t="s">
        <v>307</v>
      </c>
      <c r="P747" s="158"/>
      <c r="Q747" s="185"/>
      <c r="R747" s="175"/>
      <c r="S747" s="174">
        <f t="shared" si="33"/>
        <v>0</v>
      </c>
      <c r="T747" s="157"/>
      <c r="U747" s="177">
        <v>-109.03</v>
      </c>
      <c r="V747" s="157"/>
      <c r="W747" s="157"/>
      <c r="X747" s="176">
        <f t="shared" si="34"/>
        <v>-109.03</v>
      </c>
      <c r="Y747" s="184"/>
      <c r="Z747" s="179"/>
      <c r="AA747" s="157"/>
      <c r="AB747" s="157"/>
      <c r="AC747" s="157"/>
    </row>
    <row r="748" spans="1:29" ht="12" customHeight="1" outlineLevel="1">
      <c r="A748" s="170" t="s">
        <v>302</v>
      </c>
      <c r="B748" s="157" t="s">
        <v>303</v>
      </c>
      <c r="C748" s="171">
        <v>42926</v>
      </c>
      <c r="D748" s="178"/>
      <c r="E748" s="157" t="s">
        <v>906</v>
      </c>
      <c r="F748" s="223" t="s">
        <v>305</v>
      </c>
      <c r="G748" s="223"/>
      <c r="H748" s="224" t="s">
        <v>306</v>
      </c>
      <c r="I748" s="157"/>
      <c r="J748" s="172"/>
      <c r="K748" s="157"/>
      <c r="L748" s="223" t="s">
        <v>296</v>
      </c>
      <c r="M748" s="173"/>
      <c r="N748" s="173"/>
      <c r="O748" s="157" t="s">
        <v>307</v>
      </c>
      <c r="P748" s="158"/>
      <c r="Q748" s="185"/>
      <c r="R748" s="175"/>
      <c r="S748" s="174">
        <f t="shared" si="33"/>
        <v>0</v>
      </c>
      <c r="T748" s="157"/>
      <c r="U748" s="177">
        <v>-143.62</v>
      </c>
      <c r="V748" s="157"/>
      <c r="W748" s="157"/>
      <c r="X748" s="176">
        <f t="shared" si="34"/>
        <v>-143.62</v>
      </c>
      <c r="Y748" s="184"/>
      <c r="Z748" s="179"/>
      <c r="AA748" s="157"/>
      <c r="AB748" s="157"/>
      <c r="AC748" s="157"/>
    </row>
    <row r="749" spans="1:29" ht="12" customHeight="1" outlineLevel="1">
      <c r="A749" s="170" t="s">
        <v>302</v>
      </c>
      <c r="B749" s="157" t="s">
        <v>303</v>
      </c>
      <c r="C749" s="171">
        <v>42926</v>
      </c>
      <c r="D749" s="178"/>
      <c r="E749" s="157" t="s">
        <v>907</v>
      </c>
      <c r="F749" s="223" t="s">
        <v>305</v>
      </c>
      <c r="G749" s="223"/>
      <c r="H749" s="224" t="s">
        <v>306</v>
      </c>
      <c r="I749" s="157"/>
      <c r="J749" s="172"/>
      <c r="K749" s="157"/>
      <c r="L749" s="223" t="s">
        <v>296</v>
      </c>
      <c r="M749" s="173"/>
      <c r="N749" s="173"/>
      <c r="O749" s="157" t="s">
        <v>307</v>
      </c>
      <c r="P749" s="158">
        <v>60.98</v>
      </c>
      <c r="Q749" s="185"/>
      <c r="R749" s="175"/>
      <c r="S749" s="174">
        <f t="shared" si="33"/>
        <v>60.98</v>
      </c>
      <c r="T749" s="157"/>
      <c r="U749" s="177"/>
      <c r="V749" s="157"/>
      <c r="W749" s="157"/>
      <c r="X749" s="176">
        <f t="shared" si="34"/>
        <v>0</v>
      </c>
      <c r="Y749" s="184"/>
      <c r="Z749" s="179"/>
      <c r="AA749" s="157"/>
      <c r="AB749" s="157"/>
      <c r="AC749" s="157"/>
    </row>
    <row r="750" spans="1:29" ht="12" customHeight="1" outlineLevel="1">
      <c r="A750" s="170" t="s">
        <v>302</v>
      </c>
      <c r="B750" s="157" t="s">
        <v>303</v>
      </c>
      <c r="C750" s="171">
        <v>42927</v>
      </c>
      <c r="D750" s="178"/>
      <c r="E750" s="157" t="s">
        <v>908</v>
      </c>
      <c r="F750" s="223" t="s">
        <v>305</v>
      </c>
      <c r="G750" s="223"/>
      <c r="H750" s="224" t="s">
        <v>306</v>
      </c>
      <c r="I750" s="157"/>
      <c r="J750" s="172"/>
      <c r="K750" s="157"/>
      <c r="L750" s="223" t="s">
        <v>296</v>
      </c>
      <c r="M750" s="173"/>
      <c r="N750" s="173"/>
      <c r="O750" s="157" t="s">
        <v>307</v>
      </c>
      <c r="P750" s="158"/>
      <c r="Q750" s="185"/>
      <c r="R750" s="175"/>
      <c r="S750" s="174">
        <f t="shared" si="33"/>
        <v>0</v>
      </c>
      <c r="T750" s="157"/>
      <c r="U750" s="177">
        <v>-53.94</v>
      </c>
      <c r="V750" s="157"/>
      <c r="W750" s="157"/>
      <c r="X750" s="176">
        <f t="shared" si="34"/>
        <v>-53.94</v>
      </c>
      <c r="Y750" s="184"/>
      <c r="Z750" s="179"/>
      <c r="AA750" s="157"/>
      <c r="AB750" s="157"/>
      <c r="AC750" s="157"/>
    </row>
    <row r="751" spans="1:29" ht="12" customHeight="1" outlineLevel="1">
      <c r="A751" s="170" t="s">
        <v>302</v>
      </c>
      <c r="B751" s="157" t="s">
        <v>303</v>
      </c>
      <c r="C751" s="171">
        <v>42927</v>
      </c>
      <c r="D751" s="178"/>
      <c r="E751" s="157" t="s">
        <v>909</v>
      </c>
      <c r="F751" s="223" t="s">
        <v>305</v>
      </c>
      <c r="G751" s="223"/>
      <c r="H751" s="224" t="s">
        <v>306</v>
      </c>
      <c r="I751" s="157"/>
      <c r="J751" s="172"/>
      <c r="K751" s="157"/>
      <c r="L751" s="223" t="s">
        <v>296</v>
      </c>
      <c r="M751" s="173"/>
      <c r="N751" s="173"/>
      <c r="O751" s="157" t="s">
        <v>307</v>
      </c>
      <c r="P751" s="158"/>
      <c r="Q751" s="185"/>
      <c r="R751" s="175"/>
      <c r="S751" s="174">
        <f t="shared" si="33"/>
        <v>0</v>
      </c>
      <c r="T751" s="157"/>
      <c r="U751" s="177">
        <v>-24.35</v>
      </c>
      <c r="V751" s="157"/>
      <c r="W751" s="157"/>
      <c r="X751" s="176">
        <f t="shared" si="34"/>
        <v>-24.35</v>
      </c>
      <c r="Y751" s="184"/>
      <c r="Z751" s="179"/>
      <c r="AA751" s="157"/>
      <c r="AB751" s="157"/>
      <c r="AC751" s="157"/>
    </row>
    <row r="752" spans="1:29" ht="12" customHeight="1" outlineLevel="1">
      <c r="A752" s="170" t="s">
        <v>302</v>
      </c>
      <c r="B752" s="157" t="s">
        <v>303</v>
      </c>
      <c r="C752" s="171">
        <v>42928</v>
      </c>
      <c r="D752" s="178"/>
      <c r="E752" s="157" t="s">
        <v>910</v>
      </c>
      <c r="F752" s="223" t="s">
        <v>305</v>
      </c>
      <c r="G752" s="223"/>
      <c r="H752" s="224" t="s">
        <v>306</v>
      </c>
      <c r="I752" s="157"/>
      <c r="J752" s="172"/>
      <c r="K752" s="157"/>
      <c r="L752" s="223" t="s">
        <v>296</v>
      </c>
      <c r="M752" s="173"/>
      <c r="N752" s="173"/>
      <c r="O752" s="157" t="s">
        <v>307</v>
      </c>
      <c r="P752" s="158"/>
      <c r="Q752" s="185"/>
      <c r="R752" s="175"/>
      <c r="S752" s="174">
        <f t="shared" si="33"/>
        <v>0</v>
      </c>
      <c r="T752" s="157"/>
      <c r="U752" s="177">
        <v>-61.11</v>
      </c>
      <c r="V752" s="157"/>
      <c r="W752" s="157"/>
      <c r="X752" s="176">
        <f t="shared" si="34"/>
        <v>-61.11</v>
      </c>
      <c r="Y752" s="184"/>
      <c r="Z752" s="179"/>
      <c r="AA752" s="157"/>
      <c r="AB752" s="157"/>
      <c r="AC752" s="157"/>
    </row>
    <row r="753" spans="1:29" ht="12" customHeight="1" outlineLevel="1">
      <c r="A753" s="170" t="s">
        <v>302</v>
      </c>
      <c r="B753" s="157" t="s">
        <v>303</v>
      </c>
      <c r="C753" s="171">
        <v>42935</v>
      </c>
      <c r="D753" s="178"/>
      <c r="E753" s="157" t="s">
        <v>911</v>
      </c>
      <c r="F753" s="223" t="s">
        <v>305</v>
      </c>
      <c r="G753" s="223"/>
      <c r="H753" s="224" t="s">
        <v>306</v>
      </c>
      <c r="I753" s="157" t="s">
        <v>1009</v>
      </c>
      <c r="J753" s="157" t="s">
        <v>1009</v>
      </c>
      <c r="K753" s="157" t="s">
        <v>1009</v>
      </c>
      <c r="L753" s="223" t="s">
        <v>296</v>
      </c>
      <c r="M753" s="173"/>
      <c r="N753" s="173"/>
      <c r="O753" s="157" t="s">
        <v>271</v>
      </c>
      <c r="P753" s="158">
        <v>1258.1600000000001</v>
      </c>
      <c r="Q753" s="185"/>
      <c r="R753" s="175"/>
      <c r="S753" s="174">
        <f t="shared" si="33"/>
        <v>1258.1600000000001</v>
      </c>
      <c r="T753" s="157"/>
      <c r="U753" s="177"/>
      <c r="V753" s="157"/>
      <c r="W753" s="157"/>
      <c r="X753" s="176">
        <f t="shared" si="34"/>
        <v>0</v>
      </c>
      <c r="Y753" s="184"/>
      <c r="Z753" s="179"/>
      <c r="AA753" s="157"/>
      <c r="AB753" s="157"/>
      <c r="AC753" s="157"/>
    </row>
    <row r="754" spans="1:29" ht="12" customHeight="1" outlineLevel="1">
      <c r="A754" s="170" t="s">
        <v>302</v>
      </c>
      <c r="B754" s="157" t="s">
        <v>303</v>
      </c>
      <c r="C754" s="171">
        <v>42935</v>
      </c>
      <c r="D754" s="178"/>
      <c r="E754" s="157" t="s">
        <v>912</v>
      </c>
      <c r="F754" s="223" t="s">
        <v>305</v>
      </c>
      <c r="G754" s="223"/>
      <c r="H754" s="224" t="s">
        <v>306</v>
      </c>
      <c r="I754" s="157" t="s">
        <v>1009</v>
      </c>
      <c r="J754" s="157" t="s">
        <v>1009</v>
      </c>
      <c r="K754" s="157" t="s">
        <v>1009</v>
      </c>
      <c r="L754" s="223" t="s">
        <v>296</v>
      </c>
      <c r="M754" s="173"/>
      <c r="N754" s="173"/>
      <c r="O754" s="157" t="s">
        <v>271</v>
      </c>
      <c r="P754" s="158">
        <v>248.91</v>
      </c>
      <c r="Q754" s="185"/>
      <c r="R754" s="175"/>
      <c r="S754" s="174">
        <f t="shared" si="33"/>
        <v>248.91</v>
      </c>
      <c r="T754" s="157"/>
      <c r="U754" s="177"/>
      <c r="V754" s="157"/>
      <c r="W754" s="157"/>
      <c r="X754" s="176">
        <f t="shared" si="34"/>
        <v>0</v>
      </c>
      <c r="Y754" s="184"/>
      <c r="Z754" s="179"/>
      <c r="AA754" s="157"/>
      <c r="AB754" s="157"/>
      <c r="AC754" s="157"/>
    </row>
    <row r="755" spans="1:29" ht="12" customHeight="1" outlineLevel="1">
      <c r="A755" s="170" t="s">
        <v>302</v>
      </c>
      <c r="B755" s="157" t="s">
        <v>303</v>
      </c>
      <c r="C755" s="171">
        <v>42928</v>
      </c>
      <c r="D755" s="178"/>
      <c r="E755" s="157" t="s">
        <v>913</v>
      </c>
      <c r="F755" s="223" t="s">
        <v>305</v>
      </c>
      <c r="G755" s="223"/>
      <c r="H755" s="224" t="s">
        <v>306</v>
      </c>
      <c r="I755" s="157"/>
      <c r="J755" s="172"/>
      <c r="K755" s="157"/>
      <c r="L755" s="223" t="s">
        <v>296</v>
      </c>
      <c r="M755" s="173"/>
      <c r="N755" s="173"/>
      <c r="O755" s="157" t="s">
        <v>307</v>
      </c>
      <c r="P755" s="158"/>
      <c r="Q755" s="185"/>
      <c r="R755" s="175"/>
      <c r="S755" s="174">
        <f t="shared" si="33"/>
        <v>0</v>
      </c>
      <c r="T755" s="157"/>
      <c r="U755" s="177">
        <v>-22.35</v>
      </c>
      <c r="V755" s="157"/>
      <c r="W755" s="157"/>
      <c r="X755" s="176">
        <f t="shared" si="34"/>
        <v>-22.35</v>
      </c>
      <c r="Y755" s="184"/>
      <c r="Z755" s="179"/>
      <c r="AA755" s="157"/>
      <c r="AB755" s="157"/>
      <c r="AC755" s="157"/>
    </row>
    <row r="756" spans="1:29" ht="12" customHeight="1" outlineLevel="1">
      <c r="A756" s="170" t="s">
        <v>302</v>
      </c>
      <c r="B756" s="157" t="s">
        <v>303</v>
      </c>
      <c r="C756" s="171">
        <v>42929</v>
      </c>
      <c r="D756" s="178"/>
      <c r="E756" s="157" t="s">
        <v>914</v>
      </c>
      <c r="F756" s="223" t="s">
        <v>305</v>
      </c>
      <c r="G756" s="223"/>
      <c r="H756" s="224" t="s">
        <v>306</v>
      </c>
      <c r="I756" s="157"/>
      <c r="J756" s="172"/>
      <c r="K756" s="157"/>
      <c r="L756" s="223" t="s">
        <v>296</v>
      </c>
      <c r="M756" s="173"/>
      <c r="N756" s="173"/>
      <c r="O756" s="157" t="s">
        <v>307</v>
      </c>
      <c r="P756" s="158"/>
      <c r="Q756" s="185"/>
      <c r="R756" s="175"/>
      <c r="S756" s="174">
        <f t="shared" si="33"/>
        <v>0</v>
      </c>
      <c r="T756" s="157"/>
      <c r="U756" s="177">
        <v>-143.58000000000001</v>
      </c>
      <c r="V756" s="157"/>
      <c r="W756" s="157"/>
      <c r="X756" s="176">
        <f t="shared" si="34"/>
        <v>-143.58000000000001</v>
      </c>
      <c r="Y756" s="184"/>
      <c r="Z756" s="179"/>
      <c r="AA756" s="157"/>
      <c r="AB756" s="157"/>
      <c r="AC756" s="157"/>
    </row>
    <row r="757" spans="1:29" ht="12" customHeight="1" outlineLevel="1">
      <c r="A757" s="170" t="s">
        <v>302</v>
      </c>
      <c r="B757" s="157" t="s">
        <v>303</v>
      </c>
      <c r="C757" s="171">
        <v>42929</v>
      </c>
      <c r="D757" s="178"/>
      <c r="E757" s="157" t="s">
        <v>304</v>
      </c>
      <c r="F757" s="223" t="s">
        <v>305</v>
      </c>
      <c r="G757" s="223"/>
      <c r="H757" s="224" t="s">
        <v>306</v>
      </c>
      <c r="I757" s="157"/>
      <c r="J757" s="172"/>
      <c r="K757" s="157"/>
      <c r="L757" s="223" t="s">
        <v>296</v>
      </c>
      <c r="M757" s="173"/>
      <c r="N757" s="173"/>
      <c r="O757" s="157" t="s">
        <v>307</v>
      </c>
      <c r="P757" s="158"/>
      <c r="Q757" s="185"/>
      <c r="R757" s="175"/>
      <c r="S757" s="174">
        <f t="shared" si="33"/>
        <v>0</v>
      </c>
      <c r="T757" s="157"/>
      <c r="U757" s="177">
        <v>-2804.39</v>
      </c>
      <c r="V757" s="157"/>
      <c r="W757" s="157"/>
      <c r="X757" s="176">
        <f t="shared" si="34"/>
        <v>-2804.39</v>
      </c>
      <c r="Y757" s="184"/>
      <c r="Z757" s="179"/>
      <c r="AA757" s="157"/>
      <c r="AB757" s="157"/>
      <c r="AC757" s="157"/>
    </row>
    <row r="758" spans="1:29" ht="12" customHeight="1" outlineLevel="1">
      <c r="A758" s="170" t="s">
        <v>302</v>
      </c>
      <c r="B758" s="157" t="s">
        <v>303</v>
      </c>
      <c r="C758" s="171">
        <v>42934</v>
      </c>
      <c r="D758" s="178"/>
      <c r="E758" s="157" t="s">
        <v>915</v>
      </c>
      <c r="F758" s="223" t="s">
        <v>305</v>
      </c>
      <c r="G758" s="223"/>
      <c r="H758" s="224" t="s">
        <v>306</v>
      </c>
      <c r="I758" s="157" t="s">
        <v>1009</v>
      </c>
      <c r="J758" s="157" t="s">
        <v>1009</v>
      </c>
      <c r="K758" s="157" t="s">
        <v>1009</v>
      </c>
      <c r="L758" s="223" t="s">
        <v>296</v>
      </c>
      <c r="M758" s="173"/>
      <c r="N758" s="173"/>
      <c r="O758" s="157" t="s">
        <v>271</v>
      </c>
      <c r="P758" s="158">
        <v>492.48</v>
      </c>
      <c r="Q758" s="185"/>
      <c r="R758" s="175"/>
      <c r="S758" s="174">
        <f t="shared" si="33"/>
        <v>492.48</v>
      </c>
      <c r="T758" s="157"/>
      <c r="U758" s="177"/>
      <c r="V758" s="157"/>
      <c r="W758" s="157"/>
      <c r="X758" s="176">
        <f t="shared" si="34"/>
        <v>0</v>
      </c>
      <c r="Y758" s="184"/>
      <c r="Z758" s="179"/>
      <c r="AA758" s="157"/>
      <c r="AB758" s="157"/>
      <c r="AC758" s="157"/>
    </row>
    <row r="759" spans="1:29" ht="12" customHeight="1" outlineLevel="1">
      <c r="A759" s="170" t="s">
        <v>302</v>
      </c>
      <c r="B759" s="157" t="s">
        <v>303</v>
      </c>
      <c r="C759" s="171">
        <v>42929</v>
      </c>
      <c r="D759" s="178"/>
      <c r="E759" s="157" t="s">
        <v>304</v>
      </c>
      <c r="F759" s="223" t="s">
        <v>305</v>
      </c>
      <c r="G759" s="223"/>
      <c r="H759" s="224" t="s">
        <v>306</v>
      </c>
      <c r="I759" s="157"/>
      <c r="J759" s="172"/>
      <c r="K759" s="157"/>
      <c r="L759" s="223" t="s">
        <v>296</v>
      </c>
      <c r="M759" s="173"/>
      <c r="N759" s="173"/>
      <c r="O759" s="157" t="s">
        <v>307</v>
      </c>
      <c r="P759" s="158"/>
      <c r="Q759" s="185"/>
      <c r="R759" s="175"/>
      <c r="S759" s="174">
        <f t="shared" si="33"/>
        <v>0</v>
      </c>
      <c r="T759" s="157"/>
      <c r="U759" s="177">
        <v>-760</v>
      </c>
      <c r="V759" s="157"/>
      <c r="W759" s="157"/>
      <c r="X759" s="176">
        <f t="shared" si="34"/>
        <v>-760</v>
      </c>
      <c r="Y759" s="184"/>
      <c r="Z759" s="179"/>
      <c r="AA759" s="157"/>
      <c r="AB759" s="157"/>
      <c r="AC759" s="157"/>
    </row>
    <row r="760" spans="1:29" ht="12" customHeight="1" outlineLevel="1">
      <c r="A760" s="170" t="s">
        <v>302</v>
      </c>
      <c r="B760" s="157" t="s">
        <v>303</v>
      </c>
      <c r="C760" s="171">
        <v>42933</v>
      </c>
      <c r="D760" s="178"/>
      <c r="E760" s="157" t="s">
        <v>916</v>
      </c>
      <c r="F760" s="223" t="s">
        <v>305</v>
      </c>
      <c r="G760" s="223"/>
      <c r="H760" s="224" t="s">
        <v>306</v>
      </c>
      <c r="I760" s="157"/>
      <c r="J760" s="172"/>
      <c r="K760" s="157"/>
      <c r="L760" s="223" t="s">
        <v>296</v>
      </c>
      <c r="M760" s="173"/>
      <c r="N760" s="173"/>
      <c r="O760" s="157" t="s">
        <v>307</v>
      </c>
      <c r="P760" s="158"/>
      <c r="Q760" s="185"/>
      <c r="R760" s="175"/>
      <c r="S760" s="174">
        <f t="shared" si="33"/>
        <v>0</v>
      </c>
      <c r="T760" s="157"/>
      <c r="U760" s="177">
        <v>-20.25</v>
      </c>
      <c r="V760" s="157"/>
      <c r="W760" s="157"/>
      <c r="X760" s="176">
        <f t="shared" si="34"/>
        <v>-20.25</v>
      </c>
      <c r="Y760" s="184"/>
      <c r="Z760" s="179"/>
      <c r="AA760" s="157"/>
      <c r="AB760" s="157"/>
      <c r="AC760" s="157"/>
    </row>
    <row r="761" spans="1:29" ht="12" customHeight="1" outlineLevel="1">
      <c r="A761" s="170" t="s">
        <v>302</v>
      </c>
      <c r="B761" s="157" t="s">
        <v>303</v>
      </c>
      <c r="C761" s="171">
        <v>42933</v>
      </c>
      <c r="D761" s="178"/>
      <c r="E761" s="157" t="s">
        <v>917</v>
      </c>
      <c r="F761" s="223" t="s">
        <v>305</v>
      </c>
      <c r="G761" s="223"/>
      <c r="H761" s="224" t="s">
        <v>306</v>
      </c>
      <c r="I761" s="157"/>
      <c r="J761" s="172"/>
      <c r="K761" s="157"/>
      <c r="L761" s="223" t="s">
        <v>296</v>
      </c>
      <c r="M761" s="173"/>
      <c r="N761" s="173"/>
      <c r="O761" s="157" t="s">
        <v>307</v>
      </c>
      <c r="P761" s="158"/>
      <c r="Q761" s="185"/>
      <c r="R761" s="175"/>
      <c r="S761" s="174">
        <f t="shared" si="33"/>
        <v>0</v>
      </c>
      <c r="T761" s="157"/>
      <c r="U761" s="177">
        <v>-10.84</v>
      </c>
      <c r="V761" s="157"/>
      <c r="W761" s="157"/>
      <c r="X761" s="176">
        <f t="shared" si="34"/>
        <v>-10.84</v>
      </c>
      <c r="Y761" s="184"/>
      <c r="Z761" s="179"/>
      <c r="AA761" s="157"/>
      <c r="AB761" s="157"/>
      <c r="AC761" s="157"/>
    </row>
    <row r="762" spans="1:29" ht="12" customHeight="1" outlineLevel="1">
      <c r="A762" s="170" t="s">
        <v>302</v>
      </c>
      <c r="B762" s="157" t="s">
        <v>303</v>
      </c>
      <c r="C762" s="171">
        <v>42933</v>
      </c>
      <c r="D762" s="178"/>
      <c r="E762" s="157" t="s">
        <v>918</v>
      </c>
      <c r="F762" s="223" t="s">
        <v>305</v>
      </c>
      <c r="G762" s="223"/>
      <c r="H762" s="224" t="s">
        <v>306</v>
      </c>
      <c r="I762" s="157"/>
      <c r="J762" s="172"/>
      <c r="K762" s="157"/>
      <c r="L762" s="223" t="s">
        <v>296</v>
      </c>
      <c r="M762" s="173"/>
      <c r="N762" s="173"/>
      <c r="O762" s="157" t="s">
        <v>307</v>
      </c>
      <c r="P762" s="158"/>
      <c r="Q762" s="185"/>
      <c r="R762" s="175"/>
      <c r="S762" s="174">
        <f t="shared" si="33"/>
        <v>0</v>
      </c>
      <c r="T762" s="157"/>
      <c r="U762" s="177">
        <v>-100.32</v>
      </c>
      <c r="V762" s="157"/>
      <c r="W762" s="157"/>
      <c r="X762" s="176">
        <f t="shared" si="34"/>
        <v>-100.32</v>
      </c>
      <c r="Y762" s="184"/>
      <c r="Z762" s="179"/>
      <c r="AA762" s="157"/>
      <c r="AB762" s="157"/>
      <c r="AC762" s="157"/>
    </row>
    <row r="763" spans="1:29" ht="12" customHeight="1" outlineLevel="1">
      <c r="A763" s="170" t="s">
        <v>302</v>
      </c>
      <c r="B763" s="157" t="s">
        <v>303</v>
      </c>
      <c r="C763" s="171">
        <v>42933</v>
      </c>
      <c r="D763" s="178"/>
      <c r="E763" s="157" t="s">
        <v>304</v>
      </c>
      <c r="F763" s="223" t="s">
        <v>305</v>
      </c>
      <c r="G763" s="223"/>
      <c r="H763" s="224" t="s">
        <v>306</v>
      </c>
      <c r="I763" s="157"/>
      <c r="J763" s="172"/>
      <c r="K763" s="157"/>
      <c r="L763" s="223" t="s">
        <v>296</v>
      </c>
      <c r="M763" s="173"/>
      <c r="N763" s="173"/>
      <c r="O763" s="157" t="s">
        <v>308</v>
      </c>
      <c r="P763" s="158"/>
      <c r="Q763" s="185"/>
      <c r="R763" s="175"/>
      <c r="S763" s="174">
        <f t="shared" si="33"/>
        <v>0</v>
      </c>
      <c r="T763" s="157"/>
      <c r="U763" s="177">
        <v>-807.2</v>
      </c>
      <c r="V763" s="157"/>
      <c r="W763" s="157"/>
      <c r="X763" s="176">
        <f t="shared" si="34"/>
        <v>-807.2</v>
      </c>
      <c r="Y763" s="184"/>
      <c r="Z763" s="179"/>
      <c r="AA763" s="157"/>
      <c r="AB763" s="157"/>
      <c r="AC763" s="157"/>
    </row>
    <row r="764" spans="1:29" ht="12" customHeight="1" outlineLevel="1">
      <c r="A764" s="170" t="s">
        <v>302</v>
      </c>
      <c r="B764" s="157" t="s">
        <v>303</v>
      </c>
      <c r="C764" s="171">
        <v>42933</v>
      </c>
      <c r="D764" s="178"/>
      <c r="E764" s="157" t="s">
        <v>919</v>
      </c>
      <c r="F764" s="223" t="s">
        <v>305</v>
      </c>
      <c r="G764" s="223"/>
      <c r="H764" s="224" t="s">
        <v>306</v>
      </c>
      <c r="I764" s="157"/>
      <c r="J764" s="172"/>
      <c r="K764" s="157"/>
      <c r="L764" s="223" t="s">
        <v>296</v>
      </c>
      <c r="M764" s="173"/>
      <c r="N764" s="173"/>
      <c r="O764" s="157" t="s">
        <v>307</v>
      </c>
      <c r="P764" s="158"/>
      <c r="Q764" s="185"/>
      <c r="R764" s="175"/>
      <c r="S764" s="174">
        <f t="shared" si="33"/>
        <v>0</v>
      </c>
      <c r="T764" s="157"/>
      <c r="U764" s="177">
        <v>-153.84</v>
      </c>
      <c r="V764" s="157"/>
      <c r="W764" s="157"/>
      <c r="X764" s="176">
        <f t="shared" si="34"/>
        <v>-153.84</v>
      </c>
      <c r="Y764" s="184"/>
      <c r="Z764" s="179"/>
      <c r="AA764" s="157"/>
      <c r="AB764" s="157"/>
      <c r="AC764" s="157"/>
    </row>
    <row r="765" spans="1:29" ht="12" customHeight="1" outlineLevel="1">
      <c r="A765" s="170" t="s">
        <v>302</v>
      </c>
      <c r="B765" s="157" t="s">
        <v>303</v>
      </c>
      <c r="C765" s="171">
        <v>42933</v>
      </c>
      <c r="D765" s="178"/>
      <c r="E765" s="157" t="s">
        <v>920</v>
      </c>
      <c r="F765" s="223" t="s">
        <v>305</v>
      </c>
      <c r="G765" s="223"/>
      <c r="H765" s="224" t="s">
        <v>306</v>
      </c>
      <c r="I765" s="157"/>
      <c r="J765" s="172"/>
      <c r="K765" s="157"/>
      <c r="L765" s="223" t="s">
        <v>296</v>
      </c>
      <c r="M765" s="173"/>
      <c r="N765" s="173"/>
      <c r="O765" s="157" t="s">
        <v>307</v>
      </c>
      <c r="P765" s="158"/>
      <c r="Q765" s="185"/>
      <c r="R765" s="175"/>
      <c r="S765" s="174">
        <f t="shared" si="33"/>
        <v>0</v>
      </c>
      <c r="T765" s="157"/>
      <c r="U765" s="177">
        <v>-38.36</v>
      </c>
      <c r="V765" s="157"/>
      <c r="W765" s="157"/>
      <c r="X765" s="176">
        <f t="shared" si="34"/>
        <v>-38.36</v>
      </c>
      <c r="Y765" s="184"/>
      <c r="Z765" s="179"/>
      <c r="AA765" s="157"/>
      <c r="AB765" s="157"/>
      <c r="AC765" s="157"/>
    </row>
    <row r="766" spans="1:29" ht="12" customHeight="1" outlineLevel="1">
      <c r="A766" s="170" t="s">
        <v>302</v>
      </c>
      <c r="B766" s="157" t="s">
        <v>303</v>
      </c>
      <c r="C766" s="171">
        <v>42933</v>
      </c>
      <c r="D766" s="178"/>
      <c r="E766" s="157" t="s">
        <v>921</v>
      </c>
      <c r="F766" s="223" t="s">
        <v>305</v>
      </c>
      <c r="G766" s="223"/>
      <c r="H766" s="224" t="s">
        <v>306</v>
      </c>
      <c r="I766" s="157"/>
      <c r="J766" s="172"/>
      <c r="K766" s="157"/>
      <c r="L766" s="223" t="s">
        <v>296</v>
      </c>
      <c r="M766" s="173"/>
      <c r="N766" s="173"/>
      <c r="O766" s="157" t="s">
        <v>307</v>
      </c>
      <c r="P766" s="158"/>
      <c r="Q766" s="185"/>
      <c r="R766" s="175"/>
      <c r="S766" s="174">
        <f t="shared" si="33"/>
        <v>0</v>
      </c>
      <c r="T766" s="157"/>
      <c r="U766" s="177">
        <v>-21.83</v>
      </c>
      <c r="V766" s="157"/>
      <c r="W766" s="157"/>
      <c r="X766" s="176">
        <f t="shared" si="34"/>
        <v>-21.83</v>
      </c>
      <c r="Y766" s="184"/>
      <c r="Z766" s="179"/>
      <c r="AA766" s="157"/>
      <c r="AB766" s="157"/>
      <c r="AC766" s="157"/>
    </row>
    <row r="767" spans="1:29" ht="12" customHeight="1" outlineLevel="1">
      <c r="A767" s="170" t="s">
        <v>302</v>
      </c>
      <c r="B767" s="157" t="s">
        <v>303</v>
      </c>
      <c r="C767" s="171">
        <v>42933</v>
      </c>
      <c r="D767" s="178"/>
      <c r="E767" s="157" t="s">
        <v>922</v>
      </c>
      <c r="F767" s="223" t="s">
        <v>305</v>
      </c>
      <c r="G767" s="223"/>
      <c r="H767" s="224" t="s">
        <v>306</v>
      </c>
      <c r="I767" s="157"/>
      <c r="J767" s="172"/>
      <c r="K767" s="157"/>
      <c r="L767" s="223" t="s">
        <v>296</v>
      </c>
      <c r="M767" s="173"/>
      <c r="N767" s="173"/>
      <c r="O767" s="157" t="s">
        <v>307</v>
      </c>
      <c r="P767" s="158"/>
      <c r="Q767" s="185"/>
      <c r="R767" s="175"/>
      <c r="S767" s="174">
        <f t="shared" si="33"/>
        <v>0</v>
      </c>
      <c r="T767" s="157"/>
      <c r="U767" s="177">
        <v>-385.83</v>
      </c>
      <c r="V767" s="157"/>
      <c r="W767" s="157"/>
      <c r="X767" s="176">
        <f t="shared" si="34"/>
        <v>-385.83</v>
      </c>
      <c r="Y767" s="184"/>
      <c r="Z767" s="179"/>
      <c r="AA767" s="157"/>
      <c r="AB767" s="157"/>
      <c r="AC767" s="157"/>
    </row>
    <row r="768" spans="1:29" ht="12" customHeight="1" outlineLevel="1">
      <c r="A768" s="170" t="s">
        <v>302</v>
      </c>
      <c r="B768" s="157" t="s">
        <v>303</v>
      </c>
      <c r="C768" s="171">
        <v>42933</v>
      </c>
      <c r="D768" s="178"/>
      <c r="E768" s="157" t="s">
        <v>923</v>
      </c>
      <c r="F768" s="223" t="s">
        <v>305</v>
      </c>
      <c r="G768" s="223"/>
      <c r="H768" s="224" t="s">
        <v>306</v>
      </c>
      <c r="I768" s="157"/>
      <c r="J768" s="172"/>
      <c r="K768" s="157"/>
      <c r="L768" s="223" t="s">
        <v>296</v>
      </c>
      <c r="M768" s="173"/>
      <c r="N768" s="173"/>
      <c r="O768" s="157" t="s">
        <v>307</v>
      </c>
      <c r="P768" s="158"/>
      <c r="Q768" s="185"/>
      <c r="R768" s="175"/>
      <c r="S768" s="174">
        <f t="shared" si="33"/>
        <v>0</v>
      </c>
      <c r="T768" s="157"/>
      <c r="U768" s="177">
        <v>-10.87</v>
      </c>
      <c r="V768" s="157"/>
      <c r="W768" s="157"/>
      <c r="X768" s="176">
        <f t="shared" si="34"/>
        <v>-10.87</v>
      </c>
      <c r="Y768" s="184"/>
      <c r="Z768" s="179"/>
      <c r="AA768" s="157"/>
      <c r="AB768" s="157"/>
      <c r="AC768" s="157"/>
    </row>
    <row r="769" spans="1:29" ht="12" customHeight="1" outlineLevel="1">
      <c r="A769" s="170" t="s">
        <v>302</v>
      </c>
      <c r="B769" s="157" t="s">
        <v>303</v>
      </c>
      <c r="C769" s="171">
        <v>42933</v>
      </c>
      <c r="D769" s="178"/>
      <c r="E769" s="157" t="s">
        <v>924</v>
      </c>
      <c r="F769" s="223" t="s">
        <v>305</v>
      </c>
      <c r="G769" s="223"/>
      <c r="H769" s="224" t="s">
        <v>306</v>
      </c>
      <c r="I769" s="157" t="s">
        <v>1009</v>
      </c>
      <c r="J769" s="157" t="s">
        <v>1009</v>
      </c>
      <c r="K769" s="157" t="s">
        <v>1009</v>
      </c>
      <c r="L769" s="223" t="s">
        <v>296</v>
      </c>
      <c r="M769" s="173"/>
      <c r="N769" s="173"/>
      <c r="O769" s="157" t="s">
        <v>271</v>
      </c>
      <c r="P769" s="158">
        <v>1713.71</v>
      </c>
      <c r="Q769" s="185"/>
      <c r="R769" s="175"/>
      <c r="S769" s="174">
        <f t="shared" si="33"/>
        <v>1713.71</v>
      </c>
      <c r="T769" s="157"/>
      <c r="U769" s="177"/>
      <c r="V769" s="157"/>
      <c r="W769" s="157"/>
      <c r="X769" s="176">
        <f t="shared" si="34"/>
        <v>0</v>
      </c>
      <c r="Y769" s="184"/>
      <c r="Z769" s="179"/>
      <c r="AA769" s="157"/>
      <c r="AB769" s="157"/>
      <c r="AC769" s="157"/>
    </row>
    <row r="770" spans="1:29" ht="12" customHeight="1" outlineLevel="1">
      <c r="A770" s="170" t="s">
        <v>302</v>
      </c>
      <c r="B770" s="157" t="s">
        <v>303</v>
      </c>
      <c r="C770" s="171">
        <v>42933</v>
      </c>
      <c r="D770" s="178"/>
      <c r="E770" s="157" t="s">
        <v>925</v>
      </c>
      <c r="F770" s="223" t="s">
        <v>305</v>
      </c>
      <c r="G770" s="223"/>
      <c r="H770" s="224" t="s">
        <v>306</v>
      </c>
      <c r="I770" s="157" t="s">
        <v>1009</v>
      </c>
      <c r="J770" s="157" t="s">
        <v>1009</v>
      </c>
      <c r="K770" s="157" t="s">
        <v>1009</v>
      </c>
      <c r="L770" s="223" t="s">
        <v>296</v>
      </c>
      <c r="M770" s="173"/>
      <c r="N770" s="173"/>
      <c r="O770" s="157" t="s">
        <v>271</v>
      </c>
      <c r="P770" s="158">
        <v>1651.46</v>
      </c>
      <c r="Q770" s="185"/>
      <c r="R770" s="175"/>
      <c r="S770" s="174">
        <f t="shared" si="33"/>
        <v>1651.46</v>
      </c>
      <c r="T770" s="157"/>
      <c r="U770" s="177"/>
      <c r="V770" s="157"/>
      <c r="W770" s="157"/>
      <c r="X770" s="176">
        <f t="shared" si="34"/>
        <v>0</v>
      </c>
      <c r="Y770" s="184"/>
      <c r="Z770" s="179"/>
      <c r="AA770" s="157"/>
      <c r="AB770" s="157"/>
      <c r="AC770" s="157"/>
    </row>
    <row r="771" spans="1:29" ht="12" customHeight="1" outlineLevel="1">
      <c r="A771" s="170" t="s">
        <v>302</v>
      </c>
      <c r="B771" s="157" t="s">
        <v>303</v>
      </c>
      <c r="C771" s="171">
        <v>42933</v>
      </c>
      <c r="D771" s="178"/>
      <c r="E771" s="157" t="s">
        <v>926</v>
      </c>
      <c r="F771" s="223" t="s">
        <v>305</v>
      </c>
      <c r="G771" s="223"/>
      <c r="H771" s="224" t="s">
        <v>306</v>
      </c>
      <c r="I771" s="157" t="s">
        <v>1009</v>
      </c>
      <c r="J771" s="157" t="s">
        <v>1009</v>
      </c>
      <c r="K771" s="157" t="s">
        <v>1009</v>
      </c>
      <c r="L771" s="223" t="s">
        <v>296</v>
      </c>
      <c r="M771" s="173"/>
      <c r="N771" s="173"/>
      <c r="O771" s="157" t="s">
        <v>271</v>
      </c>
      <c r="P771" s="158">
        <v>1433.97</v>
      </c>
      <c r="Q771" s="185"/>
      <c r="R771" s="175"/>
      <c r="S771" s="174">
        <f t="shared" si="33"/>
        <v>1433.97</v>
      </c>
      <c r="T771" s="157"/>
      <c r="U771" s="177"/>
      <c r="V771" s="157"/>
      <c r="W771" s="157"/>
      <c r="X771" s="176">
        <f t="shared" si="34"/>
        <v>0</v>
      </c>
      <c r="Y771" s="184"/>
      <c r="Z771" s="179"/>
      <c r="AA771" s="157"/>
      <c r="AB771" s="157"/>
      <c r="AC771" s="157"/>
    </row>
    <row r="772" spans="1:29" ht="12" customHeight="1" outlineLevel="1">
      <c r="A772" s="170" t="s">
        <v>302</v>
      </c>
      <c r="B772" s="157" t="s">
        <v>303</v>
      </c>
      <c r="C772" s="171">
        <v>42930</v>
      </c>
      <c r="D772" s="178"/>
      <c r="E772" s="157" t="s">
        <v>927</v>
      </c>
      <c r="F772" s="223" t="s">
        <v>305</v>
      </c>
      <c r="G772" s="223"/>
      <c r="H772" s="224" t="s">
        <v>306</v>
      </c>
      <c r="I772" s="157" t="s">
        <v>1009</v>
      </c>
      <c r="J772" s="157" t="s">
        <v>1009</v>
      </c>
      <c r="K772" s="157" t="s">
        <v>1009</v>
      </c>
      <c r="L772" s="223" t="s">
        <v>296</v>
      </c>
      <c r="M772" s="173"/>
      <c r="N772" s="173"/>
      <c r="O772" s="157" t="s">
        <v>271</v>
      </c>
      <c r="P772" s="158">
        <v>1420.5</v>
      </c>
      <c r="Q772" s="185"/>
      <c r="R772" s="175"/>
      <c r="S772" s="174">
        <f t="shared" si="33"/>
        <v>1420.5</v>
      </c>
      <c r="T772" s="157"/>
      <c r="U772" s="177"/>
      <c r="V772" s="157"/>
      <c r="W772" s="157"/>
      <c r="X772" s="176">
        <f t="shared" si="34"/>
        <v>0</v>
      </c>
      <c r="Y772" s="184"/>
      <c r="Z772" s="179"/>
      <c r="AA772" s="157"/>
      <c r="AB772" s="157"/>
      <c r="AC772" s="157"/>
    </row>
    <row r="773" spans="1:29" ht="12" customHeight="1" outlineLevel="1">
      <c r="A773" s="170" t="s">
        <v>302</v>
      </c>
      <c r="B773" s="157" t="s">
        <v>303</v>
      </c>
      <c r="C773" s="171">
        <v>42933</v>
      </c>
      <c r="D773" s="178"/>
      <c r="E773" s="157" t="s">
        <v>928</v>
      </c>
      <c r="F773" s="223" t="s">
        <v>305</v>
      </c>
      <c r="G773" s="223"/>
      <c r="H773" s="224" t="s">
        <v>306</v>
      </c>
      <c r="I773" s="157"/>
      <c r="J773" s="172"/>
      <c r="K773" s="157"/>
      <c r="L773" s="223" t="s">
        <v>296</v>
      </c>
      <c r="M773" s="173"/>
      <c r="N773" s="173"/>
      <c r="O773" s="157" t="s">
        <v>307</v>
      </c>
      <c r="P773" s="158"/>
      <c r="Q773" s="185"/>
      <c r="R773" s="175"/>
      <c r="S773" s="174">
        <f t="shared" si="33"/>
        <v>0</v>
      </c>
      <c r="T773" s="157"/>
      <c r="U773" s="177">
        <v>-333.13</v>
      </c>
      <c r="V773" s="157"/>
      <c r="W773" s="157"/>
      <c r="X773" s="176">
        <f t="shared" si="34"/>
        <v>-333.13</v>
      </c>
      <c r="Y773" s="184"/>
      <c r="Z773" s="179"/>
      <c r="AA773" s="157"/>
      <c r="AB773" s="157"/>
      <c r="AC773" s="157"/>
    </row>
    <row r="774" spans="1:29" ht="12" customHeight="1" outlineLevel="1">
      <c r="A774" s="170" t="s">
        <v>302</v>
      </c>
      <c r="B774" s="157" t="s">
        <v>303</v>
      </c>
      <c r="C774" s="171">
        <v>42934</v>
      </c>
      <c r="D774" s="178"/>
      <c r="E774" s="157" t="s">
        <v>929</v>
      </c>
      <c r="F774" s="223" t="s">
        <v>305</v>
      </c>
      <c r="G774" s="223"/>
      <c r="H774" s="224" t="s">
        <v>306</v>
      </c>
      <c r="I774" s="157"/>
      <c r="J774" s="172"/>
      <c r="K774" s="157"/>
      <c r="L774" s="223" t="s">
        <v>296</v>
      </c>
      <c r="M774" s="173"/>
      <c r="N774" s="173"/>
      <c r="O774" s="157" t="s">
        <v>307</v>
      </c>
      <c r="P774" s="158"/>
      <c r="Q774" s="185"/>
      <c r="R774" s="175"/>
      <c r="S774" s="174">
        <f t="shared" si="33"/>
        <v>0</v>
      </c>
      <c r="T774" s="157"/>
      <c r="U774" s="177">
        <v>-154.99</v>
      </c>
      <c r="V774" s="157"/>
      <c r="W774" s="157"/>
      <c r="X774" s="176">
        <f t="shared" si="34"/>
        <v>-154.99</v>
      </c>
      <c r="Y774" s="184"/>
      <c r="Z774" s="179"/>
      <c r="AA774" s="157"/>
      <c r="AB774" s="157"/>
      <c r="AC774" s="157"/>
    </row>
    <row r="775" spans="1:29" ht="12" customHeight="1" outlineLevel="1">
      <c r="A775" s="170" t="s">
        <v>302</v>
      </c>
      <c r="B775" s="157" t="s">
        <v>303</v>
      </c>
      <c r="C775" s="171">
        <v>42934</v>
      </c>
      <c r="D775" s="178"/>
      <c r="E775" s="157" t="s">
        <v>930</v>
      </c>
      <c r="F775" s="223" t="s">
        <v>305</v>
      </c>
      <c r="G775" s="223"/>
      <c r="H775" s="224" t="s">
        <v>306</v>
      </c>
      <c r="I775" s="157"/>
      <c r="J775" s="172"/>
      <c r="K775" s="157"/>
      <c r="L775" s="223" t="s">
        <v>296</v>
      </c>
      <c r="M775" s="173"/>
      <c r="N775" s="173"/>
      <c r="O775" s="157" t="s">
        <v>307</v>
      </c>
      <c r="P775" s="158"/>
      <c r="Q775" s="185"/>
      <c r="R775" s="175"/>
      <c r="S775" s="174">
        <f t="shared" si="33"/>
        <v>0</v>
      </c>
      <c r="T775" s="157"/>
      <c r="U775" s="177">
        <v>-38.630000000000003</v>
      </c>
      <c r="V775" s="157"/>
      <c r="W775" s="157"/>
      <c r="X775" s="176">
        <f t="shared" si="34"/>
        <v>-38.630000000000003</v>
      </c>
      <c r="Y775" s="184"/>
      <c r="Z775" s="179"/>
      <c r="AA775" s="157"/>
      <c r="AB775" s="157"/>
      <c r="AC775" s="157"/>
    </row>
    <row r="776" spans="1:29" ht="12" customHeight="1" outlineLevel="1">
      <c r="A776" s="170" t="s">
        <v>302</v>
      </c>
      <c r="B776" s="157" t="s">
        <v>303</v>
      </c>
      <c r="C776" s="171">
        <v>42929</v>
      </c>
      <c r="D776" s="178"/>
      <c r="E776" s="157" t="s">
        <v>931</v>
      </c>
      <c r="F776" s="223" t="s">
        <v>305</v>
      </c>
      <c r="G776" s="223"/>
      <c r="H776" s="224" t="s">
        <v>306</v>
      </c>
      <c r="I776" s="157" t="s">
        <v>1009</v>
      </c>
      <c r="J776" s="157" t="s">
        <v>1009</v>
      </c>
      <c r="K776" s="157" t="s">
        <v>1009</v>
      </c>
      <c r="L776" s="223" t="s">
        <v>296</v>
      </c>
      <c r="M776" s="173"/>
      <c r="N776" s="173"/>
      <c r="O776" s="157" t="s">
        <v>271</v>
      </c>
      <c r="P776" s="158">
        <v>2422.58</v>
      </c>
      <c r="Q776" s="185"/>
      <c r="R776" s="175"/>
      <c r="S776" s="174">
        <f t="shared" si="33"/>
        <v>2422.58</v>
      </c>
      <c r="T776" s="157"/>
      <c r="U776" s="177"/>
      <c r="V776" s="157"/>
      <c r="W776" s="157"/>
      <c r="X776" s="176">
        <f t="shared" si="34"/>
        <v>0</v>
      </c>
      <c r="Y776" s="184"/>
      <c r="Z776" s="179"/>
      <c r="AA776" s="157"/>
      <c r="AB776" s="157"/>
      <c r="AC776" s="157"/>
    </row>
    <row r="777" spans="1:29" ht="12" customHeight="1" outlineLevel="1">
      <c r="A777" s="170" t="s">
        <v>302</v>
      </c>
      <c r="B777" s="157" t="s">
        <v>303</v>
      </c>
      <c r="C777" s="171">
        <v>42934</v>
      </c>
      <c r="D777" s="178"/>
      <c r="E777" s="157" t="s">
        <v>932</v>
      </c>
      <c r="F777" s="223" t="s">
        <v>305</v>
      </c>
      <c r="G777" s="223"/>
      <c r="H777" s="224" t="s">
        <v>306</v>
      </c>
      <c r="I777" s="157"/>
      <c r="J777" s="172"/>
      <c r="K777" s="157"/>
      <c r="L777" s="223" t="s">
        <v>296</v>
      </c>
      <c r="M777" s="173"/>
      <c r="N777" s="173"/>
      <c r="O777" s="157" t="s">
        <v>307</v>
      </c>
      <c r="P777" s="158"/>
      <c r="Q777" s="185"/>
      <c r="R777" s="175"/>
      <c r="S777" s="174">
        <f t="shared" si="33"/>
        <v>0</v>
      </c>
      <c r="T777" s="157"/>
      <c r="U777" s="177">
        <v>-116.85</v>
      </c>
      <c r="V777" s="157"/>
      <c r="W777" s="157"/>
      <c r="X777" s="176">
        <f t="shared" si="34"/>
        <v>-116.85</v>
      </c>
      <c r="Y777" s="184"/>
      <c r="Z777" s="179"/>
      <c r="AA777" s="157"/>
      <c r="AB777" s="157"/>
      <c r="AC777" s="157"/>
    </row>
    <row r="778" spans="1:29" ht="12" customHeight="1" outlineLevel="1">
      <c r="A778" s="170" t="s">
        <v>302</v>
      </c>
      <c r="B778" s="157" t="s">
        <v>303</v>
      </c>
      <c r="C778" s="171">
        <v>42935</v>
      </c>
      <c r="D778" s="178"/>
      <c r="E778" s="157" t="s">
        <v>933</v>
      </c>
      <c r="F778" s="223" t="s">
        <v>305</v>
      </c>
      <c r="G778" s="223"/>
      <c r="H778" s="224" t="s">
        <v>306</v>
      </c>
      <c r="I778" s="157"/>
      <c r="J778" s="172"/>
      <c r="K778" s="157"/>
      <c r="L778" s="223" t="s">
        <v>296</v>
      </c>
      <c r="M778" s="173"/>
      <c r="N778" s="173"/>
      <c r="O778" s="157" t="s">
        <v>307</v>
      </c>
      <c r="P778" s="158"/>
      <c r="Q778" s="185"/>
      <c r="R778" s="175"/>
      <c r="S778" s="174">
        <f t="shared" si="33"/>
        <v>0</v>
      </c>
      <c r="T778" s="157"/>
      <c r="U778" s="177">
        <v>-71.47</v>
      </c>
      <c r="V778" s="157"/>
      <c r="W778" s="157"/>
      <c r="X778" s="176">
        <f t="shared" si="34"/>
        <v>-71.47</v>
      </c>
      <c r="Y778" s="184"/>
      <c r="Z778" s="179"/>
      <c r="AA778" s="157"/>
      <c r="AB778" s="157"/>
      <c r="AC778" s="157"/>
    </row>
    <row r="779" spans="1:29" ht="12" customHeight="1" outlineLevel="1">
      <c r="A779" s="170" t="s">
        <v>302</v>
      </c>
      <c r="B779" s="157" t="s">
        <v>303</v>
      </c>
      <c r="C779" s="171">
        <v>42928</v>
      </c>
      <c r="D779" s="178"/>
      <c r="E779" s="157" t="s">
        <v>934</v>
      </c>
      <c r="F779" s="223" t="s">
        <v>305</v>
      </c>
      <c r="G779" s="223"/>
      <c r="H779" s="224" t="s">
        <v>306</v>
      </c>
      <c r="I779" s="157" t="s">
        <v>1009</v>
      </c>
      <c r="J779" s="157" t="s">
        <v>1009</v>
      </c>
      <c r="K779" s="157" t="s">
        <v>1009</v>
      </c>
      <c r="L779" s="223" t="s">
        <v>296</v>
      </c>
      <c r="M779" s="173"/>
      <c r="N779" s="173"/>
      <c r="O779" s="157" t="s">
        <v>271</v>
      </c>
      <c r="P779" s="158">
        <v>236.19</v>
      </c>
      <c r="Q779" s="185"/>
      <c r="R779" s="175"/>
      <c r="S779" s="174">
        <f t="shared" si="33"/>
        <v>236.19</v>
      </c>
      <c r="T779" s="157"/>
      <c r="U779" s="177"/>
      <c r="V779" s="157"/>
      <c r="W779" s="157"/>
      <c r="X779" s="176">
        <f t="shared" si="34"/>
        <v>0</v>
      </c>
      <c r="Y779" s="184"/>
      <c r="Z779" s="179"/>
      <c r="AA779" s="157"/>
      <c r="AB779" s="157"/>
      <c r="AC779" s="157"/>
    </row>
    <row r="780" spans="1:29" ht="12" customHeight="1" outlineLevel="1">
      <c r="A780" s="170" t="s">
        <v>302</v>
      </c>
      <c r="B780" s="157" t="s">
        <v>303</v>
      </c>
      <c r="C780" s="171">
        <v>42935</v>
      </c>
      <c r="D780" s="178"/>
      <c r="E780" s="157" t="s">
        <v>935</v>
      </c>
      <c r="F780" s="223" t="s">
        <v>305</v>
      </c>
      <c r="G780" s="223"/>
      <c r="H780" s="224" t="s">
        <v>306</v>
      </c>
      <c r="I780" s="157"/>
      <c r="J780" s="172"/>
      <c r="K780" s="157"/>
      <c r="L780" s="223" t="s">
        <v>296</v>
      </c>
      <c r="M780" s="173"/>
      <c r="N780" s="173"/>
      <c r="O780" s="157" t="s">
        <v>307</v>
      </c>
      <c r="P780" s="158"/>
      <c r="Q780" s="185"/>
      <c r="R780" s="175"/>
      <c r="S780" s="174">
        <f t="shared" si="33"/>
        <v>0</v>
      </c>
      <c r="T780" s="157"/>
      <c r="U780" s="177">
        <v>-66.33</v>
      </c>
      <c r="V780" s="157"/>
      <c r="W780" s="157"/>
      <c r="X780" s="176">
        <f t="shared" si="34"/>
        <v>-66.33</v>
      </c>
      <c r="Y780" s="184"/>
      <c r="Z780" s="179"/>
      <c r="AA780" s="157"/>
      <c r="AB780" s="157"/>
      <c r="AC780" s="157"/>
    </row>
    <row r="781" spans="1:29" ht="12" customHeight="1" outlineLevel="1">
      <c r="A781" s="170" t="s">
        <v>302</v>
      </c>
      <c r="B781" s="157" t="s">
        <v>303</v>
      </c>
      <c r="C781" s="171">
        <v>42935</v>
      </c>
      <c r="D781" s="178"/>
      <c r="E781" s="157" t="s">
        <v>304</v>
      </c>
      <c r="F781" s="223" t="s">
        <v>305</v>
      </c>
      <c r="G781" s="223"/>
      <c r="H781" s="224" t="s">
        <v>306</v>
      </c>
      <c r="I781" s="157"/>
      <c r="J781" s="172"/>
      <c r="K781" s="157"/>
      <c r="L781" s="223" t="s">
        <v>296</v>
      </c>
      <c r="M781" s="173"/>
      <c r="N781" s="173"/>
      <c r="O781" s="157" t="s">
        <v>308</v>
      </c>
      <c r="P781" s="158"/>
      <c r="Q781" s="185"/>
      <c r="R781" s="175"/>
      <c r="S781" s="174">
        <f t="shared" si="33"/>
        <v>0</v>
      </c>
      <c r="T781" s="157"/>
      <c r="U781" s="177">
        <v>-483</v>
      </c>
      <c r="V781" s="157"/>
      <c r="W781" s="157"/>
      <c r="X781" s="176">
        <f t="shared" si="34"/>
        <v>-483</v>
      </c>
      <c r="Y781" s="184"/>
      <c r="Z781" s="179"/>
      <c r="AA781" s="157"/>
      <c r="AB781" s="157"/>
      <c r="AC781" s="157"/>
    </row>
    <row r="782" spans="1:29" ht="12" customHeight="1" outlineLevel="1">
      <c r="A782" s="170" t="s">
        <v>302</v>
      </c>
      <c r="B782" s="157" t="s">
        <v>303</v>
      </c>
      <c r="C782" s="171">
        <v>42927</v>
      </c>
      <c r="D782" s="178"/>
      <c r="E782" s="157" t="s">
        <v>936</v>
      </c>
      <c r="F782" s="223" t="s">
        <v>305</v>
      </c>
      <c r="G782" s="223"/>
      <c r="H782" s="224" t="s">
        <v>306</v>
      </c>
      <c r="I782" s="157" t="s">
        <v>1009</v>
      </c>
      <c r="J782" s="157" t="s">
        <v>1009</v>
      </c>
      <c r="K782" s="157" t="s">
        <v>1009</v>
      </c>
      <c r="L782" s="223" t="s">
        <v>296</v>
      </c>
      <c r="M782" s="173"/>
      <c r="N782" s="173"/>
      <c r="O782" s="157" t="s">
        <v>271</v>
      </c>
      <c r="P782" s="158">
        <v>1363.88</v>
      </c>
      <c r="Q782" s="185"/>
      <c r="R782" s="175"/>
      <c r="S782" s="174">
        <f t="shared" si="33"/>
        <v>1363.88</v>
      </c>
      <c r="T782" s="157"/>
      <c r="U782" s="177"/>
      <c r="V782" s="157"/>
      <c r="W782" s="157"/>
      <c r="X782" s="176">
        <f t="shared" si="34"/>
        <v>0</v>
      </c>
      <c r="Y782" s="184"/>
      <c r="Z782" s="179"/>
      <c r="AA782" s="157"/>
      <c r="AB782" s="157"/>
      <c r="AC782" s="157"/>
    </row>
    <row r="783" spans="1:29" ht="12" customHeight="1" outlineLevel="1">
      <c r="A783" s="170" t="s">
        <v>302</v>
      </c>
      <c r="B783" s="157" t="s">
        <v>303</v>
      </c>
      <c r="C783" s="171">
        <v>42927</v>
      </c>
      <c r="D783" s="178"/>
      <c r="E783" s="157" t="s">
        <v>937</v>
      </c>
      <c r="F783" s="223" t="s">
        <v>305</v>
      </c>
      <c r="G783" s="223"/>
      <c r="H783" s="224" t="s">
        <v>306</v>
      </c>
      <c r="I783" s="157" t="s">
        <v>1009</v>
      </c>
      <c r="J783" s="157" t="s">
        <v>1009</v>
      </c>
      <c r="K783" s="157" t="s">
        <v>1009</v>
      </c>
      <c r="L783" s="223" t="s">
        <v>296</v>
      </c>
      <c r="M783" s="173"/>
      <c r="N783" s="173"/>
      <c r="O783" s="157" t="s">
        <v>271</v>
      </c>
      <c r="P783" s="158">
        <v>254.5</v>
      </c>
      <c r="Q783" s="185"/>
      <c r="R783" s="175"/>
      <c r="S783" s="174">
        <f t="shared" ref="S783:S816" si="35">P783</f>
        <v>254.5</v>
      </c>
      <c r="T783" s="157"/>
      <c r="U783" s="177"/>
      <c r="V783" s="157"/>
      <c r="W783" s="157"/>
      <c r="X783" s="176">
        <f t="shared" si="34"/>
        <v>0</v>
      </c>
      <c r="Y783" s="184"/>
      <c r="Z783" s="179"/>
      <c r="AA783" s="157"/>
      <c r="AB783" s="157"/>
      <c r="AC783" s="157"/>
    </row>
    <row r="784" spans="1:29" ht="12" customHeight="1" outlineLevel="1">
      <c r="A784" s="170" t="s">
        <v>302</v>
      </c>
      <c r="B784" s="157" t="s">
        <v>303</v>
      </c>
      <c r="C784" s="171">
        <v>42935</v>
      </c>
      <c r="D784" s="178"/>
      <c r="E784" s="157" t="s">
        <v>304</v>
      </c>
      <c r="F784" s="223" t="s">
        <v>305</v>
      </c>
      <c r="G784" s="223"/>
      <c r="H784" s="224" t="s">
        <v>306</v>
      </c>
      <c r="I784" s="157"/>
      <c r="J784" s="172"/>
      <c r="K784" s="157"/>
      <c r="L784" s="223" t="s">
        <v>296</v>
      </c>
      <c r="M784" s="173"/>
      <c r="N784" s="173"/>
      <c r="O784" s="157" t="s">
        <v>307</v>
      </c>
      <c r="P784" s="158"/>
      <c r="Q784" s="185"/>
      <c r="R784" s="175"/>
      <c r="S784" s="174">
        <f t="shared" si="35"/>
        <v>0</v>
      </c>
      <c r="T784" s="157"/>
      <c r="U784" s="177">
        <v>-3108</v>
      </c>
      <c r="V784" s="157"/>
      <c r="W784" s="157"/>
      <c r="X784" s="176">
        <f t="shared" si="34"/>
        <v>-3108</v>
      </c>
      <c r="Y784" s="184"/>
      <c r="Z784" s="179"/>
      <c r="AA784" s="157"/>
      <c r="AB784" s="157"/>
      <c r="AC784" s="157"/>
    </row>
    <row r="785" spans="1:29" ht="12" customHeight="1" outlineLevel="1">
      <c r="A785" s="170" t="s">
        <v>302</v>
      </c>
      <c r="B785" s="157" t="s">
        <v>303</v>
      </c>
      <c r="C785" s="171">
        <v>42935</v>
      </c>
      <c r="D785" s="178"/>
      <c r="E785" s="157" t="s">
        <v>938</v>
      </c>
      <c r="F785" s="223" t="s">
        <v>305</v>
      </c>
      <c r="G785" s="223"/>
      <c r="H785" s="224" t="s">
        <v>306</v>
      </c>
      <c r="I785" s="157"/>
      <c r="J785" s="172"/>
      <c r="K785" s="157"/>
      <c r="L785" s="223" t="s">
        <v>296</v>
      </c>
      <c r="M785" s="173"/>
      <c r="N785" s="173"/>
      <c r="O785" s="157" t="s">
        <v>307</v>
      </c>
      <c r="P785" s="158"/>
      <c r="Q785" s="185"/>
      <c r="R785" s="175"/>
      <c r="S785" s="174">
        <f t="shared" si="35"/>
        <v>0</v>
      </c>
      <c r="T785" s="157"/>
      <c r="U785" s="177">
        <v>-6.94</v>
      </c>
      <c r="V785" s="157"/>
      <c r="W785" s="157"/>
      <c r="X785" s="176">
        <f t="shared" si="34"/>
        <v>-6.94</v>
      </c>
      <c r="Y785" s="184"/>
      <c r="Z785" s="179"/>
      <c r="AA785" s="157"/>
      <c r="AB785" s="157"/>
      <c r="AC785" s="157"/>
    </row>
    <row r="786" spans="1:29" ht="12" customHeight="1" outlineLevel="1">
      <c r="A786" s="170" t="s">
        <v>302</v>
      </c>
      <c r="B786" s="157" t="s">
        <v>303</v>
      </c>
      <c r="C786" s="171">
        <v>42935</v>
      </c>
      <c r="D786" s="178"/>
      <c r="E786" s="157" t="s">
        <v>939</v>
      </c>
      <c r="F786" s="223" t="s">
        <v>305</v>
      </c>
      <c r="G786" s="223"/>
      <c r="H786" s="224" t="s">
        <v>306</v>
      </c>
      <c r="I786" s="157"/>
      <c r="J786" s="172"/>
      <c r="K786" s="157"/>
      <c r="L786" s="223" t="s">
        <v>296</v>
      </c>
      <c r="M786" s="173"/>
      <c r="N786" s="173"/>
      <c r="O786" s="157" t="s">
        <v>307</v>
      </c>
      <c r="P786" s="158"/>
      <c r="Q786" s="185"/>
      <c r="R786" s="175"/>
      <c r="S786" s="174">
        <f t="shared" si="35"/>
        <v>0</v>
      </c>
      <c r="T786" s="157"/>
      <c r="U786" s="177">
        <v>-50.74</v>
      </c>
      <c r="V786" s="157"/>
      <c r="W786" s="157"/>
      <c r="X786" s="176">
        <f t="shared" si="34"/>
        <v>-50.74</v>
      </c>
      <c r="Y786" s="184"/>
      <c r="Z786" s="179"/>
      <c r="AA786" s="157"/>
      <c r="AB786" s="157"/>
      <c r="AC786" s="157"/>
    </row>
    <row r="787" spans="1:29" ht="12" customHeight="1" outlineLevel="1">
      <c r="A787" s="170" t="s">
        <v>302</v>
      </c>
      <c r="B787" s="157" t="s">
        <v>303</v>
      </c>
      <c r="C787" s="171">
        <v>42936</v>
      </c>
      <c r="D787" s="178"/>
      <c r="E787" s="157" t="s">
        <v>940</v>
      </c>
      <c r="F787" s="223" t="s">
        <v>305</v>
      </c>
      <c r="G787" s="223"/>
      <c r="H787" s="224" t="s">
        <v>306</v>
      </c>
      <c r="I787" s="157"/>
      <c r="J787" s="172"/>
      <c r="K787" s="157"/>
      <c r="L787" s="223" t="s">
        <v>296</v>
      </c>
      <c r="M787" s="173"/>
      <c r="N787" s="173"/>
      <c r="O787" s="157" t="s">
        <v>307</v>
      </c>
      <c r="P787" s="158"/>
      <c r="Q787" s="185"/>
      <c r="R787" s="175"/>
      <c r="S787" s="174">
        <f t="shared" si="35"/>
        <v>0</v>
      </c>
      <c r="T787" s="157"/>
      <c r="U787" s="177">
        <v>-50.22</v>
      </c>
      <c r="V787" s="157"/>
      <c r="W787" s="157"/>
      <c r="X787" s="176">
        <f t="shared" si="34"/>
        <v>-50.22</v>
      </c>
      <c r="Y787" s="184"/>
      <c r="Z787" s="179"/>
      <c r="AA787" s="157"/>
      <c r="AB787" s="157"/>
      <c r="AC787" s="157"/>
    </row>
    <row r="788" spans="1:29" ht="12" customHeight="1" outlineLevel="1">
      <c r="A788" s="170" t="s">
        <v>302</v>
      </c>
      <c r="B788" s="157" t="s">
        <v>303</v>
      </c>
      <c r="C788" s="171">
        <v>42936</v>
      </c>
      <c r="D788" s="178"/>
      <c r="E788" s="157" t="s">
        <v>941</v>
      </c>
      <c r="F788" s="223" t="s">
        <v>305</v>
      </c>
      <c r="G788" s="223"/>
      <c r="H788" s="224" t="s">
        <v>306</v>
      </c>
      <c r="I788" s="157"/>
      <c r="J788" s="172"/>
      <c r="K788" s="157"/>
      <c r="L788" s="223" t="s">
        <v>296</v>
      </c>
      <c r="M788" s="173"/>
      <c r="N788" s="173"/>
      <c r="O788" s="157" t="s">
        <v>307</v>
      </c>
      <c r="P788" s="158"/>
      <c r="Q788" s="185"/>
      <c r="R788" s="175"/>
      <c r="S788" s="174">
        <f t="shared" si="35"/>
        <v>0</v>
      </c>
      <c r="T788" s="157"/>
      <c r="U788" s="177">
        <v>-31.83</v>
      </c>
      <c r="V788" s="157"/>
      <c r="W788" s="157"/>
      <c r="X788" s="176">
        <f t="shared" si="34"/>
        <v>-31.83</v>
      </c>
      <c r="Y788" s="184"/>
      <c r="Z788" s="179"/>
      <c r="AA788" s="157"/>
      <c r="AB788" s="157"/>
      <c r="AC788" s="157"/>
    </row>
    <row r="789" spans="1:29" ht="12" customHeight="1" outlineLevel="1">
      <c r="A789" s="170" t="s">
        <v>302</v>
      </c>
      <c r="B789" s="157" t="s">
        <v>303</v>
      </c>
      <c r="C789" s="171">
        <v>42936</v>
      </c>
      <c r="D789" s="178"/>
      <c r="E789" s="157" t="s">
        <v>942</v>
      </c>
      <c r="F789" s="223" t="s">
        <v>305</v>
      </c>
      <c r="G789" s="223"/>
      <c r="H789" s="224" t="s">
        <v>306</v>
      </c>
      <c r="I789" s="157"/>
      <c r="J789" s="172"/>
      <c r="K789" s="157"/>
      <c r="L789" s="223" t="s">
        <v>296</v>
      </c>
      <c r="M789" s="173"/>
      <c r="N789" s="173"/>
      <c r="O789" s="157" t="s">
        <v>307</v>
      </c>
      <c r="P789" s="158"/>
      <c r="Q789" s="185"/>
      <c r="R789" s="175"/>
      <c r="S789" s="174">
        <f t="shared" si="35"/>
        <v>0</v>
      </c>
      <c r="T789" s="157"/>
      <c r="U789" s="177">
        <v>-591.47</v>
      </c>
      <c r="V789" s="157"/>
      <c r="W789" s="157"/>
      <c r="X789" s="176">
        <f t="shared" si="34"/>
        <v>-591.47</v>
      </c>
      <c r="Y789" s="184"/>
      <c r="Z789" s="179"/>
      <c r="AA789" s="157"/>
      <c r="AB789" s="157"/>
      <c r="AC789" s="157"/>
    </row>
    <row r="790" spans="1:29" ht="12" customHeight="1" outlineLevel="1">
      <c r="A790" s="170" t="s">
        <v>302</v>
      </c>
      <c r="B790" s="157" t="s">
        <v>303</v>
      </c>
      <c r="C790" s="171">
        <v>42937</v>
      </c>
      <c r="D790" s="178"/>
      <c r="E790" s="157" t="s">
        <v>943</v>
      </c>
      <c r="F790" s="223" t="s">
        <v>305</v>
      </c>
      <c r="G790" s="223"/>
      <c r="H790" s="224" t="s">
        <v>306</v>
      </c>
      <c r="I790" s="157"/>
      <c r="J790" s="172"/>
      <c r="K790" s="157"/>
      <c r="L790" s="223" t="s">
        <v>296</v>
      </c>
      <c r="M790" s="173"/>
      <c r="N790" s="173"/>
      <c r="O790" s="157" t="s">
        <v>307</v>
      </c>
      <c r="P790" s="158"/>
      <c r="Q790" s="185"/>
      <c r="R790" s="175"/>
      <c r="S790" s="174">
        <f t="shared" si="35"/>
        <v>0</v>
      </c>
      <c r="T790" s="157"/>
      <c r="U790" s="177">
        <v>-46.82</v>
      </c>
      <c r="V790" s="157"/>
      <c r="W790" s="157"/>
      <c r="X790" s="176">
        <f t="shared" si="34"/>
        <v>-46.82</v>
      </c>
      <c r="Y790" s="184"/>
      <c r="Z790" s="179"/>
      <c r="AA790" s="157"/>
      <c r="AB790" s="157"/>
      <c r="AC790" s="157"/>
    </row>
    <row r="791" spans="1:29" ht="12" customHeight="1" outlineLevel="1">
      <c r="A791" s="170" t="s">
        <v>302</v>
      </c>
      <c r="B791" s="157" t="s">
        <v>303</v>
      </c>
      <c r="C791" s="171">
        <v>42940</v>
      </c>
      <c r="D791" s="178"/>
      <c r="E791" s="157" t="s">
        <v>944</v>
      </c>
      <c r="F791" s="223" t="s">
        <v>305</v>
      </c>
      <c r="G791" s="223"/>
      <c r="H791" s="224" t="s">
        <v>306</v>
      </c>
      <c r="I791" s="157"/>
      <c r="J791" s="172"/>
      <c r="K791" s="157"/>
      <c r="L791" s="223" t="s">
        <v>296</v>
      </c>
      <c r="M791" s="173"/>
      <c r="N791" s="173"/>
      <c r="O791" s="157" t="s">
        <v>307</v>
      </c>
      <c r="P791" s="158"/>
      <c r="Q791" s="185"/>
      <c r="R791" s="175"/>
      <c r="S791" s="174">
        <f t="shared" si="35"/>
        <v>0</v>
      </c>
      <c r="T791" s="157"/>
      <c r="U791" s="177">
        <v>-152.96</v>
      </c>
      <c r="V791" s="157"/>
      <c r="W791" s="157"/>
      <c r="X791" s="176">
        <f t="shared" ref="X791:X816" si="36">U791</f>
        <v>-152.96</v>
      </c>
      <c r="Y791" s="184"/>
      <c r="Z791" s="179"/>
      <c r="AA791" s="157"/>
      <c r="AB791" s="157"/>
      <c r="AC791" s="157"/>
    </row>
    <row r="792" spans="1:29" ht="12" customHeight="1" outlineLevel="1">
      <c r="A792" s="170" t="s">
        <v>302</v>
      </c>
      <c r="B792" s="157" t="s">
        <v>303</v>
      </c>
      <c r="C792" s="171">
        <v>42926</v>
      </c>
      <c r="D792" s="178"/>
      <c r="E792" s="157" t="s">
        <v>945</v>
      </c>
      <c r="F792" s="223" t="s">
        <v>305</v>
      </c>
      <c r="G792" s="223"/>
      <c r="H792" s="224" t="s">
        <v>306</v>
      </c>
      <c r="I792" s="157" t="s">
        <v>1009</v>
      </c>
      <c r="J792" s="157" t="s">
        <v>1009</v>
      </c>
      <c r="K792" s="157" t="s">
        <v>1009</v>
      </c>
      <c r="L792" s="223" t="s">
        <v>296</v>
      </c>
      <c r="M792" s="173"/>
      <c r="N792" s="173"/>
      <c r="O792" s="157" t="s">
        <v>271</v>
      </c>
      <c r="P792" s="158">
        <v>1494.68</v>
      </c>
      <c r="Q792" s="185"/>
      <c r="R792" s="175"/>
      <c r="S792" s="174">
        <f t="shared" si="35"/>
        <v>1494.68</v>
      </c>
      <c r="T792" s="157"/>
      <c r="U792" s="177"/>
      <c r="V792" s="157"/>
      <c r="W792" s="157"/>
      <c r="X792" s="176">
        <f t="shared" si="36"/>
        <v>0</v>
      </c>
      <c r="Y792" s="184"/>
      <c r="Z792" s="179"/>
      <c r="AA792" s="157"/>
      <c r="AB792" s="157"/>
      <c r="AC792" s="157"/>
    </row>
    <row r="793" spans="1:29" ht="12" customHeight="1" outlineLevel="1">
      <c r="A793" s="170" t="s">
        <v>302</v>
      </c>
      <c r="B793" s="157" t="s">
        <v>303</v>
      </c>
      <c r="C793" s="171">
        <v>42940</v>
      </c>
      <c r="D793" s="178"/>
      <c r="E793" s="157" t="s">
        <v>304</v>
      </c>
      <c r="F793" s="223" t="s">
        <v>305</v>
      </c>
      <c r="G793" s="223"/>
      <c r="H793" s="224" t="s">
        <v>306</v>
      </c>
      <c r="I793" s="157"/>
      <c r="J793" s="172"/>
      <c r="K793" s="157"/>
      <c r="L793" s="223" t="s">
        <v>296</v>
      </c>
      <c r="M793" s="173"/>
      <c r="N793" s="173"/>
      <c r="O793" s="157" t="s">
        <v>308</v>
      </c>
      <c r="P793" s="158"/>
      <c r="Q793" s="185"/>
      <c r="R793" s="175"/>
      <c r="S793" s="174">
        <f t="shared" si="35"/>
        <v>0</v>
      </c>
      <c r="T793" s="157"/>
      <c r="U793" s="177">
        <v>-433.5</v>
      </c>
      <c r="V793" s="157"/>
      <c r="W793" s="157"/>
      <c r="X793" s="176">
        <f t="shared" si="36"/>
        <v>-433.5</v>
      </c>
      <c r="Y793" s="184"/>
      <c r="Z793" s="179"/>
      <c r="AA793" s="157"/>
      <c r="AB793" s="157"/>
      <c r="AC793" s="157"/>
    </row>
    <row r="794" spans="1:29" ht="12" customHeight="1" outlineLevel="1">
      <c r="A794" s="170" t="s">
        <v>302</v>
      </c>
      <c r="B794" s="157" t="s">
        <v>303</v>
      </c>
      <c r="C794" s="171">
        <v>42926</v>
      </c>
      <c r="D794" s="178"/>
      <c r="E794" s="157" t="s">
        <v>946</v>
      </c>
      <c r="F794" s="223" t="s">
        <v>305</v>
      </c>
      <c r="G794" s="223"/>
      <c r="H794" s="224" t="s">
        <v>306</v>
      </c>
      <c r="I794" s="157" t="s">
        <v>1009</v>
      </c>
      <c r="J794" s="157" t="s">
        <v>1009</v>
      </c>
      <c r="K794" s="157" t="s">
        <v>1009</v>
      </c>
      <c r="L794" s="223" t="s">
        <v>296</v>
      </c>
      <c r="M794" s="173"/>
      <c r="N794" s="173"/>
      <c r="O794" s="157" t="s">
        <v>271</v>
      </c>
      <c r="P794" s="158">
        <v>28.18</v>
      </c>
      <c r="Q794" s="185"/>
      <c r="R794" s="175"/>
      <c r="S794" s="174">
        <f t="shared" si="35"/>
        <v>28.18</v>
      </c>
      <c r="T794" s="157"/>
      <c r="U794" s="177"/>
      <c r="V794" s="157"/>
      <c r="W794" s="157"/>
      <c r="X794" s="176">
        <f t="shared" si="36"/>
        <v>0</v>
      </c>
      <c r="Y794" s="184"/>
      <c r="Z794" s="179"/>
      <c r="AA794" s="157"/>
      <c r="AB794" s="157"/>
      <c r="AC794" s="157"/>
    </row>
    <row r="795" spans="1:29" ht="12" customHeight="1" outlineLevel="1">
      <c r="A795" s="170" t="s">
        <v>302</v>
      </c>
      <c r="B795" s="157" t="s">
        <v>303</v>
      </c>
      <c r="C795" s="171">
        <v>42940</v>
      </c>
      <c r="D795" s="178"/>
      <c r="E795" s="157" t="s">
        <v>304</v>
      </c>
      <c r="F795" s="223" t="s">
        <v>305</v>
      </c>
      <c r="G795" s="223"/>
      <c r="H795" s="224" t="s">
        <v>306</v>
      </c>
      <c r="I795" s="157"/>
      <c r="J795" s="172"/>
      <c r="K795" s="157"/>
      <c r="L795" s="223" t="s">
        <v>296</v>
      </c>
      <c r="M795" s="173"/>
      <c r="N795" s="173"/>
      <c r="O795" s="157" t="s">
        <v>308</v>
      </c>
      <c r="P795" s="158"/>
      <c r="Q795" s="185"/>
      <c r="R795" s="175"/>
      <c r="S795" s="174">
        <f t="shared" si="35"/>
        <v>0</v>
      </c>
      <c r="T795" s="157"/>
      <c r="U795" s="177">
        <v>-667.37</v>
      </c>
      <c r="V795" s="157"/>
      <c r="W795" s="157"/>
      <c r="X795" s="176">
        <f t="shared" si="36"/>
        <v>-667.37</v>
      </c>
      <c r="Y795" s="184"/>
      <c r="Z795" s="179"/>
      <c r="AA795" s="157"/>
      <c r="AB795" s="157"/>
      <c r="AC795" s="157"/>
    </row>
    <row r="796" spans="1:29" ht="12" customHeight="1" outlineLevel="1">
      <c r="A796" s="170" t="s">
        <v>302</v>
      </c>
      <c r="B796" s="157" t="s">
        <v>303</v>
      </c>
      <c r="C796" s="171">
        <v>42940</v>
      </c>
      <c r="D796" s="178"/>
      <c r="E796" s="157" t="s">
        <v>947</v>
      </c>
      <c r="F796" s="223" t="s">
        <v>305</v>
      </c>
      <c r="G796" s="223"/>
      <c r="H796" s="224" t="s">
        <v>306</v>
      </c>
      <c r="I796" s="157"/>
      <c r="J796" s="172"/>
      <c r="K796" s="157"/>
      <c r="L796" s="223" t="s">
        <v>296</v>
      </c>
      <c r="M796" s="173"/>
      <c r="N796" s="173"/>
      <c r="O796" s="157" t="s">
        <v>307</v>
      </c>
      <c r="P796" s="158"/>
      <c r="Q796" s="185"/>
      <c r="R796" s="175"/>
      <c r="S796" s="174">
        <f t="shared" si="35"/>
        <v>0</v>
      </c>
      <c r="T796" s="157"/>
      <c r="U796" s="177">
        <v>-92.24</v>
      </c>
      <c r="V796" s="157"/>
      <c r="W796" s="157"/>
      <c r="X796" s="176">
        <f t="shared" si="36"/>
        <v>-92.24</v>
      </c>
      <c r="Y796" s="184"/>
      <c r="Z796" s="179"/>
      <c r="AA796" s="157"/>
      <c r="AB796" s="157"/>
      <c r="AC796" s="157"/>
    </row>
    <row r="797" spans="1:29" ht="12" customHeight="1" outlineLevel="1">
      <c r="A797" s="170" t="s">
        <v>302</v>
      </c>
      <c r="B797" s="157" t="s">
        <v>303</v>
      </c>
      <c r="C797" s="171">
        <v>42923</v>
      </c>
      <c r="D797" s="178"/>
      <c r="E797" s="157" t="s">
        <v>948</v>
      </c>
      <c r="F797" s="223" t="s">
        <v>305</v>
      </c>
      <c r="G797" s="223"/>
      <c r="H797" s="224" t="s">
        <v>306</v>
      </c>
      <c r="I797" s="157" t="s">
        <v>1009</v>
      </c>
      <c r="J797" s="157" t="s">
        <v>1009</v>
      </c>
      <c r="K797" s="157" t="s">
        <v>1009</v>
      </c>
      <c r="L797" s="223" t="s">
        <v>296</v>
      </c>
      <c r="M797" s="173"/>
      <c r="N797" s="173"/>
      <c r="O797" s="157" t="s">
        <v>271</v>
      </c>
      <c r="P797" s="158">
        <v>1253.23</v>
      </c>
      <c r="Q797" s="185"/>
      <c r="R797" s="175"/>
      <c r="S797" s="174">
        <f t="shared" si="35"/>
        <v>1253.23</v>
      </c>
      <c r="T797" s="157"/>
      <c r="U797" s="177"/>
      <c r="V797" s="157"/>
      <c r="W797" s="157"/>
      <c r="X797" s="176">
        <f t="shared" si="36"/>
        <v>0</v>
      </c>
      <c r="Y797" s="184"/>
      <c r="Z797" s="179"/>
      <c r="AA797" s="157"/>
      <c r="AB797" s="157"/>
      <c r="AC797" s="157"/>
    </row>
    <row r="798" spans="1:29" ht="12" customHeight="1" outlineLevel="1">
      <c r="A798" s="170" t="s">
        <v>302</v>
      </c>
      <c r="B798" s="157" t="s">
        <v>303</v>
      </c>
      <c r="C798" s="171">
        <v>42922</v>
      </c>
      <c r="D798" s="178"/>
      <c r="E798" s="157" t="s">
        <v>949</v>
      </c>
      <c r="F798" s="223" t="s">
        <v>305</v>
      </c>
      <c r="G798" s="223"/>
      <c r="H798" s="224" t="s">
        <v>306</v>
      </c>
      <c r="I798" s="157" t="s">
        <v>1009</v>
      </c>
      <c r="J798" s="157" t="s">
        <v>1009</v>
      </c>
      <c r="K798" s="157" t="s">
        <v>1009</v>
      </c>
      <c r="L798" s="223" t="s">
        <v>296</v>
      </c>
      <c r="M798" s="173"/>
      <c r="N798" s="173"/>
      <c r="O798" s="157" t="s">
        <v>271</v>
      </c>
      <c r="P798" s="158">
        <v>876.1</v>
      </c>
      <c r="Q798" s="185"/>
      <c r="R798" s="175"/>
      <c r="S798" s="174">
        <f t="shared" si="35"/>
        <v>876.1</v>
      </c>
      <c r="T798" s="157"/>
      <c r="U798" s="177"/>
      <c r="V798" s="157"/>
      <c r="W798" s="157"/>
      <c r="X798" s="176">
        <f t="shared" si="36"/>
        <v>0</v>
      </c>
      <c r="Y798" s="184"/>
      <c r="Z798" s="179"/>
      <c r="AA798" s="157"/>
      <c r="AB798" s="157"/>
      <c r="AC798" s="157"/>
    </row>
    <row r="799" spans="1:29" ht="12" customHeight="1" outlineLevel="1">
      <c r="A799" s="170" t="s">
        <v>302</v>
      </c>
      <c r="B799" s="157" t="s">
        <v>303</v>
      </c>
      <c r="C799" s="171">
        <v>42940</v>
      </c>
      <c r="D799" s="178"/>
      <c r="E799" s="157" t="s">
        <v>950</v>
      </c>
      <c r="F799" s="223" t="s">
        <v>305</v>
      </c>
      <c r="G799" s="223"/>
      <c r="H799" s="224" t="s">
        <v>306</v>
      </c>
      <c r="I799" s="157"/>
      <c r="J799" s="172"/>
      <c r="K799" s="157"/>
      <c r="L799" s="223" t="s">
        <v>296</v>
      </c>
      <c r="M799" s="173"/>
      <c r="N799" s="173"/>
      <c r="O799" s="157" t="s">
        <v>307</v>
      </c>
      <c r="P799" s="158"/>
      <c r="Q799" s="185"/>
      <c r="R799" s="175"/>
      <c r="S799" s="174">
        <f t="shared" si="35"/>
        <v>0</v>
      </c>
      <c r="T799" s="157"/>
      <c r="U799" s="177">
        <v>-63.16</v>
      </c>
      <c r="V799" s="157"/>
      <c r="W799" s="157"/>
      <c r="X799" s="176">
        <f t="shared" si="36"/>
        <v>-63.16</v>
      </c>
      <c r="Y799" s="184"/>
      <c r="Z799" s="179"/>
      <c r="AA799" s="157"/>
      <c r="AB799" s="157"/>
      <c r="AC799" s="157"/>
    </row>
    <row r="800" spans="1:29" ht="12" customHeight="1" outlineLevel="1">
      <c r="A800" s="170" t="s">
        <v>302</v>
      </c>
      <c r="B800" s="157" t="s">
        <v>303</v>
      </c>
      <c r="C800" s="171">
        <v>42940</v>
      </c>
      <c r="D800" s="178"/>
      <c r="E800" s="157" t="s">
        <v>951</v>
      </c>
      <c r="F800" s="223" t="s">
        <v>305</v>
      </c>
      <c r="G800" s="223"/>
      <c r="H800" s="224" t="s">
        <v>306</v>
      </c>
      <c r="I800" s="157"/>
      <c r="J800" s="172"/>
      <c r="K800" s="157"/>
      <c r="L800" s="223" t="s">
        <v>296</v>
      </c>
      <c r="M800" s="173"/>
      <c r="N800" s="173"/>
      <c r="O800" s="157" t="s">
        <v>307</v>
      </c>
      <c r="P800" s="158"/>
      <c r="Q800" s="185"/>
      <c r="R800" s="175"/>
      <c r="S800" s="174">
        <f t="shared" si="35"/>
        <v>0</v>
      </c>
      <c r="T800" s="157"/>
      <c r="U800" s="177">
        <v>-21.24</v>
      </c>
      <c r="V800" s="157"/>
      <c r="W800" s="157"/>
      <c r="X800" s="176">
        <f t="shared" si="36"/>
        <v>-21.24</v>
      </c>
      <c r="Y800" s="184"/>
      <c r="Z800" s="179"/>
      <c r="AA800" s="157"/>
      <c r="AB800" s="157"/>
      <c r="AC800" s="157"/>
    </row>
    <row r="801" spans="1:29" ht="12" customHeight="1" outlineLevel="1">
      <c r="A801" s="170" t="s">
        <v>302</v>
      </c>
      <c r="B801" s="157" t="s">
        <v>303</v>
      </c>
      <c r="C801" s="171">
        <v>42940</v>
      </c>
      <c r="D801" s="178"/>
      <c r="E801" s="157" t="s">
        <v>952</v>
      </c>
      <c r="F801" s="223" t="s">
        <v>305</v>
      </c>
      <c r="G801" s="223"/>
      <c r="H801" s="224" t="s">
        <v>306</v>
      </c>
      <c r="I801" s="157"/>
      <c r="J801" s="172"/>
      <c r="K801" s="157"/>
      <c r="L801" s="223" t="s">
        <v>296</v>
      </c>
      <c r="M801" s="173"/>
      <c r="N801" s="173"/>
      <c r="O801" s="157" t="s">
        <v>307</v>
      </c>
      <c r="P801" s="158"/>
      <c r="Q801" s="185"/>
      <c r="R801" s="175"/>
      <c r="S801" s="174">
        <f t="shared" si="35"/>
        <v>0</v>
      </c>
      <c r="T801" s="157"/>
      <c r="U801" s="177">
        <v>-30</v>
      </c>
      <c r="V801" s="157"/>
      <c r="W801" s="157"/>
      <c r="X801" s="176">
        <f t="shared" si="36"/>
        <v>-30</v>
      </c>
      <c r="Y801" s="184"/>
      <c r="Z801" s="179"/>
      <c r="AA801" s="157"/>
      <c r="AB801" s="157"/>
      <c r="AC801" s="157"/>
    </row>
    <row r="802" spans="1:29" ht="12" customHeight="1" outlineLevel="1">
      <c r="A802" s="170" t="s">
        <v>302</v>
      </c>
      <c r="B802" s="157" t="s">
        <v>303</v>
      </c>
      <c r="C802" s="171">
        <v>42940</v>
      </c>
      <c r="D802" s="178"/>
      <c r="E802" s="157" t="s">
        <v>953</v>
      </c>
      <c r="F802" s="223" t="s">
        <v>305</v>
      </c>
      <c r="G802" s="223"/>
      <c r="H802" s="224" t="s">
        <v>306</v>
      </c>
      <c r="I802" s="157"/>
      <c r="J802" s="172"/>
      <c r="K802" s="157"/>
      <c r="L802" s="223" t="s">
        <v>296</v>
      </c>
      <c r="M802" s="173"/>
      <c r="N802" s="173"/>
      <c r="O802" s="157" t="s">
        <v>307</v>
      </c>
      <c r="P802" s="158"/>
      <c r="Q802" s="185"/>
      <c r="R802" s="175"/>
      <c r="S802" s="174">
        <f t="shared" si="35"/>
        <v>0</v>
      </c>
      <c r="T802" s="157"/>
      <c r="U802" s="177">
        <v>-386.12</v>
      </c>
      <c r="V802" s="157"/>
      <c r="W802" s="157"/>
      <c r="X802" s="176">
        <f t="shared" si="36"/>
        <v>-386.12</v>
      </c>
      <c r="Y802" s="184"/>
      <c r="Z802" s="179"/>
      <c r="AA802" s="157"/>
      <c r="AB802" s="157"/>
      <c r="AC802" s="157"/>
    </row>
    <row r="803" spans="1:29" ht="12" customHeight="1" outlineLevel="1">
      <c r="A803" s="170" t="s">
        <v>302</v>
      </c>
      <c r="B803" s="157" t="s">
        <v>303</v>
      </c>
      <c r="C803" s="171">
        <v>42941</v>
      </c>
      <c r="D803" s="178"/>
      <c r="E803" s="157" t="s">
        <v>954</v>
      </c>
      <c r="F803" s="223" t="s">
        <v>305</v>
      </c>
      <c r="G803" s="223"/>
      <c r="H803" s="224" t="s">
        <v>306</v>
      </c>
      <c r="I803" s="157"/>
      <c r="J803" s="172"/>
      <c r="K803" s="157"/>
      <c r="L803" s="223" t="s">
        <v>296</v>
      </c>
      <c r="M803" s="173"/>
      <c r="N803" s="173"/>
      <c r="O803" s="157" t="s">
        <v>307</v>
      </c>
      <c r="P803" s="158"/>
      <c r="Q803" s="185"/>
      <c r="R803" s="175"/>
      <c r="S803" s="174">
        <f t="shared" si="35"/>
        <v>0</v>
      </c>
      <c r="T803" s="157"/>
      <c r="U803" s="177">
        <v>-38.840000000000003</v>
      </c>
      <c r="V803" s="157"/>
      <c r="W803" s="157"/>
      <c r="X803" s="176">
        <f t="shared" si="36"/>
        <v>-38.840000000000003</v>
      </c>
      <c r="Y803" s="184"/>
      <c r="Z803" s="179"/>
      <c r="AA803" s="157"/>
      <c r="AB803" s="157"/>
      <c r="AC803" s="157"/>
    </row>
    <row r="804" spans="1:29" ht="12" customHeight="1" outlineLevel="1">
      <c r="A804" s="170" t="s">
        <v>302</v>
      </c>
      <c r="B804" s="157" t="s">
        <v>303</v>
      </c>
      <c r="C804" s="171">
        <v>42921</v>
      </c>
      <c r="D804" s="178"/>
      <c r="E804" s="157" t="s">
        <v>955</v>
      </c>
      <c r="F804" s="223" t="s">
        <v>305</v>
      </c>
      <c r="G804" s="223"/>
      <c r="H804" s="224" t="s">
        <v>306</v>
      </c>
      <c r="I804" s="157" t="s">
        <v>1009</v>
      </c>
      <c r="J804" s="157" t="s">
        <v>1009</v>
      </c>
      <c r="K804" s="157" t="s">
        <v>1009</v>
      </c>
      <c r="L804" s="223" t="s">
        <v>296</v>
      </c>
      <c r="M804" s="173"/>
      <c r="N804" s="173"/>
      <c r="O804" s="157" t="s">
        <v>271</v>
      </c>
      <c r="P804" s="158">
        <v>1575.66</v>
      </c>
      <c r="Q804" s="185"/>
      <c r="R804" s="175"/>
      <c r="S804" s="174">
        <f t="shared" si="35"/>
        <v>1575.66</v>
      </c>
      <c r="T804" s="157"/>
      <c r="U804" s="177"/>
      <c r="V804" s="157"/>
      <c r="W804" s="157"/>
      <c r="X804" s="176">
        <f t="shared" si="36"/>
        <v>0</v>
      </c>
      <c r="Y804" s="184"/>
      <c r="Z804" s="179"/>
      <c r="AA804" s="157"/>
      <c r="AB804" s="157"/>
      <c r="AC804" s="157"/>
    </row>
    <row r="805" spans="1:29" ht="12" customHeight="1" outlineLevel="1">
      <c r="A805" s="170" t="s">
        <v>302</v>
      </c>
      <c r="B805" s="157" t="s">
        <v>303</v>
      </c>
      <c r="C805" s="171">
        <v>42921</v>
      </c>
      <c r="D805" s="178"/>
      <c r="E805" s="157" t="s">
        <v>956</v>
      </c>
      <c r="F805" s="223" t="s">
        <v>305</v>
      </c>
      <c r="G805" s="223"/>
      <c r="H805" s="224" t="s">
        <v>306</v>
      </c>
      <c r="I805" s="157" t="s">
        <v>1009</v>
      </c>
      <c r="J805" s="157" t="s">
        <v>1009</v>
      </c>
      <c r="K805" s="157" t="s">
        <v>1009</v>
      </c>
      <c r="L805" s="223" t="s">
        <v>296</v>
      </c>
      <c r="M805" s="173"/>
      <c r="N805" s="173"/>
      <c r="O805" s="157" t="s">
        <v>271</v>
      </c>
      <c r="P805" s="158">
        <v>135.55000000000001</v>
      </c>
      <c r="Q805" s="185"/>
      <c r="R805" s="175"/>
      <c r="S805" s="174">
        <f t="shared" si="35"/>
        <v>135.55000000000001</v>
      </c>
      <c r="T805" s="157"/>
      <c r="U805" s="177"/>
      <c r="V805" s="157"/>
      <c r="W805" s="157"/>
      <c r="X805" s="176">
        <f t="shared" si="36"/>
        <v>0</v>
      </c>
      <c r="Y805" s="184"/>
      <c r="Z805" s="179"/>
      <c r="AA805" s="157"/>
      <c r="AB805" s="157"/>
      <c r="AC805" s="157"/>
    </row>
    <row r="806" spans="1:29" ht="12" customHeight="1" outlineLevel="1">
      <c r="A806" s="170" t="s">
        <v>302</v>
      </c>
      <c r="B806" s="157" t="s">
        <v>303</v>
      </c>
      <c r="C806" s="171">
        <v>42941</v>
      </c>
      <c r="D806" s="178"/>
      <c r="E806" s="157" t="s">
        <v>957</v>
      </c>
      <c r="F806" s="223" t="s">
        <v>305</v>
      </c>
      <c r="G806" s="223"/>
      <c r="H806" s="224" t="s">
        <v>306</v>
      </c>
      <c r="I806" s="157"/>
      <c r="J806" s="172"/>
      <c r="K806" s="157"/>
      <c r="L806" s="223" t="s">
        <v>296</v>
      </c>
      <c r="M806" s="173"/>
      <c r="N806" s="173"/>
      <c r="O806" s="157" t="s">
        <v>307</v>
      </c>
      <c r="P806" s="158"/>
      <c r="Q806" s="185"/>
      <c r="R806" s="175"/>
      <c r="S806" s="174">
        <f t="shared" si="35"/>
        <v>0</v>
      </c>
      <c r="T806" s="157"/>
      <c r="U806" s="177">
        <v>-16.63</v>
      </c>
      <c r="V806" s="157"/>
      <c r="W806" s="157"/>
      <c r="X806" s="176">
        <f t="shared" si="36"/>
        <v>-16.63</v>
      </c>
      <c r="Y806" s="184"/>
      <c r="Z806" s="179"/>
      <c r="AA806" s="157"/>
      <c r="AB806" s="157"/>
      <c r="AC806" s="157"/>
    </row>
    <row r="807" spans="1:29" ht="12" customHeight="1" outlineLevel="1">
      <c r="A807" s="170" t="s">
        <v>302</v>
      </c>
      <c r="B807" s="157" t="s">
        <v>303</v>
      </c>
      <c r="C807" s="171">
        <v>42941</v>
      </c>
      <c r="D807" s="178"/>
      <c r="E807" s="157" t="s">
        <v>958</v>
      </c>
      <c r="F807" s="223" t="s">
        <v>305</v>
      </c>
      <c r="G807" s="223"/>
      <c r="H807" s="224" t="s">
        <v>306</v>
      </c>
      <c r="I807" s="157"/>
      <c r="J807" s="172"/>
      <c r="K807" s="157"/>
      <c r="L807" s="223" t="s">
        <v>296</v>
      </c>
      <c r="M807" s="173"/>
      <c r="N807" s="173"/>
      <c r="O807" s="157" t="s">
        <v>307</v>
      </c>
      <c r="P807" s="158"/>
      <c r="Q807" s="185"/>
      <c r="R807" s="175"/>
      <c r="S807" s="174">
        <f t="shared" si="35"/>
        <v>0</v>
      </c>
      <c r="T807" s="157"/>
      <c r="U807" s="177">
        <v>-24.79</v>
      </c>
      <c r="V807" s="157"/>
      <c r="W807" s="157"/>
      <c r="X807" s="176">
        <f t="shared" si="36"/>
        <v>-24.79</v>
      </c>
      <c r="Y807" s="184"/>
      <c r="Z807" s="179"/>
      <c r="AA807" s="157"/>
      <c r="AB807" s="157"/>
      <c r="AC807" s="157"/>
    </row>
    <row r="808" spans="1:29" ht="12" customHeight="1" outlineLevel="1">
      <c r="A808" s="170" t="s">
        <v>302</v>
      </c>
      <c r="B808" s="157" t="s">
        <v>303</v>
      </c>
      <c r="C808" s="171">
        <v>42941</v>
      </c>
      <c r="D808" s="178"/>
      <c r="E808" s="157" t="s">
        <v>959</v>
      </c>
      <c r="F808" s="223" t="s">
        <v>305</v>
      </c>
      <c r="G808" s="223"/>
      <c r="H808" s="224" t="s">
        <v>306</v>
      </c>
      <c r="I808" s="157"/>
      <c r="J808" s="172"/>
      <c r="K808" s="157"/>
      <c r="L808" s="223" t="s">
        <v>296</v>
      </c>
      <c r="M808" s="173"/>
      <c r="N808" s="173"/>
      <c r="O808" s="157" t="s">
        <v>307</v>
      </c>
      <c r="P808" s="158"/>
      <c r="Q808" s="185"/>
      <c r="R808" s="175"/>
      <c r="S808" s="174">
        <f t="shared" si="35"/>
        <v>0</v>
      </c>
      <c r="T808" s="157"/>
      <c r="U808" s="177">
        <v>-63.62</v>
      </c>
      <c r="V808" s="157"/>
      <c r="W808" s="157"/>
      <c r="X808" s="176">
        <f t="shared" si="36"/>
        <v>-63.62</v>
      </c>
      <c r="Y808" s="184"/>
      <c r="Z808" s="179"/>
      <c r="AA808" s="157"/>
      <c r="AB808" s="157"/>
      <c r="AC808" s="157"/>
    </row>
    <row r="809" spans="1:29" ht="12" customHeight="1" outlineLevel="1">
      <c r="A809" s="170" t="s">
        <v>302</v>
      </c>
      <c r="B809" s="157" t="s">
        <v>303</v>
      </c>
      <c r="C809" s="171">
        <v>42942</v>
      </c>
      <c r="D809" s="178"/>
      <c r="E809" s="157" t="s">
        <v>960</v>
      </c>
      <c r="F809" s="223" t="s">
        <v>305</v>
      </c>
      <c r="G809" s="223"/>
      <c r="H809" s="224" t="s">
        <v>306</v>
      </c>
      <c r="I809" s="157"/>
      <c r="J809" s="172"/>
      <c r="K809" s="157"/>
      <c r="L809" s="223" t="s">
        <v>296</v>
      </c>
      <c r="M809" s="173"/>
      <c r="N809" s="173"/>
      <c r="O809" s="157" t="s">
        <v>307</v>
      </c>
      <c r="P809" s="158"/>
      <c r="Q809" s="185"/>
      <c r="R809" s="175"/>
      <c r="S809" s="174">
        <f t="shared" si="35"/>
        <v>0</v>
      </c>
      <c r="T809" s="157"/>
      <c r="U809" s="177">
        <v>-39.33</v>
      </c>
      <c r="V809" s="157"/>
      <c r="W809" s="157"/>
      <c r="X809" s="176">
        <f t="shared" si="36"/>
        <v>-39.33</v>
      </c>
      <c r="Y809" s="184"/>
      <c r="Z809" s="179"/>
      <c r="AA809" s="157"/>
      <c r="AB809" s="157"/>
      <c r="AC809" s="157"/>
    </row>
    <row r="810" spans="1:29" ht="12" customHeight="1" outlineLevel="1">
      <c r="A810" s="170" t="s">
        <v>302</v>
      </c>
      <c r="B810" s="157" t="s">
        <v>303</v>
      </c>
      <c r="C810" s="171">
        <v>42942</v>
      </c>
      <c r="D810" s="178"/>
      <c r="E810" s="157" t="s">
        <v>961</v>
      </c>
      <c r="F810" s="223" t="s">
        <v>305</v>
      </c>
      <c r="G810" s="223"/>
      <c r="H810" s="224" t="s">
        <v>306</v>
      </c>
      <c r="I810" s="157"/>
      <c r="J810" s="172"/>
      <c r="K810" s="157"/>
      <c r="L810" s="223" t="s">
        <v>296</v>
      </c>
      <c r="M810" s="173"/>
      <c r="N810" s="173"/>
      <c r="O810" s="157" t="s">
        <v>307</v>
      </c>
      <c r="P810" s="158"/>
      <c r="Q810" s="185"/>
      <c r="R810" s="175"/>
      <c r="S810" s="174">
        <f t="shared" si="35"/>
        <v>0</v>
      </c>
      <c r="T810" s="157"/>
      <c r="U810" s="177">
        <v>-2.5299999999999998</v>
      </c>
      <c r="V810" s="157"/>
      <c r="W810" s="157"/>
      <c r="X810" s="176">
        <f t="shared" si="36"/>
        <v>-2.5299999999999998</v>
      </c>
      <c r="Y810" s="184"/>
      <c r="Z810" s="179"/>
      <c r="AA810" s="157"/>
      <c r="AB810" s="157"/>
      <c r="AC810" s="157"/>
    </row>
    <row r="811" spans="1:29" ht="12" customHeight="1" outlineLevel="1">
      <c r="A811" s="170" t="s">
        <v>302</v>
      </c>
      <c r="B811" s="157" t="s">
        <v>303</v>
      </c>
      <c r="C811" s="171">
        <v>42942</v>
      </c>
      <c r="D811" s="178"/>
      <c r="E811" s="157" t="s">
        <v>962</v>
      </c>
      <c r="F811" s="223" t="s">
        <v>305</v>
      </c>
      <c r="G811" s="223"/>
      <c r="H811" s="224" t="s">
        <v>306</v>
      </c>
      <c r="I811" s="157"/>
      <c r="J811" s="172"/>
      <c r="K811" s="157"/>
      <c r="L811" s="223" t="s">
        <v>296</v>
      </c>
      <c r="M811" s="173"/>
      <c r="N811" s="173"/>
      <c r="O811" s="157" t="s">
        <v>307</v>
      </c>
      <c r="P811" s="158"/>
      <c r="Q811" s="185"/>
      <c r="R811" s="175"/>
      <c r="S811" s="174">
        <f t="shared" si="35"/>
        <v>0</v>
      </c>
      <c r="T811" s="157"/>
      <c r="U811" s="177">
        <v>-247.01</v>
      </c>
      <c r="V811" s="157"/>
      <c r="W811" s="157"/>
      <c r="X811" s="176">
        <f t="shared" si="36"/>
        <v>-247.01</v>
      </c>
      <c r="Y811" s="184"/>
      <c r="Z811" s="179"/>
      <c r="AA811" s="157"/>
      <c r="AB811" s="157"/>
      <c r="AC811" s="157"/>
    </row>
    <row r="812" spans="1:29" ht="12" customHeight="1" outlineLevel="1">
      <c r="A812" s="170" t="s">
        <v>302</v>
      </c>
      <c r="B812" s="157" t="s">
        <v>303</v>
      </c>
      <c r="C812" s="171">
        <v>42942</v>
      </c>
      <c r="D812" s="178"/>
      <c r="E812" s="157" t="s">
        <v>963</v>
      </c>
      <c r="F812" s="223" t="s">
        <v>305</v>
      </c>
      <c r="G812" s="223"/>
      <c r="H812" s="224" t="s">
        <v>306</v>
      </c>
      <c r="I812" s="157"/>
      <c r="J812" s="172"/>
      <c r="K812" s="157"/>
      <c r="L812" s="223" t="s">
        <v>296</v>
      </c>
      <c r="M812" s="173"/>
      <c r="N812" s="173"/>
      <c r="O812" s="157" t="s">
        <v>307</v>
      </c>
      <c r="P812" s="158"/>
      <c r="Q812" s="185"/>
      <c r="R812" s="175"/>
      <c r="S812" s="174">
        <f t="shared" si="35"/>
        <v>0</v>
      </c>
      <c r="T812" s="157"/>
      <c r="U812" s="177">
        <v>-104.86</v>
      </c>
      <c r="V812" s="157"/>
      <c r="W812" s="157"/>
      <c r="X812" s="176">
        <f t="shared" si="36"/>
        <v>-104.86</v>
      </c>
      <c r="Y812" s="184"/>
      <c r="Z812" s="179"/>
      <c r="AA812" s="157"/>
      <c r="AB812" s="157"/>
      <c r="AC812" s="157"/>
    </row>
    <row r="813" spans="1:29" ht="12" customHeight="1" outlineLevel="1">
      <c r="A813" s="170" t="s">
        <v>302</v>
      </c>
      <c r="B813" s="157" t="s">
        <v>303</v>
      </c>
      <c r="C813" s="171">
        <v>42919</v>
      </c>
      <c r="D813" s="178"/>
      <c r="E813" s="157" t="s">
        <v>964</v>
      </c>
      <c r="F813" s="223" t="s">
        <v>305</v>
      </c>
      <c r="G813" s="223"/>
      <c r="H813" s="224" t="s">
        <v>306</v>
      </c>
      <c r="I813" s="157" t="s">
        <v>1009</v>
      </c>
      <c r="J813" s="157" t="s">
        <v>1009</v>
      </c>
      <c r="K813" s="157" t="s">
        <v>1009</v>
      </c>
      <c r="L813" s="223" t="s">
        <v>296</v>
      </c>
      <c r="M813" s="173"/>
      <c r="N813" s="173"/>
      <c r="O813" s="157" t="s">
        <v>271</v>
      </c>
      <c r="P813" s="158">
        <v>2034.92</v>
      </c>
      <c r="Q813" s="185"/>
      <c r="R813" s="175"/>
      <c r="S813" s="174">
        <f t="shared" si="35"/>
        <v>2034.92</v>
      </c>
      <c r="T813" s="157"/>
      <c r="U813" s="177"/>
      <c r="V813" s="157"/>
      <c r="W813" s="157"/>
      <c r="X813" s="176">
        <f t="shared" si="36"/>
        <v>0</v>
      </c>
      <c r="Y813" s="184"/>
      <c r="Z813" s="179"/>
      <c r="AA813" s="157"/>
      <c r="AB813" s="157"/>
      <c r="AC813" s="157"/>
    </row>
    <row r="814" spans="1:29" ht="12" customHeight="1" outlineLevel="1">
      <c r="A814" s="170" t="s">
        <v>302</v>
      </c>
      <c r="B814" s="157" t="s">
        <v>303</v>
      </c>
      <c r="C814" s="171">
        <v>42919</v>
      </c>
      <c r="D814" s="178"/>
      <c r="E814" s="157" t="s">
        <v>965</v>
      </c>
      <c r="F814" s="223" t="s">
        <v>305</v>
      </c>
      <c r="G814" s="223"/>
      <c r="H814" s="224" t="s">
        <v>306</v>
      </c>
      <c r="I814" s="157" t="s">
        <v>1009</v>
      </c>
      <c r="J814" s="157" t="s">
        <v>1009</v>
      </c>
      <c r="K814" s="157" t="s">
        <v>1009</v>
      </c>
      <c r="L814" s="223" t="s">
        <v>296</v>
      </c>
      <c r="M814" s="173"/>
      <c r="N814" s="173"/>
      <c r="O814" s="157" t="s">
        <v>271</v>
      </c>
      <c r="P814" s="158">
        <v>1588.57</v>
      </c>
      <c r="Q814" s="185"/>
      <c r="R814" s="175"/>
      <c r="S814" s="174">
        <f t="shared" si="35"/>
        <v>1588.57</v>
      </c>
      <c r="T814" s="157"/>
      <c r="U814" s="177"/>
      <c r="V814" s="157"/>
      <c r="W814" s="157"/>
      <c r="X814" s="176">
        <f t="shared" si="36"/>
        <v>0</v>
      </c>
      <c r="Y814" s="184"/>
      <c r="Z814" s="179"/>
      <c r="AA814" s="157"/>
      <c r="AB814" s="157"/>
      <c r="AC814" s="157"/>
    </row>
    <row r="815" spans="1:29" ht="12" customHeight="1" outlineLevel="1">
      <c r="A815" s="170" t="s">
        <v>302</v>
      </c>
      <c r="B815" s="157" t="s">
        <v>303</v>
      </c>
      <c r="C815" s="171">
        <v>42919</v>
      </c>
      <c r="D815" s="178"/>
      <c r="E815" s="157" t="s">
        <v>966</v>
      </c>
      <c r="F815" s="223" t="s">
        <v>305</v>
      </c>
      <c r="G815" s="223"/>
      <c r="H815" s="224" t="s">
        <v>306</v>
      </c>
      <c r="I815" s="157" t="s">
        <v>1009</v>
      </c>
      <c r="J815" s="157" t="s">
        <v>1009</v>
      </c>
      <c r="K815" s="157" t="s">
        <v>1009</v>
      </c>
      <c r="L815" s="223" t="s">
        <v>296</v>
      </c>
      <c r="M815" s="173"/>
      <c r="N815" s="173"/>
      <c r="O815" s="157" t="s">
        <v>271</v>
      </c>
      <c r="P815" s="158">
        <v>1460.69</v>
      </c>
      <c r="Q815" s="185"/>
      <c r="R815" s="175"/>
      <c r="S815" s="174">
        <f t="shared" si="35"/>
        <v>1460.69</v>
      </c>
      <c r="T815" s="157"/>
      <c r="U815" s="177"/>
      <c r="V815" s="157"/>
      <c r="W815" s="157"/>
      <c r="X815" s="176">
        <f t="shared" si="36"/>
        <v>0</v>
      </c>
      <c r="Y815" s="184"/>
      <c r="Z815" s="179"/>
      <c r="AA815" s="157"/>
      <c r="AB815" s="157"/>
      <c r="AC815" s="157"/>
    </row>
    <row r="816" spans="1:29" ht="12" customHeight="1">
      <c r="A816" s="170" t="s">
        <v>302</v>
      </c>
      <c r="B816" s="157" t="s">
        <v>303</v>
      </c>
      <c r="C816" s="171">
        <v>42919</v>
      </c>
      <c r="D816" s="178"/>
      <c r="E816" s="157" t="s">
        <v>967</v>
      </c>
      <c r="F816" s="223" t="s">
        <v>305</v>
      </c>
      <c r="G816" s="223"/>
      <c r="H816" s="224" t="s">
        <v>306</v>
      </c>
      <c r="I816" s="157" t="s">
        <v>1009</v>
      </c>
      <c r="J816" s="157" t="s">
        <v>1009</v>
      </c>
      <c r="K816" s="157" t="s">
        <v>1009</v>
      </c>
      <c r="L816" s="223" t="s">
        <v>296</v>
      </c>
      <c r="M816" s="173"/>
      <c r="N816" s="173"/>
      <c r="O816" s="157" t="s">
        <v>271</v>
      </c>
      <c r="P816" s="158">
        <v>72.52</v>
      </c>
      <c r="Q816" s="185"/>
      <c r="R816" s="175"/>
      <c r="S816" s="174">
        <f t="shared" si="35"/>
        <v>72.52</v>
      </c>
      <c r="T816" s="157"/>
      <c r="U816" s="177"/>
      <c r="V816" s="157"/>
      <c r="W816" s="157"/>
      <c r="X816" s="176">
        <f t="shared" si="36"/>
        <v>0</v>
      </c>
      <c r="Y816" s="184"/>
      <c r="Z816" s="179"/>
      <c r="AA816" s="157"/>
      <c r="AB816" s="157"/>
      <c r="AC816" s="157"/>
    </row>
    <row r="817" spans="1:29" ht="12" thickBot="1">
      <c r="A817" s="157"/>
      <c r="B817" s="157"/>
      <c r="C817" s="157"/>
      <c r="D817" s="157"/>
      <c r="E817" s="157"/>
      <c r="F817" s="223"/>
      <c r="G817" s="157"/>
      <c r="H817" s="223"/>
      <c r="I817" s="157"/>
      <c r="J817" s="157"/>
      <c r="K817" s="157"/>
      <c r="L817" s="223"/>
      <c r="M817" s="157"/>
      <c r="N817" s="157"/>
      <c r="O817" s="157"/>
      <c r="P817" s="300">
        <f>SUM(P719:P816)</f>
        <v>34075.49</v>
      </c>
      <c r="Q817" s="300">
        <f t="shared" ref="Q817:X817" si="37">SUM(Q719:Q816)</f>
        <v>0</v>
      </c>
      <c r="R817" s="300">
        <f t="shared" si="37"/>
        <v>0</v>
      </c>
      <c r="S817" s="300">
        <f t="shared" si="37"/>
        <v>34075.49</v>
      </c>
      <c r="T817" s="300">
        <f t="shared" si="37"/>
        <v>0</v>
      </c>
      <c r="U817" s="300">
        <f t="shared" si="37"/>
        <v>-18740.89</v>
      </c>
      <c r="V817" s="300">
        <f t="shared" si="37"/>
        <v>0</v>
      </c>
      <c r="W817" s="300">
        <f t="shared" si="37"/>
        <v>0</v>
      </c>
      <c r="X817" s="300">
        <f t="shared" si="37"/>
        <v>-18740.89</v>
      </c>
      <c r="Y817" s="300">
        <f>X817+S817</f>
        <v>15334.599999999999</v>
      </c>
      <c r="Z817" s="301">
        <f>Y817/S817</f>
        <v>0.45001847368885961</v>
      </c>
      <c r="AA817" s="157"/>
      <c r="AB817" s="157"/>
      <c r="AC817" s="157"/>
    </row>
    <row r="818" spans="1:29" ht="12" thickTop="1">
      <c r="A818" s="157"/>
      <c r="B818" s="157"/>
      <c r="C818" s="157"/>
      <c r="D818" s="157"/>
      <c r="E818" s="157"/>
      <c r="F818" s="223"/>
      <c r="G818" s="157"/>
      <c r="H818" s="223"/>
      <c r="I818" s="157"/>
      <c r="J818" s="157"/>
      <c r="K818" s="157"/>
      <c r="L818" s="223"/>
      <c r="M818" s="157"/>
      <c r="N818" s="157"/>
      <c r="O818" s="157"/>
      <c r="P818" s="181"/>
      <c r="Q818" s="180"/>
      <c r="R818" s="180"/>
      <c r="S818" s="181"/>
      <c r="T818" s="180"/>
      <c r="U818" s="180"/>
      <c r="V818" s="180"/>
      <c r="W818" s="180"/>
      <c r="X818" s="181"/>
      <c r="Y818" s="181"/>
      <c r="Z818" s="182"/>
      <c r="AA818" s="157"/>
      <c r="AB818" s="157"/>
      <c r="AC818" s="157"/>
    </row>
    <row r="819" spans="1:29" ht="11.25">
      <c r="A819" s="157"/>
      <c r="B819" s="157"/>
      <c r="C819" s="157"/>
      <c r="D819" s="157"/>
      <c r="E819" s="157"/>
      <c r="F819" s="223"/>
      <c r="G819" s="157"/>
      <c r="H819" s="223"/>
      <c r="I819" s="157"/>
      <c r="J819" s="157"/>
      <c r="K819" s="157"/>
      <c r="L819" s="223"/>
      <c r="M819" s="157"/>
      <c r="N819" s="157"/>
      <c r="O819" s="157"/>
      <c r="P819" s="181"/>
      <c r="Q819" s="180"/>
      <c r="R819" s="180"/>
      <c r="S819" s="181"/>
      <c r="T819" s="180"/>
      <c r="U819" s="180"/>
      <c r="V819" s="180"/>
      <c r="W819" s="180"/>
      <c r="X819" s="181"/>
      <c r="Y819" s="181"/>
      <c r="Z819" s="182"/>
      <c r="AA819" s="157"/>
      <c r="AB819" s="157"/>
      <c r="AC819" s="157"/>
    </row>
    <row r="820" spans="1:29" ht="11.25">
      <c r="A820" s="157"/>
      <c r="B820" s="157"/>
      <c r="C820" s="157"/>
      <c r="D820" s="157"/>
      <c r="E820" s="157"/>
      <c r="F820" s="223"/>
      <c r="G820" s="157"/>
      <c r="H820" s="223"/>
      <c r="I820" s="157"/>
      <c r="J820" s="157"/>
      <c r="K820" s="157"/>
      <c r="L820" s="223"/>
      <c r="M820" s="157"/>
      <c r="N820" s="157"/>
      <c r="O820" s="157"/>
      <c r="P820" s="181"/>
      <c r="Q820" s="180"/>
      <c r="R820" s="180"/>
      <c r="S820" s="181"/>
      <c r="T820" s="180"/>
      <c r="U820" s="180"/>
      <c r="V820" s="180"/>
      <c r="W820" s="180"/>
      <c r="X820" s="181"/>
      <c r="Y820" s="181"/>
      <c r="Z820" s="182"/>
      <c r="AA820" s="157"/>
      <c r="AB820" s="157"/>
      <c r="AC820" s="157"/>
    </row>
    <row r="821" spans="1:29" ht="11.25">
      <c r="A821" s="157"/>
      <c r="B821" s="157"/>
      <c r="C821" s="157"/>
      <c r="D821" s="157"/>
      <c r="E821" s="157"/>
      <c r="F821" s="223"/>
      <c r="G821" s="157"/>
      <c r="H821" s="223"/>
      <c r="I821" s="157"/>
      <c r="J821" s="157"/>
      <c r="K821" s="157"/>
      <c r="L821" s="223"/>
      <c r="M821" s="157"/>
      <c r="N821" s="157"/>
      <c r="O821" s="157"/>
      <c r="P821" s="181"/>
      <c r="Q821" s="180"/>
      <c r="R821" s="180"/>
      <c r="S821" s="181"/>
      <c r="T821" s="180"/>
      <c r="U821" s="180"/>
      <c r="V821" s="180"/>
      <c r="W821" s="180"/>
      <c r="X821" s="181"/>
      <c r="Y821" s="181"/>
      <c r="Z821" s="182"/>
      <c r="AA821" s="157"/>
      <c r="AB821" s="157"/>
      <c r="AC821" s="157"/>
    </row>
    <row r="822" spans="1:29" ht="11.25">
      <c r="A822" s="157"/>
      <c r="B822" s="157"/>
      <c r="C822" s="157"/>
      <c r="D822" s="157"/>
      <c r="E822" s="157"/>
      <c r="F822" s="223"/>
      <c r="G822" s="157"/>
      <c r="H822" s="223"/>
      <c r="I822" s="157"/>
      <c r="J822" s="157"/>
      <c r="K822" s="157"/>
      <c r="L822" s="223"/>
      <c r="M822" s="157"/>
      <c r="N822" s="157"/>
      <c r="O822" s="157"/>
      <c r="P822" s="181"/>
      <c r="Q822" s="180"/>
      <c r="R822" s="180"/>
      <c r="S822" s="181"/>
      <c r="T822" s="180"/>
      <c r="U822" s="180"/>
      <c r="V822" s="180"/>
      <c r="W822" s="180"/>
      <c r="X822" s="181"/>
      <c r="Y822" s="181"/>
      <c r="Z822" s="182"/>
      <c r="AA822" s="157"/>
      <c r="AB822" s="157"/>
      <c r="AC822" s="157"/>
    </row>
    <row r="823" spans="1:29" ht="11.25">
      <c r="A823" s="157"/>
      <c r="B823" s="157"/>
      <c r="C823" s="157"/>
      <c r="D823" s="157"/>
      <c r="E823" s="157"/>
      <c r="F823" s="223"/>
      <c r="G823" s="157"/>
      <c r="H823" s="223"/>
      <c r="I823" s="157"/>
      <c r="J823" s="157"/>
      <c r="K823" s="157"/>
      <c r="L823" s="223"/>
      <c r="M823" s="157"/>
      <c r="N823" s="157"/>
      <c r="O823" s="157"/>
      <c r="P823" s="181"/>
      <c r="Q823" s="180"/>
      <c r="R823" s="180"/>
      <c r="S823" s="181"/>
      <c r="T823" s="180"/>
      <c r="U823" s="180"/>
      <c r="V823" s="180"/>
      <c r="W823" s="180"/>
      <c r="X823" s="181"/>
      <c r="Y823" s="181"/>
      <c r="Z823" s="182"/>
      <c r="AA823" s="157"/>
      <c r="AB823" s="157"/>
      <c r="AC823" s="157"/>
    </row>
    <row r="824" spans="1:29" ht="11.25">
      <c r="A824" s="157"/>
      <c r="B824" s="157"/>
      <c r="C824" s="157"/>
      <c r="D824" s="157"/>
      <c r="E824" s="157"/>
      <c r="F824" s="223"/>
      <c r="G824" s="157"/>
      <c r="H824" s="223"/>
      <c r="I824" s="157"/>
      <c r="J824" s="157"/>
      <c r="K824" s="157"/>
      <c r="L824" s="223"/>
      <c r="M824" s="157"/>
      <c r="N824" s="157"/>
      <c r="O824" s="157"/>
      <c r="P824" s="181"/>
      <c r="Q824" s="180"/>
      <c r="R824" s="180"/>
      <c r="S824" s="181"/>
      <c r="T824" s="180"/>
      <c r="U824" s="180"/>
      <c r="V824" s="180"/>
      <c r="W824" s="180"/>
      <c r="X824" s="181"/>
      <c r="Y824" s="181"/>
      <c r="Z824" s="182"/>
      <c r="AA824" s="157"/>
      <c r="AB824" s="157"/>
      <c r="AC824" s="157"/>
    </row>
    <row r="825" spans="1:29" ht="11.25">
      <c r="A825" s="157"/>
      <c r="B825" s="157"/>
      <c r="C825" s="157"/>
      <c r="D825" s="157"/>
      <c r="E825" s="157"/>
      <c r="F825" s="223"/>
      <c r="G825" s="157"/>
      <c r="H825" s="223"/>
      <c r="I825" s="157"/>
      <c r="J825" s="157"/>
      <c r="K825" s="157"/>
      <c r="L825" s="223"/>
      <c r="M825" s="157"/>
      <c r="N825" s="157"/>
      <c r="O825" s="157"/>
      <c r="P825" s="181"/>
      <c r="Q825" s="180"/>
      <c r="R825" s="180"/>
      <c r="S825" s="181"/>
      <c r="T825" s="180"/>
      <c r="U825" s="180"/>
      <c r="V825" s="180"/>
      <c r="W825" s="180"/>
      <c r="X825" s="181"/>
      <c r="Y825" s="181"/>
      <c r="Z825" s="182"/>
      <c r="AA825" s="157"/>
      <c r="AB825" s="157"/>
      <c r="AC825" s="157"/>
    </row>
    <row r="826" spans="1:29" ht="11.25">
      <c r="A826" s="157"/>
      <c r="B826" s="157"/>
      <c r="C826" s="157"/>
      <c r="D826" s="157"/>
      <c r="E826" s="157"/>
      <c r="F826" s="223"/>
      <c r="G826" s="157"/>
      <c r="H826" s="223"/>
      <c r="I826" s="157"/>
      <c r="J826" s="157"/>
      <c r="K826" s="157"/>
      <c r="L826" s="223"/>
      <c r="M826" s="157"/>
      <c r="N826" s="157"/>
      <c r="O826" s="157"/>
      <c r="P826" s="181"/>
      <c r="Q826" s="180"/>
      <c r="R826" s="180"/>
      <c r="S826" s="181"/>
      <c r="T826" s="180"/>
      <c r="U826" s="180"/>
      <c r="V826" s="180"/>
      <c r="W826" s="180"/>
      <c r="X826" s="181"/>
      <c r="Y826" s="181"/>
      <c r="Z826" s="182"/>
      <c r="AA826" s="157"/>
      <c r="AB826" s="157"/>
      <c r="AC826" s="157"/>
    </row>
    <row r="827" spans="1:29" ht="11.25">
      <c r="A827" s="157"/>
      <c r="B827" s="157"/>
      <c r="C827" s="157"/>
      <c r="D827" s="157"/>
      <c r="E827" s="157"/>
      <c r="F827" s="223"/>
      <c r="G827" s="157"/>
      <c r="H827" s="223"/>
      <c r="I827" s="157"/>
      <c r="J827" s="157"/>
      <c r="K827" s="157"/>
      <c r="L827" s="223"/>
      <c r="M827" s="157"/>
      <c r="N827" s="157"/>
      <c r="O827" s="157"/>
      <c r="P827" s="181"/>
      <c r="Q827" s="180"/>
      <c r="R827" s="180"/>
      <c r="S827" s="181"/>
      <c r="T827" s="180"/>
      <c r="U827" s="180"/>
      <c r="V827" s="180"/>
      <c r="W827" s="180"/>
      <c r="X827" s="181"/>
      <c r="Y827" s="181"/>
      <c r="Z827" s="182"/>
      <c r="AA827" s="157"/>
      <c r="AB827" s="157"/>
      <c r="AC827" s="157"/>
    </row>
    <row r="828" spans="1:29" ht="11.25">
      <c r="A828" s="157"/>
      <c r="B828" s="157"/>
      <c r="C828" s="157"/>
      <c r="D828" s="157"/>
      <c r="E828" s="157"/>
      <c r="F828" s="223"/>
      <c r="G828" s="157"/>
      <c r="H828" s="223"/>
      <c r="I828" s="157"/>
      <c r="J828" s="157"/>
      <c r="K828" s="157"/>
      <c r="L828" s="223"/>
      <c r="M828" s="157"/>
      <c r="N828" s="157"/>
      <c r="O828" s="157"/>
      <c r="P828" s="181"/>
      <c r="Q828" s="180"/>
      <c r="R828" s="180"/>
      <c r="S828" s="181"/>
      <c r="T828" s="180"/>
      <c r="U828" s="180"/>
      <c r="V828" s="180"/>
      <c r="W828" s="180"/>
      <c r="X828" s="181"/>
      <c r="Y828" s="181"/>
      <c r="Z828" s="182"/>
      <c r="AA828" s="157"/>
      <c r="AB828" s="157"/>
      <c r="AC828" s="157"/>
    </row>
    <row r="829" spans="1:29" ht="11.25">
      <c r="A829" s="157"/>
      <c r="B829" s="157"/>
      <c r="C829" s="157"/>
      <c r="D829" s="157"/>
      <c r="E829" s="157"/>
      <c r="F829" s="223"/>
      <c r="G829" s="157"/>
      <c r="H829" s="223"/>
      <c r="I829" s="157"/>
      <c r="J829" s="157"/>
      <c r="K829" s="157"/>
      <c r="L829" s="223"/>
      <c r="M829" s="157"/>
      <c r="N829" s="157"/>
      <c r="O829" s="157"/>
      <c r="P829" s="181"/>
      <c r="Q829" s="180"/>
      <c r="R829" s="180"/>
      <c r="S829" s="181"/>
      <c r="T829" s="180"/>
      <c r="U829" s="180"/>
      <c r="V829" s="180"/>
      <c r="W829" s="180"/>
      <c r="X829" s="181"/>
      <c r="Y829" s="181"/>
      <c r="Z829" s="182"/>
      <c r="AA829" s="157"/>
      <c r="AB829" s="157"/>
      <c r="AC829" s="157"/>
    </row>
    <row r="830" spans="1:29" ht="11.25">
      <c r="A830" s="157"/>
      <c r="B830" s="157"/>
      <c r="C830" s="157"/>
      <c r="D830" s="157"/>
      <c r="E830" s="157"/>
      <c r="F830" s="223"/>
      <c r="G830" s="157"/>
      <c r="H830" s="223"/>
      <c r="I830" s="157"/>
      <c r="J830" s="157"/>
      <c r="K830" s="157"/>
      <c r="L830" s="223"/>
      <c r="M830" s="157"/>
      <c r="N830" s="157"/>
      <c r="O830" s="157"/>
      <c r="P830" s="181"/>
      <c r="Q830" s="180"/>
      <c r="R830" s="180"/>
      <c r="S830" s="181"/>
      <c r="T830" s="180"/>
      <c r="U830" s="180"/>
      <c r="V830" s="180"/>
      <c r="W830" s="180"/>
      <c r="X830" s="181"/>
      <c r="Y830" s="181"/>
      <c r="Z830" s="182"/>
      <c r="AA830" s="157"/>
      <c r="AB830" s="157"/>
      <c r="AC830" s="157"/>
    </row>
    <row r="831" spans="1:29" ht="11.25">
      <c r="A831" s="157"/>
      <c r="B831" s="157"/>
      <c r="C831" s="157"/>
      <c r="D831" s="157"/>
      <c r="E831" s="157"/>
      <c r="F831" s="223"/>
      <c r="G831" s="157"/>
      <c r="H831" s="223"/>
      <c r="I831" s="157"/>
      <c r="J831" s="157"/>
      <c r="K831" s="157"/>
      <c r="L831" s="223"/>
      <c r="M831" s="157"/>
      <c r="N831" s="157"/>
      <c r="O831" s="157"/>
      <c r="P831" s="181"/>
      <c r="Q831" s="180"/>
      <c r="R831" s="180"/>
      <c r="S831" s="181"/>
      <c r="T831" s="180"/>
      <c r="U831" s="180"/>
      <c r="V831" s="180"/>
      <c r="W831" s="180"/>
      <c r="X831" s="181"/>
      <c r="Y831" s="181"/>
      <c r="Z831" s="182"/>
      <c r="AA831" s="157"/>
      <c r="AB831" s="157"/>
      <c r="AC831" s="157"/>
    </row>
    <row r="832" spans="1:29" ht="11.25">
      <c r="A832" s="157"/>
      <c r="B832" s="157"/>
      <c r="C832" s="157"/>
      <c r="D832" s="157"/>
      <c r="E832" s="157"/>
      <c r="F832" s="223"/>
      <c r="G832" s="157"/>
      <c r="H832" s="223"/>
      <c r="I832" s="157"/>
      <c r="J832" s="157"/>
      <c r="K832" s="157"/>
      <c r="L832" s="223"/>
      <c r="M832" s="157"/>
      <c r="N832" s="157"/>
      <c r="O832" s="157"/>
      <c r="P832" s="181"/>
      <c r="Q832" s="180"/>
      <c r="R832" s="180"/>
      <c r="S832" s="181"/>
      <c r="T832" s="180"/>
      <c r="U832" s="180"/>
      <c r="V832" s="180"/>
      <c r="W832" s="180"/>
      <c r="X832" s="181"/>
      <c r="Y832" s="181"/>
      <c r="Z832" s="182"/>
      <c r="AA832" s="157"/>
      <c r="AB832" s="157"/>
      <c r="AC832" s="157"/>
    </row>
    <row r="833" spans="1:29" ht="11.25">
      <c r="A833" s="157"/>
      <c r="B833" s="157"/>
      <c r="C833" s="157"/>
      <c r="D833" s="157"/>
      <c r="E833" s="157"/>
      <c r="F833" s="223"/>
      <c r="G833" s="157"/>
      <c r="H833" s="223"/>
      <c r="I833" s="157"/>
      <c r="J833" s="157"/>
      <c r="K833" s="157"/>
      <c r="L833" s="223"/>
      <c r="M833" s="157"/>
      <c r="N833" s="157"/>
      <c r="O833" s="157"/>
      <c r="P833" s="181"/>
      <c r="Q833" s="180"/>
      <c r="R833" s="180"/>
      <c r="S833" s="181"/>
      <c r="T833" s="180"/>
      <c r="U833" s="180"/>
      <c r="V833" s="180"/>
      <c r="W833" s="180"/>
      <c r="X833" s="181"/>
      <c r="Y833" s="181"/>
      <c r="Z833" s="182"/>
      <c r="AA833" s="157"/>
      <c r="AB833" s="157"/>
      <c r="AC833" s="157"/>
    </row>
    <row r="834" spans="1:29" ht="11.25">
      <c r="A834" s="157"/>
      <c r="B834" s="157"/>
      <c r="C834" s="157"/>
      <c r="D834" s="157"/>
      <c r="E834" s="157"/>
      <c r="F834" s="223"/>
      <c r="G834" s="157"/>
      <c r="H834" s="223"/>
      <c r="I834" s="157"/>
      <c r="J834" s="157"/>
      <c r="K834" s="157"/>
      <c r="L834" s="223"/>
      <c r="M834" s="157"/>
      <c r="N834" s="157"/>
      <c r="O834" s="157"/>
      <c r="P834" s="181"/>
      <c r="Q834" s="180"/>
      <c r="R834" s="180"/>
      <c r="S834" s="181"/>
      <c r="T834" s="180"/>
      <c r="U834" s="180"/>
      <c r="V834" s="180"/>
      <c r="W834" s="180"/>
      <c r="X834" s="181"/>
      <c r="Y834" s="181"/>
      <c r="Z834" s="182"/>
      <c r="AA834" s="157"/>
      <c r="AB834" s="157"/>
      <c r="AC834" s="157"/>
    </row>
    <row r="835" spans="1:29" ht="11.25">
      <c r="A835" s="157"/>
      <c r="B835" s="157"/>
      <c r="C835" s="157"/>
      <c r="D835" s="157"/>
      <c r="E835" s="157"/>
      <c r="F835" s="223"/>
      <c r="G835" s="157"/>
      <c r="H835" s="223"/>
      <c r="I835" s="157"/>
      <c r="J835" s="157"/>
      <c r="K835" s="157"/>
      <c r="L835" s="223"/>
      <c r="M835" s="157"/>
      <c r="N835" s="157"/>
      <c r="O835" s="157"/>
      <c r="P835" s="181"/>
      <c r="Q835" s="180"/>
      <c r="R835" s="180"/>
      <c r="S835" s="181"/>
      <c r="T835" s="180"/>
      <c r="U835" s="180"/>
      <c r="V835" s="180"/>
      <c r="W835" s="180"/>
      <c r="X835" s="181"/>
      <c r="Y835" s="181"/>
      <c r="Z835" s="182"/>
      <c r="AA835" s="157"/>
      <c r="AB835" s="157"/>
      <c r="AC835" s="157"/>
    </row>
    <row r="836" spans="1:29" ht="11.25">
      <c r="A836" s="157"/>
      <c r="B836" s="157"/>
      <c r="C836" s="157"/>
      <c r="D836" s="157"/>
      <c r="E836" s="157"/>
      <c r="F836" s="223"/>
      <c r="G836" s="157"/>
      <c r="H836" s="223"/>
      <c r="I836" s="157"/>
      <c r="J836" s="157"/>
      <c r="K836" s="157"/>
      <c r="L836" s="223"/>
      <c r="M836" s="157"/>
      <c r="N836" s="157"/>
      <c r="O836" s="157"/>
      <c r="P836" s="181"/>
      <c r="Q836" s="180"/>
      <c r="R836" s="180"/>
      <c r="S836" s="181"/>
      <c r="T836" s="180"/>
      <c r="U836" s="180"/>
      <c r="V836" s="180"/>
      <c r="W836" s="180"/>
      <c r="X836" s="181"/>
      <c r="Y836" s="181"/>
      <c r="Z836" s="182"/>
      <c r="AA836" s="157"/>
      <c r="AB836" s="157"/>
      <c r="AC836" s="157"/>
    </row>
    <row r="837" spans="1:29" ht="11.25">
      <c r="A837" s="157"/>
      <c r="B837" s="157"/>
      <c r="C837" s="157"/>
      <c r="D837" s="157"/>
      <c r="E837" s="157"/>
      <c r="F837" s="223"/>
      <c r="G837" s="157"/>
      <c r="H837" s="223"/>
      <c r="I837" s="157"/>
      <c r="J837" s="157"/>
      <c r="K837" s="157"/>
      <c r="L837" s="223"/>
      <c r="M837" s="157"/>
      <c r="N837" s="157"/>
      <c r="O837" s="157"/>
      <c r="P837" s="181"/>
      <c r="Q837" s="180"/>
      <c r="R837" s="180"/>
      <c r="S837" s="181"/>
      <c r="T837" s="180"/>
      <c r="U837" s="180"/>
      <c r="V837" s="180"/>
      <c r="W837" s="180"/>
      <c r="X837" s="181"/>
      <c r="Y837" s="181"/>
      <c r="Z837" s="182"/>
      <c r="AA837" s="157"/>
      <c r="AB837" s="157"/>
      <c r="AC837" s="157"/>
    </row>
    <row r="838" spans="1:29" ht="11.25">
      <c r="A838" s="157"/>
      <c r="B838" s="157"/>
      <c r="C838" s="157"/>
      <c r="D838" s="157"/>
      <c r="E838" s="157"/>
      <c r="F838" s="223"/>
      <c r="G838" s="157"/>
      <c r="H838" s="223"/>
      <c r="I838" s="157"/>
      <c r="J838" s="157"/>
      <c r="K838" s="157"/>
      <c r="L838" s="223"/>
      <c r="M838" s="157"/>
      <c r="N838" s="157"/>
      <c r="O838" s="157"/>
      <c r="P838" s="181"/>
      <c r="Q838" s="180"/>
      <c r="R838" s="180"/>
      <c r="S838" s="181"/>
      <c r="T838" s="180"/>
      <c r="U838" s="180"/>
      <c r="V838" s="180"/>
      <c r="W838" s="180"/>
      <c r="X838" s="181"/>
      <c r="Y838" s="181"/>
      <c r="Z838" s="182"/>
      <c r="AA838" s="157"/>
      <c r="AB838" s="157"/>
      <c r="AC838" s="157"/>
    </row>
    <row r="839" spans="1:29" ht="11.25">
      <c r="A839" s="157"/>
      <c r="B839" s="157"/>
      <c r="C839" s="157"/>
      <c r="D839" s="157"/>
      <c r="E839" s="157"/>
      <c r="F839" s="223"/>
      <c r="G839" s="157"/>
      <c r="H839" s="223"/>
      <c r="I839" s="157"/>
      <c r="J839" s="157"/>
      <c r="K839" s="157"/>
      <c r="L839" s="223"/>
      <c r="M839" s="157"/>
      <c r="N839" s="157"/>
      <c r="O839" s="157"/>
      <c r="P839" s="181"/>
      <c r="Q839" s="180"/>
      <c r="R839" s="180"/>
      <c r="S839" s="181"/>
      <c r="T839" s="180"/>
      <c r="U839" s="180"/>
      <c r="V839" s="180"/>
      <c r="W839" s="180"/>
      <c r="X839" s="181"/>
      <c r="Y839" s="181"/>
      <c r="Z839" s="182"/>
      <c r="AA839" s="157"/>
      <c r="AB839" s="157"/>
      <c r="AC839" s="157"/>
    </row>
    <row r="840" spans="1:29" ht="11.25">
      <c r="A840" s="157"/>
      <c r="B840" s="157"/>
      <c r="C840" s="157"/>
      <c r="D840" s="157"/>
      <c r="E840" s="157"/>
      <c r="F840" s="223"/>
      <c r="G840" s="157"/>
      <c r="H840" s="223"/>
      <c r="I840" s="157"/>
      <c r="J840" s="157"/>
      <c r="K840" s="157"/>
      <c r="L840" s="223"/>
      <c r="M840" s="157"/>
      <c r="N840" s="157"/>
      <c r="O840" s="157"/>
      <c r="P840" s="181"/>
      <c r="Q840" s="180"/>
      <c r="R840" s="180"/>
      <c r="S840" s="181"/>
      <c r="T840" s="180"/>
      <c r="U840" s="180"/>
      <c r="V840" s="180"/>
      <c r="W840" s="180"/>
      <c r="X840" s="181"/>
      <c r="Y840" s="181"/>
      <c r="Z840" s="182"/>
      <c r="AA840" s="157"/>
      <c r="AB840" s="157"/>
      <c r="AC840" s="157"/>
    </row>
    <row r="841" spans="1:29" ht="11.25">
      <c r="A841" s="157"/>
      <c r="B841" s="157"/>
      <c r="C841" s="157"/>
      <c r="D841" s="157"/>
      <c r="E841" s="157"/>
      <c r="F841" s="223"/>
      <c r="G841" s="157"/>
      <c r="H841" s="223"/>
      <c r="I841" s="157"/>
      <c r="J841" s="157"/>
      <c r="K841" s="157"/>
      <c r="L841" s="223"/>
      <c r="M841" s="157"/>
      <c r="N841" s="157"/>
      <c r="O841" s="157"/>
      <c r="P841" s="181"/>
      <c r="Q841" s="180"/>
      <c r="R841" s="180"/>
      <c r="S841" s="181"/>
      <c r="T841" s="180"/>
      <c r="U841" s="180"/>
      <c r="V841" s="180"/>
      <c r="W841" s="180"/>
      <c r="X841" s="181"/>
      <c r="Y841" s="181"/>
      <c r="Z841" s="182"/>
      <c r="AA841" s="157"/>
      <c r="AB841" s="157"/>
      <c r="AC841" s="157"/>
    </row>
    <row r="842" spans="1:29" ht="11.25">
      <c r="A842" s="157"/>
      <c r="B842" s="157"/>
      <c r="C842" s="157"/>
      <c r="D842" s="157"/>
      <c r="E842" s="157"/>
      <c r="F842" s="223"/>
      <c r="G842" s="157"/>
      <c r="H842" s="223"/>
      <c r="I842" s="157"/>
      <c r="J842" s="157"/>
      <c r="K842" s="157"/>
      <c r="L842" s="223"/>
      <c r="M842" s="157"/>
      <c r="N842" s="157"/>
      <c r="O842" s="157"/>
      <c r="P842" s="181"/>
      <c r="Q842" s="180"/>
      <c r="R842" s="180"/>
      <c r="S842" s="181"/>
      <c r="T842" s="180"/>
      <c r="U842" s="180"/>
      <c r="V842" s="180"/>
      <c r="W842" s="180"/>
      <c r="X842" s="181"/>
      <c r="Y842" s="181"/>
      <c r="Z842" s="182"/>
      <c r="AA842" s="157"/>
      <c r="AB842" s="157"/>
      <c r="AC842" s="157"/>
    </row>
    <row r="843" spans="1:29" ht="11.25">
      <c r="A843" s="157"/>
      <c r="B843" s="157"/>
      <c r="C843" s="157"/>
      <c r="D843" s="157"/>
      <c r="E843" s="157"/>
      <c r="F843" s="223"/>
      <c r="G843" s="157"/>
      <c r="H843" s="223"/>
      <c r="I843" s="157"/>
      <c r="J843" s="157"/>
      <c r="K843" s="157"/>
      <c r="L843" s="223"/>
      <c r="M843" s="157"/>
      <c r="N843" s="157"/>
      <c r="O843" s="157"/>
      <c r="P843" s="181"/>
      <c r="Q843" s="180"/>
      <c r="R843" s="180"/>
      <c r="S843" s="181"/>
      <c r="T843" s="180"/>
      <c r="U843" s="180"/>
      <c r="V843" s="180"/>
      <c r="W843" s="180"/>
      <c r="X843" s="181"/>
      <c r="Y843" s="181"/>
      <c r="Z843" s="182"/>
      <c r="AA843" s="157"/>
      <c r="AB843" s="157"/>
      <c r="AC843" s="157"/>
    </row>
    <row r="844" spans="1:29" ht="11.25">
      <c r="A844" s="157"/>
      <c r="B844" s="157"/>
      <c r="C844" s="157"/>
      <c r="D844" s="157"/>
      <c r="E844" s="157"/>
      <c r="F844" s="223"/>
      <c r="G844" s="157"/>
      <c r="H844" s="223"/>
      <c r="I844" s="157"/>
      <c r="J844" s="157"/>
      <c r="K844" s="157"/>
      <c r="L844" s="223"/>
      <c r="M844" s="157"/>
      <c r="N844" s="157"/>
      <c r="O844" s="157"/>
      <c r="P844" s="181"/>
      <c r="Q844" s="180"/>
      <c r="R844" s="180"/>
      <c r="S844" s="181"/>
      <c r="T844" s="180"/>
      <c r="U844" s="180"/>
      <c r="V844" s="180"/>
      <c r="W844" s="180"/>
      <c r="X844" s="181"/>
      <c r="Y844" s="181"/>
      <c r="Z844" s="182"/>
      <c r="AA844" s="157"/>
      <c r="AB844" s="157"/>
      <c r="AC844" s="157"/>
    </row>
    <row r="845" spans="1:29" ht="11.25">
      <c r="A845" s="157"/>
      <c r="B845" s="157"/>
      <c r="C845" s="157"/>
      <c r="D845" s="157"/>
      <c r="E845" s="157"/>
      <c r="F845" s="223"/>
      <c r="G845" s="157"/>
      <c r="H845" s="223"/>
      <c r="I845" s="157"/>
      <c r="J845" s="157"/>
      <c r="K845" s="157"/>
      <c r="L845" s="223"/>
      <c r="M845" s="157"/>
      <c r="N845" s="157"/>
      <c r="O845" s="157"/>
      <c r="P845" s="181"/>
      <c r="Q845" s="180"/>
      <c r="R845" s="180"/>
      <c r="S845" s="181"/>
      <c r="T845" s="180"/>
      <c r="U845" s="180"/>
      <c r="V845" s="180"/>
      <c r="W845" s="180"/>
      <c r="X845" s="181"/>
      <c r="Y845" s="181"/>
      <c r="Z845" s="182"/>
      <c r="AA845" s="157"/>
      <c r="AB845" s="157"/>
      <c r="AC845" s="157"/>
    </row>
    <row r="846" spans="1:29" ht="11.25">
      <c r="A846" s="157"/>
      <c r="B846" s="157"/>
      <c r="C846" s="157"/>
      <c r="D846" s="157"/>
      <c r="E846" s="157"/>
      <c r="F846" s="223"/>
      <c r="G846" s="157"/>
      <c r="H846" s="223"/>
      <c r="I846" s="157"/>
      <c r="J846" s="157"/>
      <c r="K846" s="157"/>
      <c r="L846" s="223"/>
      <c r="M846" s="157"/>
      <c r="N846" s="157"/>
      <c r="O846" s="157"/>
      <c r="P846" s="181"/>
      <c r="Q846" s="180"/>
      <c r="R846" s="180"/>
      <c r="S846" s="181"/>
      <c r="T846" s="180"/>
      <c r="U846" s="180"/>
      <c r="V846" s="180"/>
      <c r="W846" s="180"/>
      <c r="X846" s="181"/>
      <c r="Y846" s="181"/>
      <c r="Z846" s="182"/>
      <c r="AA846" s="157"/>
      <c r="AB846" s="157"/>
      <c r="AC846" s="157"/>
    </row>
    <row r="847" spans="1:29" ht="11.25">
      <c r="A847" s="157"/>
      <c r="B847" s="157"/>
      <c r="C847" s="157"/>
      <c r="D847" s="157"/>
      <c r="E847" s="157"/>
      <c r="F847" s="223"/>
      <c r="G847" s="157"/>
      <c r="H847" s="223"/>
      <c r="I847" s="157"/>
      <c r="J847" s="157"/>
      <c r="K847" s="157"/>
      <c r="L847" s="223"/>
      <c r="M847" s="157"/>
      <c r="N847" s="157"/>
      <c r="O847" s="157"/>
      <c r="P847" s="181"/>
      <c r="Q847" s="180"/>
      <c r="R847" s="180"/>
      <c r="S847" s="181"/>
      <c r="T847" s="180"/>
      <c r="U847" s="180"/>
      <c r="V847" s="180"/>
      <c r="W847" s="180"/>
      <c r="X847" s="181"/>
      <c r="Y847" s="181"/>
      <c r="Z847" s="182"/>
      <c r="AA847" s="157"/>
      <c r="AB847" s="157"/>
      <c r="AC847" s="157"/>
    </row>
    <row r="848" spans="1:29" ht="11.25">
      <c r="A848" s="157"/>
      <c r="B848" s="157"/>
      <c r="C848" s="157"/>
      <c r="D848" s="157"/>
      <c r="E848" s="157"/>
      <c r="F848" s="223"/>
      <c r="G848" s="157"/>
      <c r="H848" s="223"/>
      <c r="I848" s="157"/>
      <c r="J848" s="157"/>
      <c r="K848" s="157"/>
      <c r="L848" s="223"/>
      <c r="M848" s="157"/>
      <c r="N848" s="157"/>
      <c r="O848" s="157"/>
      <c r="P848" s="181"/>
      <c r="Q848" s="180"/>
      <c r="R848" s="180"/>
      <c r="S848" s="181"/>
      <c r="T848" s="180"/>
      <c r="U848" s="180"/>
      <c r="V848" s="180"/>
      <c r="W848" s="180"/>
      <c r="X848" s="181"/>
      <c r="Y848" s="181"/>
      <c r="Z848" s="182"/>
      <c r="AA848" s="157"/>
      <c r="AB848" s="157"/>
      <c r="AC848" s="157"/>
    </row>
    <row r="849" spans="1:29" ht="11.25">
      <c r="A849" s="157"/>
      <c r="B849" s="157"/>
      <c r="C849" s="157"/>
      <c r="D849" s="157"/>
      <c r="E849" s="157"/>
      <c r="F849" s="223"/>
      <c r="G849" s="157"/>
      <c r="H849" s="223"/>
      <c r="I849" s="157"/>
      <c r="J849" s="157"/>
      <c r="K849" s="157"/>
      <c r="L849" s="223"/>
      <c r="M849" s="157"/>
      <c r="N849" s="157"/>
      <c r="O849" s="157"/>
      <c r="P849" s="181"/>
      <c r="Q849" s="180"/>
      <c r="R849" s="180"/>
      <c r="S849" s="181"/>
      <c r="T849" s="180"/>
      <c r="U849" s="180"/>
      <c r="V849" s="180"/>
      <c r="W849" s="180"/>
      <c r="X849" s="181"/>
      <c r="Y849" s="181"/>
      <c r="Z849" s="182"/>
      <c r="AA849" s="157"/>
      <c r="AB849" s="157"/>
      <c r="AC849" s="157"/>
    </row>
    <row r="850" spans="1:29" ht="11.25">
      <c r="A850" s="157"/>
      <c r="B850" s="157"/>
      <c r="C850" s="157"/>
      <c r="D850" s="157"/>
      <c r="E850" s="157"/>
      <c r="F850" s="223"/>
      <c r="G850" s="157"/>
      <c r="H850" s="223"/>
      <c r="I850" s="157"/>
      <c r="J850" s="157"/>
      <c r="K850" s="157"/>
      <c r="L850" s="223"/>
      <c r="M850" s="157"/>
      <c r="N850" s="157"/>
      <c r="O850" s="157"/>
      <c r="P850" s="181"/>
      <c r="Q850" s="180"/>
      <c r="R850" s="180"/>
      <c r="S850" s="181"/>
      <c r="T850" s="180"/>
      <c r="U850" s="180"/>
      <c r="V850" s="180"/>
      <c r="W850" s="180"/>
      <c r="X850" s="181"/>
      <c r="Y850" s="181"/>
      <c r="Z850" s="182"/>
      <c r="AA850" s="157"/>
      <c r="AB850" s="157"/>
      <c r="AC850" s="157"/>
    </row>
    <row r="851" spans="1:29" ht="11.25">
      <c r="A851" s="157"/>
      <c r="B851" s="157"/>
      <c r="C851" s="157"/>
      <c r="D851" s="157"/>
      <c r="E851" s="157"/>
      <c r="F851" s="223"/>
      <c r="G851" s="157"/>
      <c r="H851" s="223"/>
      <c r="I851" s="157"/>
      <c r="J851" s="157"/>
      <c r="K851" s="157"/>
      <c r="L851" s="223"/>
      <c r="M851" s="157"/>
      <c r="N851" s="157"/>
      <c r="O851" s="157"/>
      <c r="P851" s="181"/>
      <c r="Q851" s="180"/>
      <c r="R851" s="180"/>
      <c r="S851" s="181"/>
      <c r="T851" s="180"/>
      <c r="U851" s="180"/>
      <c r="V851" s="180"/>
      <c r="W851" s="180"/>
      <c r="X851" s="181"/>
      <c r="Y851" s="181"/>
      <c r="Z851" s="182"/>
      <c r="AA851" s="157"/>
      <c r="AB851" s="157"/>
      <c r="AC851" s="157"/>
    </row>
    <row r="852" spans="1:29" ht="11.25">
      <c r="A852" s="157"/>
      <c r="B852" s="157"/>
      <c r="C852" s="157"/>
      <c r="D852" s="157"/>
      <c r="E852" s="157"/>
      <c r="F852" s="223"/>
      <c r="G852" s="157"/>
      <c r="H852" s="223"/>
      <c r="I852" s="157"/>
      <c r="J852" s="157"/>
      <c r="K852" s="157"/>
      <c r="L852" s="223"/>
      <c r="M852" s="157"/>
      <c r="N852" s="157"/>
      <c r="O852" s="157"/>
      <c r="P852" s="181"/>
      <c r="Q852" s="180"/>
      <c r="R852" s="180"/>
      <c r="S852" s="181"/>
      <c r="T852" s="180"/>
      <c r="U852" s="180"/>
      <c r="V852" s="180"/>
      <c r="W852" s="180"/>
      <c r="X852" s="181"/>
      <c r="Y852" s="181"/>
      <c r="Z852" s="182"/>
      <c r="AA852" s="157"/>
      <c r="AB852" s="157"/>
      <c r="AC852" s="157"/>
    </row>
    <row r="853" spans="1:29" ht="11.25">
      <c r="A853" s="157"/>
      <c r="B853" s="157"/>
      <c r="C853" s="157"/>
      <c r="D853" s="157"/>
      <c r="E853" s="157"/>
      <c r="F853" s="223"/>
      <c r="G853" s="157"/>
      <c r="H853" s="223"/>
      <c r="I853" s="157"/>
      <c r="J853" s="157"/>
      <c r="K853" s="157"/>
      <c r="L853" s="223"/>
      <c r="M853" s="157"/>
      <c r="N853" s="157"/>
      <c r="O853" s="157"/>
      <c r="P853" s="181"/>
      <c r="Q853" s="180"/>
      <c r="R853" s="180"/>
      <c r="S853" s="181"/>
      <c r="T853" s="180"/>
      <c r="U853" s="180"/>
      <c r="V853" s="180"/>
      <c r="W853" s="180"/>
      <c r="X853" s="181"/>
      <c r="Y853" s="181"/>
      <c r="Z853" s="182"/>
      <c r="AA853" s="157"/>
      <c r="AB853" s="157"/>
      <c r="AC853" s="157"/>
    </row>
    <row r="854" spans="1:29" ht="11.25">
      <c r="A854" s="157"/>
      <c r="B854" s="157"/>
      <c r="C854" s="157"/>
      <c r="D854" s="157"/>
      <c r="E854" s="157"/>
      <c r="F854" s="223"/>
      <c r="G854" s="157"/>
      <c r="H854" s="223"/>
      <c r="I854" s="157"/>
      <c r="J854" s="157"/>
      <c r="K854" s="157"/>
      <c r="L854" s="223"/>
      <c r="M854" s="157"/>
      <c r="N854" s="157"/>
      <c r="O854" s="157"/>
      <c r="P854" s="181"/>
      <c r="Q854" s="180"/>
      <c r="R854" s="180"/>
      <c r="S854" s="181"/>
      <c r="T854" s="180"/>
      <c r="U854" s="180"/>
      <c r="V854" s="180"/>
      <c r="W854" s="180"/>
      <c r="X854" s="181"/>
      <c r="Y854" s="181"/>
      <c r="Z854" s="182"/>
      <c r="AA854" s="157"/>
      <c r="AB854" s="157"/>
      <c r="AC854" s="157"/>
    </row>
    <row r="855" spans="1:29" ht="11.25">
      <c r="A855" s="157"/>
      <c r="B855" s="157"/>
      <c r="C855" s="157"/>
      <c r="D855" s="157"/>
      <c r="E855" s="157"/>
      <c r="F855" s="223"/>
      <c r="G855" s="157"/>
      <c r="H855" s="223"/>
      <c r="I855" s="157"/>
      <c r="J855" s="157"/>
      <c r="K855" s="157"/>
      <c r="L855" s="223"/>
      <c r="M855" s="157"/>
      <c r="N855" s="157"/>
      <c r="O855" s="157"/>
      <c r="P855" s="181"/>
      <c r="Q855" s="180"/>
      <c r="R855" s="180"/>
      <c r="S855" s="181"/>
      <c r="T855" s="180"/>
      <c r="U855" s="180"/>
      <c r="V855" s="180"/>
      <c r="W855" s="180"/>
      <c r="X855" s="181"/>
      <c r="Y855" s="181"/>
      <c r="Z855" s="182"/>
      <c r="AA855" s="157"/>
      <c r="AB855" s="157"/>
      <c r="AC855" s="157"/>
    </row>
    <row r="856" spans="1:29" ht="11.25">
      <c r="A856" s="157"/>
      <c r="B856" s="157"/>
      <c r="C856" s="157"/>
      <c r="D856" s="157"/>
      <c r="E856" s="157"/>
      <c r="F856" s="223"/>
      <c r="G856" s="157"/>
      <c r="H856" s="223"/>
      <c r="I856" s="157"/>
      <c r="J856" s="157"/>
      <c r="K856" s="157"/>
      <c r="L856" s="223"/>
      <c r="M856" s="157"/>
      <c r="N856" s="157"/>
      <c r="O856" s="157"/>
      <c r="P856" s="181"/>
      <c r="Q856" s="180"/>
      <c r="R856" s="180"/>
      <c r="S856" s="181"/>
      <c r="T856" s="180"/>
      <c r="U856" s="180"/>
      <c r="V856" s="180"/>
      <c r="W856" s="180"/>
      <c r="X856" s="181"/>
      <c r="Y856" s="181"/>
      <c r="Z856" s="182"/>
      <c r="AA856" s="157"/>
      <c r="AB856" s="157"/>
      <c r="AC856" s="157"/>
    </row>
    <row r="857" spans="1:29" ht="11.25">
      <c r="A857" s="157"/>
      <c r="B857" s="157"/>
      <c r="C857" s="157"/>
      <c r="D857" s="157"/>
      <c r="E857" s="157"/>
      <c r="F857" s="223"/>
      <c r="G857" s="157"/>
      <c r="H857" s="223"/>
      <c r="I857" s="157"/>
      <c r="J857" s="157"/>
      <c r="K857" s="157"/>
      <c r="L857" s="223"/>
      <c r="M857" s="157"/>
      <c r="N857" s="157"/>
      <c r="O857" s="157"/>
      <c r="P857" s="181"/>
      <c r="Q857" s="180"/>
      <c r="R857" s="180"/>
      <c r="S857" s="181"/>
      <c r="T857" s="180"/>
      <c r="U857" s="180"/>
      <c r="V857" s="180"/>
      <c r="W857" s="180"/>
      <c r="X857" s="181"/>
      <c r="Y857" s="181"/>
      <c r="Z857" s="182"/>
      <c r="AA857" s="157"/>
      <c r="AB857" s="157"/>
      <c r="AC857" s="157"/>
    </row>
    <row r="858" spans="1:29" ht="11.25">
      <c r="A858" s="157"/>
      <c r="B858" s="157"/>
      <c r="C858" s="157"/>
      <c r="D858" s="157"/>
      <c r="E858" s="157"/>
      <c r="F858" s="223"/>
      <c r="G858" s="157"/>
      <c r="H858" s="223"/>
      <c r="I858" s="157"/>
      <c r="J858" s="157"/>
      <c r="K858" s="157"/>
      <c r="L858" s="223"/>
      <c r="M858" s="157"/>
      <c r="N858" s="157"/>
      <c r="O858" s="157"/>
      <c r="P858" s="181"/>
      <c r="Q858" s="180"/>
      <c r="R858" s="180"/>
      <c r="S858" s="181"/>
      <c r="T858" s="180"/>
      <c r="U858" s="180"/>
      <c r="V858" s="180"/>
      <c r="W858" s="180"/>
      <c r="X858" s="181"/>
      <c r="Y858" s="181"/>
      <c r="Z858" s="182"/>
      <c r="AA858" s="157"/>
      <c r="AB858" s="157"/>
      <c r="AC858" s="157"/>
    </row>
    <row r="859" spans="1:29" ht="11.25">
      <c r="A859" s="157"/>
      <c r="B859" s="157"/>
      <c r="C859" s="157"/>
      <c r="D859" s="157"/>
      <c r="E859" s="157"/>
      <c r="F859" s="223"/>
      <c r="G859" s="157"/>
      <c r="H859" s="223"/>
      <c r="I859" s="157"/>
      <c r="J859" s="157"/>
      <c r="K859" s="157"/>
      <c r="L859" s="223"/>
      <c r="M859" s="157"/>
      <c r="N859" s="157"/>
      <c r="O859" s="157"/>
      <c r="P859" s="181"/>
      <c r="Q859" s="180"/>
      <c r="R859" s="180"/>
      <c r="S859" s="181"/>
      <c r="T859" s="180"/>
      <c r="U859" s="180"/>
      <c r="V859" s="180"/>
      <c r="W859" s="180"/>
      <c r="X859" s="181"/>
      <c r="Y859" s="181"/>
      <c r="Z859" s="182"/>
      <c r="AA859" s="157"/>
      <c r="AB859" s="157"/>
      <c r="AC859" s="157"/>
    </row>
    <row r="860" spans="1:29" ht="11.25">
      <c r="A860" s="157"/>
      <c r="B860" s="157"/>
      <c r="C860" s="157"/>
      <c r="D860" s="157"/>
      <c r="E860" s="157"/>
      <c r="F860" s="223"/>
      <c r="G860" s="157"/>
      <c r="H860" s="223"/>
      <c r="I860" s="157"/>
      <c r="J860" s="157"/>
      <c r="K860" s="157"/>
      <c r="L860" s="223"/>
      <c r="M860" s="157"/>
      <c r="N860" s="157"/>
      <c r="O860" s="157"/>
      <c r="P860" s="181"/>
      <c r="Q860" s="180"/>
      <c r="R860" s="180"/>
      <c r="S860" s="181"/>
      <c r="T860" s="180"/>
      <c r="U860" s="180"/>
      <c r="V860" s="180"/>
      <c r="W860" s="180"/>
      <c r="X860" s="181"/>
      <c r="Y860" s="181"/>
      <c r="Z860" s="182"/>
      <c r="AA860" s="157"/>
      <c r="AB860" s="157"/>
      <c r="AC860" s="157"/>
    </row>
    <row r="861" spans="1:29" ht="11.25">
      <c r="A861" s="157"/>
      <c r="B861" s="157"/>
      <c r="C861" s="157"/>
      <c r="D861" s="157"/>
      <c r="E861" s="157"/>
      <c r="F861" s="223"/>
      <c r="G861" s="157"/>
      <c r="H861" s="223"/>
      <c r="I861" s="157"/>
      <c r="J861" s="157"/>
      <c r="K861" s="157"/>
      <c r="L861" s="223"/>
      <c r="M861" s="157"/>
      <c r="N861" s="157"/>
      <c r="O861" s="157"/>
      <c r="P861" s="181"/>
      <c r="Q861" s="180"/>
      <c r="R861" s="180"/>
      <c r="S861" s="181"/>
      <c r="T861" s="180"/>
      <c r="U861" s="180"/>
      <c r="V861" s="180"/>
      <c r="W861" s="180"/>
      <c r="X861" s="181"/>
      <c r="Y861" s="181"/>
      <c r="Z861" s="182"/>
      <c r="AA861" s="157"/>
      <c r="AB861" s="157"/>
      <c r="AC861" s="157"/>
    </row>
    <row r="862" spans="1:29" ht="11.25">
      <c r="A862" s="157"/>
      <c r="B862" s="157"/>
      <c r="C862" s="157"/>
      <c r="D862" s="157"/>
      <c r="E862" s="157"/>
      <c r="F862" s="223"/>
      <c r="G862" s="157"/>
      <c r="H862" s="223"/>
      <c r="I862" s="157"/>
      <c r="J862" s="157"/>
      <c r="K862" s="157"/>
      <c r="L862" s="223"/>
      <c r="M862" s="157"/>
      <c r="N862" s="157"/>
      <c r="O862" s="157"/>
      <c r="P862" s="181"/>
      <c r="Q862" s="180"/>
      <c r="R862" s="180"/>
      <c r="S862" s="181"/>
      <c r="T862" s="180"/>
      <c r="U862" s="180"/>
      <c r="V862" s="180"/>
      <c r="W862" s="180"/>
      <c r="X862" s="181"/>
      <c r="Y862" s="181"/>
      <c r="Z862" s="182"/>
      <c r="AA862" s="157"/>
      <c r="AB862" s="157"/>
      <c r="AC862" s="157"/>
    </row>
    <row r="863" spans="1:29" ht="11.25">
      <c r="A863" s="157"/>
      <c r="B863" s="157"/>
      <c r="C863" s="157"/>
      <c r="D863" s="157"/>
      <c r="E863" s="157"/>
      <c r="F863" s="223"/>
      <c r="G863" s="157"/>
      <c r="H863" s="223"/>
      <c r="I863" s="157"/>
      <c r="J863" s="157"/>
      <c r="K863" s="157"/>
      <c r="L863" s="223"/>
      <c r="M863" s="157"/>
      <c r="N863" s="157"/>
      <c r="O863" s="157"/>
      <c r="P863" s="181"/>
      <c r="Q863" s="180"/>
      <c r="R863" s="180"/>
      <c r="S863" s="181"/>
      <c r="T863" s="180"/>
      <c r="U863" s="180"/>
      <c r="V863" s="180"/>
      <c r="W863" s="180"/>
      <c r="X863" s="181"/>
      <c r="Y863" s="181"/>
      <c r="Z863" s="182"/>
      <c r="AA863" s="157"/>
      <c r="AB863" s="157"/>
      <c r="AC863" s="157"/>
    </row>
    <row r="864" spans="1:29" ht="11.25">
      <c r="A864" s="157"/>
      <c r="B864" s="157"/>
      <c r="C864" s="157"/>
      <c r="D864" s="157"/>
      <c r="E864" s="157"/>
      <c r="F864" s="223"/>
      <c r="G864" s="157"/>
      <c r="H864" s="223"/>
      <c r="I864" s="157"/>
      <c r="J864" s="157"/>
      <c r="K864" s="157"/>
      <c r="L864" s="223"/>
      <c r="M864" s="157"/>
      <c r="N864" s="157"/>
      <c r="O864" s="157"/>
      <c r="P864" s="181"/>
      <c r="Q864" s="180"/>
      <c r="R864" s="180"/>
      <c r="S864" s="181"/>
      <c r="T864" s="180"/>
      <c r="U864" s="180"/>
      <c r="V864" s="180"/>
      <c r="W864" s="180"/>
      <c r="X864" s="181"/>
      <c r="Y864" s="181"/>
      <c r="Z864" s="182"/>
      <c r="AA864" s="157"/>
      <c r="AB864" s="157"/>
      <c r="AC864" s="157"/>
    </row>
    <row r="865" spans="1:29" ht="11.25">
      <c r="A865" s="157"/>
      <c r="B865" s="157"/>
      <c r="C865" s="157"/>
      <c r="D865" s="157"/>
      <c r="E865" s="157"/>
      <c r="F865" s="223"/>
      <c r="G865" s="157"/>
      <c r="H865" s="223"/>
      <c r="I865" s="157"/>
      <c r="J865" s="157"/>
      <c r="K865" s="157"/>
      <c r="L865" s="223"/>
      <c r="M865" s="157"/>
      <c r="N865" s="157"/>
      <c r="O865" s="157"/>
      <c r="P865" s="181"/>
      <c r="Q865" s="180"/>
      <c r="R865" s="180"/>
      <c r="S865" s="181"/>
      <c r="T865" s="180"/>
      <c r="U865" s="180"/>
      <c r="V865" s="180"/>
      <c r="W865" s="180"/>
      <c r="X865" s="181"/>
      <c r="Y865" s="181"/>
      <c r="Z865" s="182"/>
      <c r="AA865" s="157"/>
      <c r="AB865" s="157"/>
      <c r="AC865" s="157"/>
    </row>
    <row r="866" spans="1:29" ht="11.25">
      <c r="A866" s="157"/>
      <c r="B866" s="157"/>
      <c r="C866" s="157"/>
      <c r="D866" s="157"/>
      <c r="E866" s="157"/>
      <c r="F866" s="223"/>
      <c r="G866" s="157"/>
      <c r="H866" s="223"/>
      <c r="I866" s="157"/>
      <c r="J866" s="157"/>
      <c r="K866" s="157"/>
      <c r="L866" s="223"/>
      <c r="M866" s="157"/>
      <c r="N866" s="157"/>
      <c r="O866" s="157"/>
      <c r="P866" s="181"/>
      <c r="Q866" s="180"/>
      <c r="R866" s="180"/>
      <c r="S866" s="181"/>
      <c r="T866" s="180"/>
      <c r="U866" s="180"/>
      <c r="V866" s="180"/>
      <c r="W866" s="180"/>
      <c r="X866" s="181"/>
      <c r="Y866" s="181"/>
      <c r="Z866" s="182"/>
      <c r="AA866" s="157"/>
      <c r="AB866" s="157"/>
      <c r="AC866" s="157"/>
    </row>
    <row r="867" spans="1:29" ht="11.25">
      <c r="A867" s="157"/>
      <c r="B867" s="157"/>
      <c r="C867" s="157"/>
      <c r="D867" s="157"/>
      <c r="E867" s="157"/>
      <c r="F867" s="223"/>
      <c r="G867" s="157"/>
      <c r="H867" s="223"/>
      <c r="I867" s="157"/>
      <c r="J867" s="157"/>
      <c r="K867" s="157"/>
      <c r="L867" s="223"/>
      <c r="M867" s="157"/>
      <c r="N867" s="157"/>
      <c r="O867" s="157"/>
      <c r="P867" s="181"/>
      <c r="Q867" s="180"/>
      <c r="R867" s="180"/>
      <c r="S867" s="181"/>
      <c r="T867" s="180"/>
      <c r="U867" s="180"/>
      <c r="V867" s="180"/>
      <c r="W867" s="180"/>
      <c r="X867" s="181"/>
      <c r="Y867" s="181"/>
      <c r="Z867" s="182"/>
      <c r="AA867" s="157"/>
      <c r="AB867" s="157"/>
      <c r="AC867" s="157"/>
    </row>
    <row r="868" spans="1:29" ht="11.25">
      <c r="A868" s="157"/>
      <c r="B868" s="157"/>
      <c r="C868" s="157"/>
      <c r="D868" s="157"/>
      <c r="E868" s="157"/>
      <c r="F868" s="223"/>
      <c r="G868" s="157"/>
      <c r="H868" s="223"/>
      <c r="I868" s="157"/>
      <c r="J868" s="157"/>
      <c r="K868" s="157"/>
      <c r="L868" s="223"/>
      <c r="M868" s="157"/>
      <c r="N868" s="157"/>
      <c r="O868" s="157"/>
      <c r="P868" s="181"/>
      <c r="Q868" s="180"/>
      <c r="R868" s="180"/>
      <c r="S868" s="181"/>
      <c r="T868" s="180"/>
      <c r="U868" s="180"/>
      <c r="V868" s="180"/>
      <c r="W868" s="180"/>
      <c r="X868" s="181"/>
      <c r="Y868" s="181"/>
      <c r="Z868" s="182"/>
      <c r="AA868" s="157"/>
      <c r="AB868" s="157"/>
      <c r="AC868" s="157"/>
    </row>
    <row r="869" spans="1:29" ht="11.25">
      <c r="A869" s="157"/>
      <c r="B869" s="157"/>
      <c r="C869" s="157"/>
      <c r="D869" s="157"/>
      <c r="E869" s="157"/>
      <c r="F869" s="223"/>
      <c r="G869" s="157"/>
      <c r="H869" s="223"/>
      <c r="I869" s="157"/>
      <c r="J869" s="157"/>
      <c r="K869" s="157"/>
      <c r="L869" s="223"/>
      <c r="M869" s="157"/>
      <c r="N869" s="157"/>
      <c r="O869" s="157"/>
      <c r="P869" s="181"/>
      <c r="Q869" s="180"/>
      <c r="R869" s="180"/>
      <c r="S869" s="181"/>
      <c r="T869" s="180"/>
      <c r="U869" s="180"/>
      <c r="V869" s="180"/>
      <c r="W869" s="180"/>
      <c r="X869" s="181"/>
      <c r="Y869" s="181"/>
      <c r="Z869" s="182"/>
      <c r="AA869" s="157"/>
      <c r="AB869" s="157"/>
      <c r="AC869" s="157"/>
    </row>
    <row r="870" spans="1:29" ht="11.25">
      <c r="A870" s="157"/>
      <c r="B870" s="157"/>
      <c r="C870" s="157"/>
      <c r="D870" s="157"/>
      <c r="E870" s="157"/>
      <c r="F870" s="223"/>
      <c r="G870" s="157"/>
      <c r="H870" s="223"/>
      <c r="I870" s="157"/>
      <c r="J870" s="157"/>
      <c r="K870" s="157"/>
      <c r="L870" s="223"/>
      <c r="M870" s="157"/>
      <c r="N870" s="157"/>
      <c r="O870" s="157"/>
      <c r="P870" s="181"/>
      <c r="Q870" s="180"/>
      <c r="R870" s="180"/>
      <c r="S870" s="181"/>
      <c r="T870" s="180"/>
      <c r="U870" s="180"/>
      <c r="V870" s="180"/>
      <c r="W870" s="180"/>
      <c r="X870" s="181"/>
      <c r="Y870" s="181"/>
      <c r="Z870" s="182"/>
      <c r="AA870" s="157"/>
      <c r="AB870" s="157"/>
      <c r="AC870" s="157"/>
    </row>
    <row r="871" spans="1:29" ht="11.25">
      <c r="A871" s="157"/>
      <c r="B871" s="157"/>
      <c r="C871" s="157"/>
      <c r="D871" s="157"/>
      <c r="E871" s="157"/>
      <c r="F871" s="223"/>
      <c r="G871" s="157"/>
      <c r="H871" s="223"/>
      <c r="I871" s="157"/>
      <c r="J871" s="157"/>
      <c r="K871" s="157"/>
      <c r="L871" s="223"/>
      <c r="M871" s="157"/>
      <c r="N871" s="157"/>
      <c r="O871" s="157"/>
      <c r="P871" s="181"/>
      <c r="Q871" s="180"/>
      <c r="R871" s="180"/>
      <c r="S871" s="181"/>
      <c r="T871" s="180"/>
      <c r="U871" s="180"/>
      <c r="V871" s="180"/>
      <c r="W871" s="180"/>
      <c r="X871" s="181"/>
      <c r="Y871" s="181"/>
      <c r="Z871" s="182"/>
      <c r="AA871" s="157"/>
      <c r="AB871" s="157"/>
      <c r="AC871" s="157"/>
    </row>
    <row r="872" spans="1:29" ht="11.25">
      <c r="A872" s="157"/>
      <c r="B872" s="157"/>
      <c r="C872" s="157"/>
      <c r="D872" s="157"/>
      <c r="E872" s="157"/>
      <c r="F872" s="223"/>
      <c r="G872" s="157"/>
      <c r="H872" s="223"/>
      <c r="I872" s="157"/>
      <c r="J872" s="157"/>
      <c r="K872" s="157"/>
      <c r="L872" s="223"/>
      <c r="M872" s="157"/>
      <c r="N872" s="157"/>
      <c r="O872" s="157"/>
      <c r="P872" s="181"/>
      <c r="Q872" s="180"/>
      <c r="R872" s="180"/>
      <c r="S872" s="181"/>
      <c r="T872" s="180"/>
      <c r="U872" s="180"/>
      <c r="V872" s="180"/>
      <c r="W872" s="180"/>
      <c r="X872" s="181"/>
      <c r="Y872" s="181"/>
      <c r="Z872" s="182"/>
      <c r="AA872" s="157"/>
      <c r="AB872" s="157"/>
      <c r="AC872" s="157"/>
    </row>
    <row r="873" spans="1:29" ht="11.25">
      <c r="A873" s="157"/>
      <c r="B873" s="157"/>
      <c r="C873" s="157"/>
      <c r="D873" s="157"/>
      <c r="E873" s="157"/>
      <c r="F873" s="223"/>
      <c r="G873" s="157"/>
      <c r="H873" s="223"/>
      <c r="I873" s="157"/>
      <c r="J873" s="157"/>
      <c r="K873" s="157"/>
      <c r="L873" s="223"/>
      <c r="M873" s="157"/>
      <c r="N873" s="157"/>
      <c r="O873" s="157"/>
      <c r="P873" s="181"/>
      <c r="Q873" s="180"/>
      <c r="R873" s="180"/>
      <c r="S873" s="181"/>
      <c r="T873" s="180"/>
      <c r="U873" s="180"/>
      <c r="V873" s="180"/>
      <c r="W873" s="180"/>
      <c r="X873" s="181"/>
      <c r="Y873" s="181"/>
      <c r="Z873" s="182"/>
      <c r="AA873" s="157"/>
      <c r="AB873" s="157"/>
      <c r="AC873" s="157"/>
    </row>
    <row r="874" spans="1:29" ht="11.25">
      <c r="A874" s="157"/>
      <c r="B874" s="157"/>
      <c r="C874" s="157"/>
      <c r="D874" s="157"/>
      <c r="E874" s="157"/>
      <c r="F874" s="223"/>
      <c r="G874" s="157"/>
      <c r="H874" s="223"/>
      <c r="I874" s="157"/>
      <c r="J874" s="157"/>
      <c r="K874" s="157"/>
      <c r="L874" s="223"/>
      <c r="M874" s="157"/>
      <c r="N874" s="157"/>
      <c r="O874" s="157"/>
      <c r="P874" s="181"/>
      <c r="Q874" s="180"/>
      <c r="R874" s="180"/>
      <c r="S874" s="181"/>
      <c r="T874" s="180"/>
      <c r="U874" s="180"/>
      <c r="V874" s="180"/>
      <c r="W874" s="180"/>
      <c r="X874" s="181"/>
      <c r="Y874" s="181"/>
      <c r="Z874" s="182"/>
      <c r="AA874" s="157"/>
      <c r="AB874" s="157"/>
      <c r="AC874" s="157"/>
    </row>
    <row r="875" spans="1:29" ht="11.25">
      <c r="A875" s="157"/>
      <c r="B875" s="157"/>
      <c r="C875" s="157"/>
      <c r="D875" s="157"/>
      <c r="E875" s="157"/>
      <c r="F875" s="223"/>
      <c r="G875" s="157"/>
      <c r="H875" s="223"/>
      <c r="I875" s="157"/>
      <c r="J875" s="157"/>
      <c r="K875" s="157"/>
      <c r="L875" s="223"/>
      <c r="M875" s="157"/>
      <c r="N875" s="157"/>
      <c r="O875" s="157"/>
      <c r="P875" s="181"/>
      <c r="Q875" s="180"/>
      <c r="R875" s="180"/>
      <c r="S875" s="181"/>
      <c r="T875" s="180"/>
      <c r="U875" s="180"/>
      <c r="V875" s="180"/>
      <c r="W875" s="180"/>
      <c r="X875" s="181"/>
      <c r="Y875" s="181"/>
      <c r="Z875" s="182"/>
      <c r="AA875" s="157"/>
      <c r="AB875" s="157"/>
      <c r="AC875" s="157"/>
    </row>
    <row r="876" spans="1:29" ht="11.25">
      <c r="A876" s="157"/>
      <c r="B876" s="157"/>
      <c r="C876" s="157"/>
      <c r="D876" s="157"/>
      <c r="E876" s="157"/>
      <c r="F876" s="223"/>
      <c r="G876" s="157"/>
      <c r="H876" s="223"/>
      <c r="I876" s="157"/>
      <c r="J876" s="157"/>
      <c r="K876" s="157"/>
      <c r="L876" s="223"/>
      <c r="M876" s="157"/>
      <c r="N876" s="157"/>
      <c r="O876" s="157"/>
      <c r="P876" s="181"/>
      <c r="Q876" s="180"/>
      <c r="R876" s="180"/>
      <c r="S876" s="181"/>
      <c r="T876" s="180"/>
      <c r="U876" s="180"/>
      <c r="V876" s="180"/>
      <c r="W876" s="180"/>
      <c r="X876" s="181"/>
      <c r="Y876" s="181"/>
      <c r="Z876" s="182"/>
      <c r="AA876" s="157"/>
      <c r="AB876" s="157"/>
      <c r="AC876" s="157"/>
    </row>
    <row r="877" spans="1:29" ht="11.25">
      <c r="A877" s="157"/>
      <c r="B877" s="157"/>
      <c r="C877" s="157"/>
      <c r="D877" s="157"/>
      <c r="E877" s="157"/>
      <c r="F877" s="223"/>
      <c r="G877" s="157"/>
      <c r="H877" s="223"/>
      <c r="I877" s="157"/>
      <c r="J877" s="157"/>
      <c r="K877" s="157"/>
      <c r="L877" s="223"/>
      <c r="M877" s="157"/>
      <c r="N877" s="157"/>
      <c r="O877" s="157"/>
      <c r="P877" s="181"/>
      <c r="Q877" s="180"/>
      <c r="R877" s="180"/>
      <c r="S877" s="181"/>
      <c r="T877" s="180"/>
      <c r="U877" s="180"/>
      <c r="V877" s="180"/>
      <c r="W877" s="180"/>
      <c r="X877" s="181"/>
      <c r="Y877" s="181"/>
      <c r="Z877" s="182"/>
      <c r="AA877" s="157"/>
      <c r="AB877" s="157"/>
      <c r="AC877" s="157"/>
    </row>
    <row r="878" spans="1:29" ht="11.25">
      <c r="A878" s="157"/>
      <c r="B878" s="157"/>
      <c r="C878" s="157"/>
      <c r="D878" s="157"/>
      <c r="E878" s="157"/>
      <c r="F878" s="223"/>
      <c r="G878" s="157"/>
      <c r="H878" s="223"/>
      <c r="I878" s="157"/>
      <c r="J878" s="157"/>
      <c r="K878" s="157"/>
      <c r="L878" s="223"/>
      <c r="M878" s="157"/>
      <c r="N878" s="157"/>
      <c r="O878" s="157"/>
      <c r="P878" s="181"/>
      <c r="Q878" s="180"/>
      <c r="R878" s="180"/>
      <c r="S878" s="181"/>
      <c r="T878" s="180"/>
      <c r="U878" s="180"/>
      <c r="V878" s="180"/>
      <c r="W878" s="180"/>
      <c r="X878" s="181"/>
      <c r="Y878" s="181"/>
      <c r="Z878" s="182"/>
      <c r="AA878" s="157"/>
      <c r="AB878" s="157"/>
      <c r="AC878" s="157"/>
    </row>
    <row r="879" spans="1:29" ht="11.25">
      <c r="A879" s="157"/>
      <c r="B879" s="157"/>
      <c r="C879" s="157"/>
      <c r="D879" s="157"/>
      <c r="E879" s="157"/>
      <c r="F879" s="223"/>
      <c r="G879" s="157"/>
      <c r="H879" s="223"/>
      <c r="I879" s="157"/>
      <c r="J879" s="157"/>
      <c r="K879" s="157"/>
      <c r="L879" s="223"/>
      <c r="M879" s="157"/>
      <c r="N879" s="157"/>
      <c r="O879" s="157"/>
      <c r="P879" s="181"/>
      <c r="Q879" s="180"/>
      <c r="R879" s="180"/>
      <c r="S879" s="181"/>
      <c r="T879" s="180"/>
      <c r="U879" s="180"/>
      <c r="V879" s="180"/>
      <c r="W879" s="180"/>
      <c r="X879" s="181"/>
      <c r="Y879" s="181"/>
      <c r="Z879" s="182"/>
      <c r="AA879" s="157"/>
      <c r="AB879" s="157"/>
      <c r="AC879" s="157"/>
    </row>
    <row r="880" spans="1:29" ht="11.25">
      <c r="A880" s="157"/>
      <c r="B880" s="157"/>
      <c r="C880" s="157"/>
      <c r="D880" s="157"/>
      <c r="E880" s="157"/>
      <c r="F880" s="223"/>
      <c r="G880" s="157"/>
      <c r="H880" s="223"/>
      <c r="I880" s="157"/>
      <c r="J880" s="157"/>
      <c r="K880" s="157"/>
      <c r="L880" s="223"/>
      <c r="M880" s="157"/>
      <c r="N880" s="157"/>
      <c r="O880" s="157"/>
      <c r="P880" s="181"/>
      <c r="Q880" s="180"/>
      <c r="R880" s="180"/>
      <c r="S880" s="181"/>
      <c r="T880" s="180"/>
      <c r="U880" s="180"/>
      <c r="V880" s="180"/>
      <c r="W880" s="180"/>
      <c r="X880" s="181"/>
      <c r="Y880" s="181"/>
      <c r="Z880" s="182"/>
      <c r="AA880" s="157"/>
      <c r="AB880" s="157"/>
      <c r="AC880" s="157"/>
    </row>
    <row r="881" spans="1:29" ht="11.25">
      <c r="A881" s="157"/>
      <c r="B881" s="157"/>
      <c r="C881" s="157"/>
      <c r="D881" s="157"/>
      <c r="E881" s="157"/>
      <c r="F881" s="223"/>
      <c r="G881" s="157"/>
      <c r="H881" s="223"/>
      <c r="I881" s="157"/>
      <c r="J881" s="157"/>
      <c r="K881" s="157"/>
      <c r="L881" s="223"/>
      <c r="M881" s="157"/>
      <c r="N881" s="157"/>
      <c r="O881" s="157"/>
      <c r="P881" s="181"/>
      <c r="Q881" s="180"/>
      <c r="R881" s="180"/>
      <c r="S881" s="181"/>
      <c r="T881" s="180"/>
      <c r="U881" s="180"/>
      <c r="V881" s="180"/>
      <c r="W881" s="180"/>
      <c r="X881" s="181"/>
      <c r="Y881" s="181"/>
      <c r="Z881" s="182"/>
      <c r="AA881" s="157"/>
      <c r="AB881" s="157"/>
      <c r="AC881" s="157"/>
    </row>
    <row r="882" spans="1:29" ht="11.25">
      <c r="A882" s="157"/>
      <c r="B882" s="157"/>
      <c r="C882" s="157"/>
      <c r="D882" s="157"/>
      <c r="E882" s="157"/>
      <c r="F882" s="223"/>
      <c r="G882" s="157"/>
      <c r="H882" s="223"/>
      <c r="I882" s="157"/>
      <c r="J882" s="157"/>
      <c r="K882" s="157"/>
      <c r="L882" s="223"/>
      <c r="M882" s="157"/>
      <c r="N882" s="157"/>
      <c r="O882" s="157"/>
      <c r="P882" s="181"/>
      <c r="Q882" s="180"/>
      <c r="R882" s="180"/>
      <c r="S882" s="181"/>
      <c r="T882" s="180"/>
      <c r="U882" s="180"/>
      <c r="V882" s="180"/>
      <c r="W882" s="180"/>
      <c r="X882" s="181"/>
      <c r="Y882" s="181"/>
      <c r="Z882" s="182"/>
      <c r="AA882" s="157"/>
      <c r="AB882" s="157"/>
      <c r="AC882" s="157"/>
    </row>
    <row r="883" spans="1:29" ht="11.25">
      <c r="A883" s="157"/>
      <c r="B883" s="157"/>
      <c r="C883" s="157"/>
      <c r="D883" s="157"/>
      <c r="E883" s="157"/>
      <c r="F883" s="223"/>
      <c r="G883" s="157"/>
      <c r="H883" s="223"/>
      <c r="I883" s="157"/>
      <c r="J883" s="157"/>
      <c r="K883" s="157"/>
      <c r="L883" s="223"/>
      <c r="M883" s="157"/>
      <c r="N883" s="157"/>
      <c r="O883" s="157"/>
      <c r="P883" s="181"/>
      <c r="Q883" s="180"/>
      <c r="R883" s="180"/>
      <c r="S883" s="181"/>
      <c r="T883" s="180"/>
      <c r="U883" s="180"/>
      <c r="V883" s="180"/>
      <c r="W883" s="180"/>
      <c r="X883" s="181"/>
      <c r="Y883" s="181"/>
      <c r="Z883" s="182"/>
      <c r="AA883" s="157"/>
      <c r="AB883" s="157"/>
      <c r="AC883" s="157"/>
    </row>
    <row r="884" spans="1:29" ht="11.25">
      <c r="A884" s="157"/>
      <c r="B884" s="157"/>
      <c r="C884" s="157"/>
      <c r="D884" s="157"/>
      <c r="E884" s="157"/>
      <c r="F884" s="223"/>
      <c r="G884" s="157"/>
      <c r="H884" s="223"/>
      <c r="I884" s="157"/>
      <c r="J884" s="157"/>
      <c r="K884" s="157"/>
      <c r="L884" s="223"/>
      <c r="M884" s="157"/>
      <c r="N884" s="157"/>
      <c r="O884" s="157"/>
      <c r="P884" s="181"/>
      <c r="Q884" s="180"/>
      <c r="R884" s="180"/>
      <c r="S884" s="181"/>
      <c r="T884" s="180"/>
      <c r="U884" s="180"/>
      <c r="V884" s="180"/>
      <c r="W884" s="180"/>
      <c r="X884" s="181"/>
      <c r="Y884" s="181"/>
      <c r="Z884" s="182"/>
      <c r="AA884" s="157"/>
      <c r="AB884" s="157"/>
      <c r="AC884" s="157"/>
    </row>
    <row r="885" spans="1:29" ht="11.25">
      <c r="A885" s="157"/>
      <c r="B885" s="157"/>
      <c r="C885" s="157"/>
      <c r="D885" s="157"/>
      <c r="E885" s="157"/>
      <c r="F885" s="223"/>
      <c r="G885" s="157"/>
      <c r="H885" s="223"/>
      <c r="I885" s="157"/>
      <c r="J885" s="157"/>
      <c r="K885" s="157"/>
      <c r="L885" s="223"/>
      <c r="M885" s="157"/>
      <c r="N885" s="157"/>
      <c r="O885" s="157"/>
      <c r="P885" s="181"/>
      <c r="Q885" s="180"/>
      <c r="R885" s="180"/>
      <c r="S885" s="181"/>
      <c r="T885" s="180"/>
      <c r="U885" s="180"/>
      <c r="V885" s="180"/>
      <c r="W885" s="180"/>
      <c r="X885" s="181"/>
      <c r="Y885" s="181"/>
      <c r="Z885" s="182"/>
      <c r="AA885" s="157"/>
      <c r="AB885" s="157"/>
      <c r="AC885" s="157"/>
    </row>
    <row r="886" spans="1:29" ht="11.25">
      <c r="A886" s="157"/>
      <c r="B886" s="157"/>
      <c r="C886" s="157"/>
      <c r="D886" s="157"/>
      <c r="E886" s="157"/>
      <c r="F886" s="223"/>
      <c r="G886" s="157"/>
      <c r="H886" s="223"/>
      <c r="I886" s="157"/>
      <c r="J886" s="157"/>
      <c r="K886" s="157"/>
      <c r="L886" s="223"/>
      <c r="M886" s="157"/>
      <c r="N886" s="157"/>
      <c r="O886" s="157"/>
      <c r="P886" s="181"/>
      <c r="Q886" s="180"/>
      <c r="R886" s="180"/>
      <c r="S886" s="181"/>
      <c r="T886" s="180"/>
      <c r="U886" s="180"/>
      <c r="V886" s="180"/>
      <c r="W886" s="180"/>
      <c r="X886" s="181"/>
      <c r="Y886" s="181"/>
      <c r="Z886" s="182"/>
      <c r="AA886" s="157"/>
      <c r="AB886" s="157"/>
      <c r="AC886" s="157"/>
    </row>
    <row r="887" spans="1:29" ht="11.25">
      <c r="A887" s="157"/>
      <c r="B887" s="157"/>
      <c r="C887" s="157"/>
      <c r="D887" s="157"/>
      <c r="E887" s="157"/>
      <c r="F887" s="223"/>
      <c r="G887" s="157"/>
      <c r="H887" s="223"/>
      <c r="I887" s="157"/>
      <c r="J887" s="157"/>
      <c r="K887" s="157"/>
      <c r="L887" s="223"/>
      <c r="M887" s="157"/>
      <c r="N887" s="157"/>
      <c r="O887" s="157"/>
      <c r="P887" s="181"/>
      <c r="Q887" s="180"/>
      <c r="R887" s="180"/>
      <c r="S887" s="181"/>
      <c r="T887" s="180"/>
      <c r="U887" s="180"/>
      <c r="V887" s="180"/>
      <c r="W887" s="180"/>
      <c r="X887" s="181"/>
      <c r="Y887" s="181"/>
      <c r="Z887" s="182"/>
      <c r="AA887" s="157"/>
      <c r="AB887" s="157"/>
      <c r="AC887" s="157"/>
    </row>
    <row r="888" spans="1:29" ht="11.25">
      <c r="A888" s="157"/>
      <c r="B888" s="157"/>
      <c r="C888" s="157"/>
      <c r="D888" s="157"/>
      <c r="E888" s="157"/>
      <c r="F888" s="223"/>
      <c r="G888" s="157"/>
      <c r="H888" s="223"/>
      <c r="I888" s="157"/>
      <c r="J888" s="157"/>
      <c r="K888" s="157"/>
      <c r="L888" s="223"/>
      <c r="M888" s="157"/>
      <c r="N888" s="157"/>
      <c r="O888" s="157"/>
      <c r="P888" s="181"/>
      <c r="Q888" s="180"/>
      <c r="R888" s="180"/>
      <c r="S888" s="181"/>
      <c r="T888" s="180"/>
      <c r="U888" s="180"/>
      <c r="V888" s="180"/>
      <c r="W888" s="180"/>
      <c r="X888" s="181"/>
      <c r="Y888" s="181"/>
      <c r="Z888" s="182"/>
      <c r="AA888" s="157"/>
      <c r="AB888" s="157"/>
      <c r="AC888" s="157"/>
    </row>
    <row r="889" spans="1:29" ht="11.25">
      <c r="A889" s="157"/>
      <c r="B889" s="157"/>
      <c r="C889" s="157"/>
      <c r="D889" s="157"/>
      <c r="E889" s="157"/>
      <c r="F889" s="223"/>
      <c r="G889" s="157"/>
      <c r="H889" s="223"/>
      <c r="I889" s="157"/>
      <c r="J889" s="157"/>
      <c r="K889" s="157"/>
      <c r="L889" s="223"/>
      <c r="M889" s="157"/>
      <c r="N889" s="157"/>
      <c r="O889" s="157"/>
      <c r="P889" s="181"/>
      <c r="Q889" s="180"/>
      <c r="R889" s="180"/>
      <c r="S889" s="181"/>
      <c r="T889" s="180"/>
      <c r="U889" s="180"/>
      <c r="V889" s="180"/>
      <c r="W889" s="180"/>
      <c r="X889" s="181"/>
      <c r="Y889" s="181"/>
      <c r="Z889" s="182"/>
      <c r="AA889" s="157"/>
      <c r="AB889" s="157"/>
      <c r="AC889" s="157"/>
    </row>
    <row r="890" spans="1:29" ht="11.25">
      <c r="A890" s="157"/>
      <c r="B890" s="157"/>
      <c r="C890" s="157"/>
      <c r="D890" s="157"/>
      <c r="E890" s="157"/>
      <c r="F890" s="223"/>
      <c r="G890" s="157"/>
      <c r="H890" s="223"/>
      <c r="I890" s="157"/>
      <c r="J890" s="157"/>
      <c r="K890" s="157"/>
      <c r="L890" s="223"/>
      <c r="M890" s="157"/>
      <c r="N890" s="157"/>
      <c r="O890" s="157"/>
      <c r="P890" s="181"/>
      <c r="Q890" s="180"/>
      <c r="R890" s="180"/>
      <c r="S890" s="181"/>
      <c r="T890" s="180"/>
      <c r="U890" s="180"/>
      <c r="V890" s="180"/>
      <c r="W890" s="180"/>
      <c r="X890" s="181"/>
      <c r="Y890" s="181"/>
      <c r="Z890" s="182"/>
      <c r="AA890" s="157"/>
      <c r="AB890" s="157"/>
      <c r="AC890" s="157"/>
    </row>
    <row r="891" spans="1:29" ht="11.25">
      <c r="A891" s="157"/>
      <c r="B891" s="157"/>
      <c r="C891" s="157"/>
      <c r="D891" s="157"/>
      <c r="E891" s="157"/>
      <c r="F891" s="223"/>
      <c r="G891" s="157"/>
      <c r="H891" s="223"/>
      <c r="I891" s="157"/>
      <c r="J891" s="157"/>
      <c r="K891" s="157"/>
      <c r="L891" s="223"/>
      <c r="M891" s="157"/>
      <c r="N891" s="157"/>
      <c r="O891" s="157"/>
      <c r="P891" s="181"/>
      <c r="Q891" s="180"/>
      <c r="R891" s="180"/>
      <c r="S891" s="181"/>
      <c r="T891" s="180"/>
      <c r="U891" s="180"/>
      <c r="V891" s="180"/>
      <c r="W891" s="180"/>
      <c r="X891" s="181"/>
      <c r="Y891" s="181"/>
      <c r="Z891" s="182"/>
      <c r="AA891" s="157"/>
      <c r="AB891" s="157"/>
      <c r="AC891" s="157"/>
    </row>
    <row r="892" spans="1:29" ht="11.25">
      <c r="A892" s="157"/>
      <c r="B892" s="157"/>
      <c r="C892" s="157"/>
      <c r="D892" s="157"/>
      <c r="E892" s="157"/>
      <c r="F892" s="223"/>
      <c r="G892" s="157"/>
      <c r="H892" s="223"/>
      <c r="I892" s="157"/>
      <c r="J892" s="157"/>
      <c r="K892" s="157"/>
      <c r="L892" s="223"/>
      <c r="M892" s="157"/>
      <c r="N892" s="157"/>
      <c r="O892" s="157"/>
      <c r="P892" s="181"/>
      <c r="Q892" s="180"/>
      <c r="R892" s="180"/>
      <c r="S892" s="181"/>
      <c r="T892" s="180"/>
      <c r="U892" s="180"/>
      <c r="V892" s="180"/>
      <c r="W892" s="180"/>
      <c r="X892" s="181"/>
      <c r="Y892" s="181"/>
      <c r="Z892" s="182"/>
      <c r="AA892" s="157"/>
      <c r="AB892" s="157"/>
      <c r="AC892" s="157"/>
    </row>
    <row r="893" spans="1:29" ht="11.25">
      <c r="A893" s="157"/>
      <c r="B893" s="157"/>
      <c r="C893" s="157"/>
      <c r="D893" s="157"/>
      <c r="E893" s="157"/>
      <c r="F893" s="223"/>
      <c r="G893" s="157"/>
      <c r="H893" s="223"/>
      <c r="I893" s="157"/>
      <c r="J893" s="157"/>
      <c r="K893" s="157"/>
      <c r="L893" s="223"/>
      <c r="M893" s="157"/>
      <c r="N893" s="157"/>
      <c r="O893" s="157"/>
      <c r="P893" s="181"/>
      <c r="Q893" s="180"/>
      <c r="R893" s="180"/>
      <c r="S893" s="181"/>
      <c r="T893" s="180"/>
      <c r="U893" s="180"/>
      <c r="V893" s="180"/>
      <c r="W893" s="180"/>
      <c r="X893" s="181"/>
      <c r="Y893" s="181"/>
      <c r="Z893" s="182"/>
      <c r="AA893" s="157"/>
      <c r="AB893" s="157"/>
      <c r="AC893" s="157"/>
    </row>
    <row r="894" spans="1:29" ht="11.25">
      <c r="A894" s="157"/>
      <c r="B894" s="157"/>
      <c r="C894" s="157"/>
      <c r="D894" s="157"/>
      <c r="E894" s="157"/>
      <c r="F894" s="223"/>
      <c r="G894" s="157"/>
      <c r="H894" s="223"/>
      <c r="I894" s="157"/>
      <c r="J894" s="157"/>
      <c r="K894" s="157"/>
      <c r="L894" s="223"/>
      <c r="M894" s="157"/>
      <c r="N894" s="157"/>
      <c r="O894" s="157"/>
      <c r="P894" s="181"/>
      <c r="Q894" s="180"/>
      <c r="R894" s="180"/>
      <c r="S894" s="181"/>
      <c r="T894" s="180"/>
      <c r="U894" s="180"/>
      <c r="V894" s="180"/>
      <c r="W894" s="180"/>
      <c r="X894" s="181"/>
      <c r="Y894" s="181"/>
      <c r="Z894" s="182"/>
      <c r="AA894" s="157"/>
      <c r="AB894" s="157"/>
      <c r="AC894" s="157"/>
    </row>
    <row r="895" spans="1:29" ht="11.25">
      <c r="A895" s="157"/>
      <c r="B895" s="157"/>
      <c r="C895" s="157"/>
      <c r="D895" s="157"/>
      <c r="E895" s="157"/>
      <c r="F895" s="223"/>
      <c r="G895" s="157"/>
      <c r="H895" s="223"/>
      <c r="I895" s="157"/>
      <c r="J895" s="157"/>
      <c r="K895" s="157"/>
      <c r="L895" s="223"/>
      <c r="M895" s="157"/>
      <c r="N895" s="157"/>
      <c r="O895" s="157"/>
      <c r="P895" s="181"/>
      <c r="Q895" s="180"/>
      <c r="R895" s="180"/>
      <c r="S895" s="181"/>
      <c r="T895" s="180"/>
      <c r="U895" s="180"/>
      <c r="V895" s="180"/>
      <c r="W895" s="180"/>
      <c r="X895" s="181"/>
      <c r="Y895" s="181"/>
      <c r="Z895" s="182"/>
      <c r="AA895" s="157"/>
      <c r="AB895" s="157"/>
      <c r="AC895" s="157"/>
    </row>
    <row r="896" spans="1:29" ht="11.25">
      <c r="A896" s="157"/>
      <c r="B896" s="157"/>
      <c r="C896" s="157"/>
      <c r="D896" s="157"/>
      <c r="E896" s="157"/>
      <c r="F896" s="223"/>
      <c r="G896" s="157"/>
      <c r="H896" s="223"/>
      <c r="I896" s="157"/>
      <c r="J896" s="157"/>
      <c r="K896" s="157"/>
      <c r="L896" s="223"/>
      <c r="M896" s="157"/>
      <c r="N896" s="157"/>
      <c r="O896" s="157"/>
      <c r="P896" s="181"/>
      <c r="Q896" s="180"/>
      <c r="R896" s="180"/>
      <c r="S896" s="181"/>
      <c r="T896" s="180"/>
      <c r="U896" s="180"/>
      <c r="V896" s="180"/>
      <c r="W896" s="180"/>
      <c r="X896" s="181"/>
      <c r="Y896" s="181"/>
      <c r="Z896" s="182"/>
      <c r="AA896" s="157"/>
      <c r="AB896" s="157"/>
      <c r="AC896" s="157"/>
    </row>
    <row r="897" spans="1:29" ht="11.25">
      <c r="A897" s="157"/>
      <c r="B897" s="157"/>
      <c r="C897" s="157"/>
      <c r="D897" s="157"/>
      <c r="E897" s="157"/>
      <c r="F897" s="223"/>
      <c r="G897" s="157"/>
      <c r="H897" s="223"/>
      <c r="I897" s="157"/>
      <c r="J897" s="157"/>
      <c r="K897" s="157"/>
      <c r="L897" s="223"/>
      <c r="M897" s="157"/>
      <c r="N897" s="157"/>
      <c r="O897" s="157"/>
      <c r="P897" s="181"/>
      <c r="Q897" s="180"/>
      <c r="R897" s="180"/>
      <c r="S897" s="181"/>
      <c r="T897" s="180"/>
      <c r="U897" s="180"/>
      <c r="V897" s="180"/>
      <c r="W897" s="180"/>
      <c r="X897" s="181"/>
      <c r="Y897" s="181"/>
      <c r="Z897" s="182"/>
      <c r="AA897" s="157"/>
      <c r="AB897" s="157"/>
      <c r="AC897" s="157"/>
    </row>
    <row r="898" spans="1:29" ht="11.25">
      <c r="A898" s="157"/>
      <c r="B898" s="157"/>
      <c r="C898" s="157"/>
      <c r="D898" s="157"/>
      <c r="E898" s="157"/>
      <c r="F898" s="223"/>
      <c r="G898" s="157"/>
      <c r="H898" s="223"/>
      <c r="I898" s="157"/>
      <c r="J898" s="157"/>
      <c r="K898" s="157"/>
      <c r="L898" s="223"/>
      <c r="M898" s="157"/>
      <c r="N898" s="157"/>
      <c r="O898" s="157"/>
      <c r="P898" s="181"/>
      <c r="Q898" s="180"/>
      <c r="R898" s="180"/>
      <c r="S898" s="181"/>
      <c r="T898" s="180"/>
      <c r="U898" s="180"/>
      <c r="V898" s="180"/>
      <c r="W898" s="180"/>
      <c r="X898" s="181"/>
      <c r="Y898" s="181"/>
      <c r="Z898" s="182"/>
      <c r="AA898" s="157"/>
      <c r="AB898" s="157"/>
      <c r="AC898" s="157"/>
    </row>
    <row r="899" spans="1:29" ht="11.25">
      <c r="A899" s="157"/>
      <c r="B899" s="157"/>
      <c r="C899" s="157"/>
      <c r="D899" s="157"/>
      <c r="E899" s="157"/>
      <c r="F899" s="223"/>
      <c r="G899" s="157"/>
      <c r="H899" s="223"/>
      <c r="I899" s="157"/>
      <c r="J899" s="157"/>
      <c r="K899" s="157"/>
      <c r="L899" s="223"/>
      <c r="M899" s="157"/>
      <c r="N899" s="157"/>
      <c r="O899" s="157"/>
      <c r="P899" s="181"/>
      <c r="Q899" s="180"/>
      <c r="R899" s="180"/>
      <c r="S899" s="181"/>
      <c r="T899" s="180"/>
      <c r="U899" s="180"/>
      <c r="V899" s="180"/>
      <c r="W899" s="180"/>
      <c r="X899" s="181"/>
      <c r="Y899" s="181"/>
      <c r="Z899" s="182"/>
      <c r="AA899" s="157"/>
      <c r="AB899" s="157"/>
      <c r="AC899" s="157"/>
    </row>
    <row r="900" spans="1:29" ht="11.25">
      <c r="A900" s="157"/>
      <c r="B900" s="157"/>
      <c r="C900" s="157"/>
      <c r="D900" s="157"/>
      <c r="E900" s="157"/>
      <c r="F900" s="223"/>
      <c r="G900" s="157"/>
      <c r="H900" s="223"/>
      <c r="I900" s="157"/>
      <c r="J900" s="157"/>
      <c r="K900" s="157"/>
      <c r="L900" s="223"/>
      <c r="M900" s="157"/>
      <c r="N900" s="157"/>
      <c r="O900" s="157"/>
      <c r="P900" s="181"/>
      <c r="Q900" s="180"/>
      <c r="R900" s="180"/>
      <c r="S900" s="181"/>
      <c r="T900" s="180"/>
      <c r="U900" s="180"/>
      <c r="V900" s="180"/>
      <c r="W900" s="180"/>
      <c r="X900" s="181"/>
      <c r="Y900" s="181"/>
      <c r="Z900" s="182"/>
      <c r="AA900" s="157"/>
      <c r="AB900" s="157"/>
      <c r="AC900" s="157"/>
    </row>
    <row r="901" spans="1:29" ht="11.25">
      <c r="A901" s="157"/>
      <c r="B901" s="157"/>
      <c r="C901" s="157"/>
      <c r="D901" s="157"/>
      <c r="E901" s="157"/>
      <c r="F901" s="223"/>
      <c r="G901" s="157"/>
      <c r="H901" s="223"/>
      <c r="I901" s="157"/>
      <c r="J901" s="157"/>
      <c r="K901" s="157"/>
      <c r="L901" s="223"/>
      <c r="M901" s="157"/>
      <c r="N901" s="157"/>
      <c r="O901" s="157"/>
      <c r="P901" s="181"/>
      <c r="Q901" s="180"/>
      <c r="R901" s="180"/>
      <c r="S901" s="181"/>
      <c r="T901" s="180"/>
      <c r="U901" s="180"/>
      <c r="V901" s="180"/>
      <c r="W901" s="180"/>
      <c r="X901" s="181"/>
      <c r="Y901" s="181"/>
      <c r="Z901" s="182"/>
      <c r="AA901" s="157"/>
      <c r="AB901" s="157"/>
      <c r="AC901" s="157"/>
    </row>
    <row r="902" spans="1:29" ht="11.25">
      <c r="A902" s="157"/>
      <c r="B902" s="157"/>
      <c r="C902" s="157"/>
      <c r="D902" s="157"/>
      <c r="E902" s="157"/>
      <c r="F902" s="223"/>
      <c r="G902" s="157"/>
      <c r="H902" s="223"/>
      <c r="I902" s="157"/>
      <c r="J902" s="157"/>
      <c r="K902" s="157"/>
      <c r="L902" s="223"/>
      <c r="M902" s="157"/>
      <c r="N902" s="157"/>
      <c r="O902" s="157"/>
      <c r="P902" s="181"/>
      <c r="Q902" s="180"/>
      <c r="R902" s="180"/>
      <c r="S902" s="181"/>
      <c r="T902" s="180"/>
      <c r="U902" s="180"/>
      <c r="V902" s="180"/>
      <c r="W902" s="180"/>
      <c r="X902" s="181"/>
      <c r="Y902" s="181"/>
      <c r="Z902" s="182"/>
      <c r="AA902" s="157"/>
      <c r="AB902" s="157"/>
      <c r="AC902" s="157"/>
    </row>
    <row r="903" spans="1:29" ht="11.25">
      <c r="A903" s="157"/>
      <c r="B903" s="157"/>
      <c r="C903" s="157"/>
      <c r="D903" s="157"/>
      <c r="E903" s="157"/>
      <c r="F903" s="223"/>
      <c r="G903" s="157"/>
      <c r="H903" s="223"/>
      <c r="I903" s="157"/>
      <c r="J903" s="157"/>
      <c r="K903" s="157"/>
      <c r="L903" s="223"/>
      <c r="M903" s="157"/>
      <c r="N903" s="157"/>
      <c r="O903" s="157"/>
      <c r="P903" s="181"/>
      <c r="Q903" s="180"/>
      <c r="R903" s="180"/>
      <c r="S903" s="181"/>
      <c r="T903" s="180"/>
      <c r="U903" s="180"/>
      <c r="V903" s="180"/>
      <c r="W903" s="180"/>
      <c r="X903" s="181"/>
      <c r="Y903" s="181"/>
      <c r="Z903" s="182"/>
      <c r="AA903" s="157"/>
      <c r="AB903" s="157"/>
      <c r="AC903" s="157"/>
    </row>
    <row r="904" spans="1:29" ht="11.25">
      <c r="A904" s="157"/>
      <c r="B904" s="157"/>
      <c r="C904" s="157"/>
      <c r="D904" s="157"/>
      <c r="E904" s="157"/>
      <c r="F904" s="223"/>
      <c r="G904" s="157"/>
      <c r="H904" s="223"/>
      <c r="I904" s="157"/>
      <c r="J904" s="157"/>
      <c r="K904" s="157"/>
      <c r="L904" s="223"/>
      <c r="M904" s="157"/>
      <c r="N904" s="157"/>
      <c r="O904" s="157"/>
      <c r="P904" s="181"/>
      <c r="Q904" s="180"/>
      <c r="R904" s="180"/>
      <c r="S904" s="181"/>
      <c r="T904" s="180"/>
      <c r="U904" s="180"/>
      <c r="V904" s="180"/>
      <c r="W904" s="180"/>
      <c r="X904" s="181"/>
      <c r="Y904" s="181"/>
      <c r="Z904" s="182"/>
      <c r="AA904" s="157"/>
      <c r="AB904" s="157"/>
      <c r="AC904" s="157"/>
    </row>
    <row r="905" spans="1:29" ht="11.25">
      <c r="A905" s="157"/>
      <c r="B905" s="157"/>
      <c r="C905" s="157"/>
      <c r="D905" s="157"/>
      <c r="E905" s="157"/>
      <c r="F905" s="223"/>
      <c r="G905" s="157"/>
      <c r="H905" s="223"/>
      <c r="I905" s="157"/>
      <c r="J905" s="157"/>
      <c r="K905" s="157"/>
      <c r="L905" s="223"/>
      <c r="M905" s="157"/>
      <c r="N905" s="157"/>
      <c r="O905" s="157"/>
      <c r="P905" s="181"/>
      <c r="Q905" s="180"/>
      <c r="R905" s="180"/>
      <c r="S905" s="181"/>
      <c r="T905" s="180"/>
      <c r="U905" s="180"/>
      <c r="V905" s="180"/>
      <c r="W905" s="180"/>
      <c r="X905" s="181"/>
      <c r="Y905" s="181"/>
      <c r="Z905" s="182"/>
      <c r="AA905" s="157"/>
      <c r="AB905" s="157"/>
      <c r="AC905" s="157"/>
    </row>
    <row r="906" spans="1:29" ht="11.25">
      <c r="A906" s="157"/>
      <c r="B906" s="157"/>
      <c r="C906" s="157"/>
      <c r="D906" s="157"/>
      <c r="E906" s="157"/>
      <c r="F906" s="223"/>
      <c r="G906" s="157"/>
      <c r="H906" s="223"/>
      <c r="I906" s="157"/>
      <c r="J906" s="157"/>
      <c r="K906" s="157"/>
      <c r="L906" s="223"/>
      <c r="M906" s="157"/>
      <c r="N906" s="157"/>
      <c r="O906" s="157"/>
      <c r="P906" s="181"/>
      <c r="Q906" s="180"/>
      <c r="R906" s="180"/>
      <c r="S906" s="181"/>
      <c r="T906" s="180"/>
      <c r="U906" s="180"/>
      <c r="V906" s="180"/>
      <c r="W906" s="180"/>
      <c r="X906" s="181"/>
      <c r="Y906" s="181"/>
      <c r="Z906" s="182"/>
      <c r="AA906" s="157"/>
      <c r="AB906" s="157"/>
      <c r="AC906" s="157"/>
    </row>
    <row r="907" spans="1:29" ht="11.25">
      <c r="A907" s="157"/>
      <c r="B907" s="157"/>
      <c r="C907" s="157"/>
      <c r="D907" s="157"/>
      <c r="E907" s="157"/>
      <c r="F907" s="223"/>
      <c r="G907" s="157"/>
      <c r="H907" s="223"/>
      <c r="I907" s="157"/>
      <c r="J907" s="157"/>
      <c r="K907" s="157"/>
      <c r="L907" s="223"/>
      <c r="M907" s="157"/>
      <c r="N907" s="157"/>
      <c r="O907" s="157"/>
      <c r="P907" s="181"/>
      <c r="Q907" s="180"/>
      <c r="R907" s="180"/>
      <c r="S907" s="181"/>
      <c r="T907" s="180"/>
      <c r="U907" s="180"/>
      <c r="V907" s="180"/>
      <c r="W907" s="180"/>
      <c r="X907" s="181"/>
      <c r="Y907" s="181"/>
      <c r="Z907" s="182"/>
      <c r="AA907" s="157"/>
      <c r="AB907" s="157"/>
      <c r="AC907" s="157"/>
    </row>
    <row r="908" spans="1:29" ht="11.25">
      <c r="A908" s="157"/>
      <c r="B908" s="157"/>
      <c r="C908" s="157"/>
      <c r="D908" s="157"/>
      <c r="E908" s="157"/>
      <c r="F908" s="223"/>
      <c r="G908" s="157"/>
      <c r="H908" s="223"/>
      <c r="I908" s="157"/>
      <c r="J908" s="157"/>
      <c r="K908" s="157"/>
      <c r="L908" s="223"/>
      <c r="M908" s="157"/>
      <c r="N908" s="157"/>
      <c r="O908" s="157"/>
      <c r="P908" s="181"/>
      <c r="Q908" s="180"/>
      <c r="R908" s="180"/>
      <c r="S908" s="181"/>
      <c r="T908" s="180"/>
      <c r="U908" s="180"/>
      <c r="V908" s="180"/>
      <c r="W908" s="180"/>
      <c r="X908" s="181"/>
      <c r="Y908" s="181"/>
      <c r="Z908" s="182"/>
      <c r="AA908" s="157"/>
      <c r="AB908" s="157"/>
      <c r="AC908" s="157"/>
    </row>
    <row r="909" spans="1:29" ht="11.25">
      <c r="A909" s="157"/>
      <c r="B909" s="157"/>
      <c r="C909" s="157"/>
      <c r="D909" s="157"/>
      <c r="E909" s="157"/>
      <c r="F909" s="223"/>
      <c r="G909" s="157"/>
      <c r="H909" s="223"/>
      <c r="I909" s="157"/>
      <c r="J909" s="157"/>
      <c r="K909" s="157"/>
      <c r="L909" s="223"/>
      <c r="M909" s="157"/>
      <c r="N909" s="157"/>
      <c r="O909" s="157"/>
      <c r="P909" s="181"/>
      <c r="Q909" s="180"/>
      <c r="R909" s="180"/>
      <c r="S909" s="181"/>
      <c r="T909" s="180"/>
      <c r="U909" s="180"/>
      <c r="V909" s="180"/>
      <c r="W909" s="180"/>
      <c r="X909" s="181"/>
      <c r="Y909" s="181"/>
      <c r="Z909" s="182"/>
      <c r="AA909" s="157"/>
      <c r="AB909" s="157"/>
      <c r="AC909" s="157"/>
    </row>
    <row r="910" spans="1:29" ht="11.25">
      <c r="A910" s="157"/>
      <c r="B910" s="157"/>
      <c r="C910" s="157"/>
      <c r="D910" s="157"/>
      <c r="E910" s="157"/>
      <c r="F910" s="223"/>
      <c r="G910" s="157"/>
      <c r="H910" s="223"/>
      <c r="I910" s="157"/>
      <c r="J910" s="157"/>
      <c r="K910" s="157"/>
      <c r="L910" s="223"/>
      <c r="M910" s="157"/>
      <c r="N910" s="157"/>
      <c r="O910" s="157"/>
      <c r="P910" s="181"/>
      <c r="Q910" s="180"/>
      <c r="R910" s="180"/>
      <c r="S910" s="181"/>
      <c r="T910" s="180"/>
      <c r="U910" s="180"/>
      <c r="V910" s="180"/>
      <c r="W910" s="180"/>
      <c r="X910" s="181"/>
      <c r="Y910" s="181"/>
      <c r="Z910" s="182"/>
      <c r="AA910" s="157"/>
      <c r="AB910" s="157"/>
      <c r="AC910" s="157"/>
    </row>
    <row r="911" spans="1:29" ht="11.25">
      <c r="A911" s="157"/>
      <c r="B911" s="157"/>
      <c r="C911" s="157"/>
      <c r="D911" s="157"/>
      <c r="E911" s="157"/>
      <c r="F911" s="223"/>
      <c r="G911" s="157"/>
      <c r="H911" s="223"/>
      <c r="I911" s="157"/>
      <c r="J911" s="157"/>
      <c r="K911" s="157"/>
      <c r="L911" s="223"/>
      <c r="M911" s="157"/>
      <c r="N911" s="157"/>
      <c r="O911" s="157"/>
      <c r="P911" s="181"/>
      <c r="Q911" s="180"/>
      <c r="R911" s="180"/>
      <c r="S911" s="181"/>
      <c r="T911" s="180"/>
      <c r="U911" s="180"/>
      <c r="V911" s="180"/>
      <c r="W911" s="180"/>
      <c r="X911" s="181"/>
      <c r="Y911" s="181"/>
      <c r="Z911" s="182"/>
      <c r="AA911" s="157"/>
      <c r="AB911" s="157"/>
      <c r="AC911" s="157"/>
    </row>
    <row r="912" spans="1:29" ht="11.25">
      <c r="A912" s="157"/>
      <c r="B912" s="157"/>
      <c r="C912" s="157"/>
      <c r="D912" s="157"/>
      <c r="E912" s="157"/>
      <c r="F912" s="223"/>
      <c r="G912" s="157"/>
      <c r="H912" s="223"/>
      <c r="I912" s="157"/>
      <c r="J912" s="157"/>
      <c r="K912" s="157"/>
      <c r="L912" s="223"/>
      <c r="M912" s="157"/>
      <c r="N912" s="157"/>
      <c r="O912" s="157"/>
      <c r="P912" s="181"/>
      <c r="Q912" s="180"/>
      <c r="R912" s="180"/>
      <c r="S912" s="181"/>
      <c r="T912" s="180"/>
      <c r="U912" s="180"/>
      <c r="V912" s="180"/>
      <c r="W912" s="180"/>
      <c r="X912" s="181"/>
      <c r="Y912" s="181"/>
      <c r="Z912" s="182"/>
      <c r="AA912" s="157"/>
      <c r="AB912" s="157"/>
      <c r="AC912" s="157"/>
    </row>
    <row r="913" spans="1:29" ht="11.25">
      <c r="A913" s="157"/>
      <c r="B913" s="157"/>
      <c r="C913" s="157"/>
      <c r="D913" s="157"/>
      <c r="E913" s="157"/>
      <c r="F913" s="223"/>
      <c r="G913" s="157"/>
      <c r="H913" s="223"/>
      <c r="I913" s="157"/>
      <c r="J913" s="157"/>
      <c r="K913" s="157"/>
      <c r="L913" s="223"/>
      <c r="M913" s="157"/>
      <c r="N913" s="157"/>
      <c r="O913" s="157"/>
      <c r="P913" s="181"/>
      <c r="Q913" s="180"/>
      <c r="R913" s="180"/>
      <c r="S913" s="181"/>
      <c r="T913" s="180"/>
      <c r="U913" s="180"/>
      <c r="V913" s="180"/>
      <c r="W913" s="180"/>
      <c r="X913" s="181"/>
      <c r="Y913" s="181"/>
      <c r="Z913" s="182"/>
      <c r="AA913" s="157"/>
      <c r="AB913" s="157"/>
      <c r="AC913" s="157"/>
    </row>
    <row r="914" spans="1:29" ht="11.25">
      <c r="A914" s="157"/>
      <c r="B914" s="157"/>
      <c r="C914" s="157"/>
      <c r="D914" s="157"/>
      <c r="E914" s="157"/>
      <c r="F914" s="223"/>
      <c r="G914" s="157"/>
      <c r="H914" s="223"/>
      <c r="I914" s="157"/>
      <c r="J914" s="157"/>
      <c r="K914" s="157"/>
      <c r="L914" s="223"/>
      <c r="M914" s="157"/>
      <c r="N914" s="157"/>
      <c r="O914" s="157"/>
      <c r="P914" s="181"/>
      <c r="Q914" s="180"/>
      <c r="R914" s="180"/>
      <c r="S914" s="181"/>
      <c r="T914" s="180"/>
      <c r="U914" s="180"/>
      <c r="V914" s="180"/>
      <c r="W914" s="180"/>
      <c r="X914" s="181"/>
      <c r="Y914" s="181"/>
      <c r="Z914" s="182"/>
      <c r="AA914" s="157"/>
      <c r="AB914" s="157"/>
      <c r="AC914" s="157"/>
    </row>
    <row r="915" spans="1:29" ht="11.25">
      <c r="A915" s="157"/>
      <c r="B915" s="157"/>
      <c r="C915" s="157"/>
      <c r="D915" s="157"/>
      <c r="E915" s="157"/>
      <c r="F915" s="223"/>
      <c r="G915" s="157"/>
      <c r="H915" s="223"/>
      <c r="I915" s="157"/>
      <c r="J915" s="157"/>
      <c r="K915" s="157"/>
      <c r="L915" s="223"/>
      <c r="M915" s="157"/>
      <c r="N915" s="157"/>
      <c r="O915" s="157"/>
      <c r="P915" s="181"/>
      <c r="Q915" s="180"/>
      <c r="R915" s="180"/>
      <c r="S915" s="181"/>
      <c r="T915" s="180"/>
      <c r="U915" s="180"/>
      <c r="V915" s="180"/>
      <c r="W915" s="180"/>
      <c r="X915" s="181"/>
      <c r="Y915" s="181"/>
      <c r="Z915" s="182"/>
      <c r="AA915" s="157"/>
      <c r="AB915" s="157"/>
      <c r="AC915" s="157"/>
    </row>
    <row r="916" spans="1:29" ht="11.25">
      <c r="A916" s="157"/>
      <c r="B916" s="157"/>
      <c r="C916" s="157"/>
      <c r="D916" s="157"/>
      <c r="E916" s="157"/>
      <c r="F916" s="223"/>
      <c r="G916" s="157"/>
      <c r="H916" s="223"/>
      <c r="I916" s="157"/>
      <c r="J916" s="157"/>
      <c r="K916" s="157"/>
      <c r="L916" s="223"/>
      <c r="M916" s="157"/>
      <c r="N916" s="157"/>
      <c r="O916" s="157"/>
      <c r="P916" s="181"/>
      <c r="Q916" s="180"/>
      <c r="R916" s="180"/>
      <c r="S916" s="181"/>
      <c r="T916" s="180"/>
      <c r="U916" s="180"/>
      <c r="V916" s="180"/>
      <c r="W916" s="180"/>
      <c r="X916" s="181"/>
      <c r="Y916" s="181"/>
      <c r="Z916" s="182"/>
      <c r="AA916" s="157"/>
      <c r="AB916" s="157"/>
      <c r="AC916" s="157"/>
    </row>
    <row r="917" spans="1:29" ht="11.25">
      <c r="A917" s="157"/>
      <c r="B917" s="157"/>
      <c r="C917" s="157"/>
      <c r="D917" s="157"/>
      <c r="E917" s="157"/>
      <c r="F917" s="223"/>
      <c r="G917" s="157"/>
      <c r="H917" s="223"/>
      <c r="I917" s="157"/>
      <c r="J917" s="157"/>
      <c r="K917" s="157"/>
      <c r="L917" s="223"/>
      <c r="M917" s="157"/>
      <c r="N917" s="157"/>
      <c r="O917" s="157"/>
      <c r="P917" s="181"/>
      <c r="Q917" s="180"/>
      <c r="R917" s="180"/>
      <c r="S917" s="181"/>
      <c r="T917" s="180"/>
      <c r="U917" s="180"/>
      <c r="V917" s="180"/>
      <c r="W917" s="180"/>
      <c r="X917" s="181"/>
      <c r="Y917" s="181"/>
      <c r="Z917" s="182"/>
      <c r="AA917" s="157"/>
      <c r="AB917" s="157"/>
      <c r="AC917" s="157"/>
    </row>
    <row r="918" spans="1:29" ht="11.25">
      <c r="A918" s="157"/>
      <c r="B918" s="157"/>
      <c r="C918" s="157"/>
      <c r="D918" s="157"/>
      <c r="E918" s="157"/>
      <c r="F918" s="223"/>
      <c r="G918" s="157"/>
      <c r="H918" s="223"/>
      <c r="I918" s="157"/>
      <c r="J918" s="157"/>
      <c r="K918" s="157"/>
      <c r="L918" s="223"/>
      <c r="M918" s="157"/>
      <c r="N918" s="157"/>
      <c r="O918" s="157"/>
      <c r="P918" s="181"/>
      <c r="Q918" s="180"/>
      <c r="R918" s="180"/>
      <c r="S918" s="181"/>
      <c r="T918" s="180"/>
      <c r="U918" s="180"/>
      <c r="V918" s="180"/>
      <c r="W918" s="180"/>
      <c r="X918" s="181"/>
      <c r="Y918" s="181"/>
      <c r="Z918" s="182"/>
      <c r="AA918" s="157"/>
      <c r="AB918" s="157"/>
      <c r="AC918" s="157"/>
    </row>
    <row r="919" spans="1:29" ht="11.25">
      <c r="A919" s="157"/>
      <c r="B919" s="157"/>
      <c r="C919" s="157"/>
      <c r="D919" s="157"/>
      <c r="E919" s="157"/>
      <c r="F919" s="223"/>
      <c r="G919" s="157"/>
      <c r="H919" s="223"/>
      <c r="I919" s="157"/>
      <c r="J919" s="157"/>
      <c r="K919" s="157"/>
      <c r="L919" s="223"/>
      <c r="M919" s="157"/>
      <c r="N919" s="157"/>
      <c r="O919" s="157"/>
      <c r="P919" s="181"/>
      <c r="Q919" s="180"/>
      <c r="R919" s="180"/>
      <c r="S919" s="181"/>
      <c r="T919" s="180"/>
      <c r="U919" s="180"/>
      <c r="V919" s="180"/>
      <c r="W919" s="180"/>
      <c r="X919" s="181"/>
      <c r="Y919" s="181"/>
      <c r="Z919" s="182"/>
      <c r="AA919" s="157"/>
      <c r="AB919" s="157"/>
      <c r="AC919" s="157"/>
    </row>
    <row r="920" spans="1:29" ht="11.25">
      <c r="A920" s="157"/>
      <c r="B920" s="157"/>
      <c r="C920" s="157"/>
      <c r="D920" s="157"/>
      <c r="E920" s="157"/>
      <c r="F920" s="223"/>
      <c r="G920" s="157"/>
      <c r="H920" s="223"/>
      <c r="I920" s="157"/>
      <c r="J920" s="157"/>
      <c r="K920" s="157"/>
      <c r="L920" s="223"/>
      <c r="M920" s="157"/>
      <c r="N920" s="157"/>
      <c r="O920" s="157"/>
      <c r="P920" s="181"/>
      <c r="Q920" s="180"/>
      <c r="R920" s="180"/>
      <c r="S920" s="181"/>
      <c r="T920" s="180"/>
      <c r="U920" s="180"/>
      <c r="V920" s="180"/>
      <c r="W920" s="180"/>
      <c r="X920" s="181"/>
      <c r="Y920" s="181"/>
      <c r="Z920" s="182"/>
      <c r="AA920" s="157"/>
      <c r="AB920" s="157"/>
      <c r="AC920" s="157"/>
    </row>
    <row r="921" spans="1:29" ht="11.25">
      <c r="A921" s="157"/>
      <c r="B921" s="157"/>
      <c r="C921" s="157"/>
      <c r="D921" s="157"/>
      <c r="E921" s="157"/>
      <c r="F921" s="223"/>
      <c r="G921" s="157"/>
      <c r="H921" s="223"/>
      <c r="I921" s="157"/>
      <c r="J921" s="157"/>
      <c r="K921" s="157"/>
      <c r="L921" s="223"/>
      <c r="M921" s="157"/>
      <c r="N921" s="157"/>
      <c r="O921" s="157"/>
      <c r="P921" s="181"/>
      <c r="Q921" s="180"/>
      <c r="R921" s="180"/>
      <c r="S921" s="181"/>
      <c r="T921" s="180"/>
      <c r="U921" s="180"/>
      <c r="V921" s="180"/>
      <c r="W921" s="180"/>
      <c r="X921" s="181"/>
      <c r="Y921" s="181"/>
      <c r="Z921" s="182"/>
      <c r="AA921" s="157"/>
      <c r="AB921" s="157"/>
      <c r="AC921" s="157"/>
    </row>
    <row r="922" spans="1:29" ht="11.25">
      <c r="A922" s="157"/>
      <c r="B922" s="157"/>
      <c r="C922" s="157"/>
      <c r="D922" s="157"/>
      <c r="E922" s="157"/>
      <c r="F922" s="223"/>
      <c r="G922" s="157"/>
      <c r="H922" s="223"/>
      <c r="I922" s="157"/>
      <c r="J922" s="157"/>
      <c r="K922" s="157"/>
      <c r="L922" s="223"/>
      <c r="M922" s="157"/>
      <c r="N922" s="157"/>
      <c r="O922" s="157"/>
      <c r="P922" s="181"/>
      <c r="Q922" s="180"/>
      <c r="R922" s="180"/>
      <c r="S922" s="181"/>
      <c r="T922" s="180"/>
      <c r="U922" s="180"/>
      <c r="V922" s="180"/>
      <c r="W922" s="180"/>
      <c r="X922" s="181"/>
      <c r="Y922" s="181"/>
      <c r="Z922" s="182"/>
      <c r="AA922" s="157"/>
      <c r="AB922" s="157"/>
      <c r="AC922" s="157"/>
    </row>
    <row r="923" spans="1:29" ht="11.25">
      <c r="A923" s="157"/>
      <c r="B923" s="157"/>
      <c r="C923" s="157"/>
      <c r="D923" s="157"/>
      <c r="E923" s="157"/>
      <c r="F923" s="223"/>
      <c r="G923" s="157"/>
      <c r="H923" s="223"/>
      <c r="I923" s="157"/>
      <c r="J923" s="157"/>
      <c r="K923" s="157"/>
      <c r="L923" s="223"/>
      <c r="M923" s="157"/>
      <c r="N923" s="157"/>
      <c r="O923" s="157"/>
      <c r="P923" s="181"/>
      <c r="Q923" s="180"/>
      <c r="R923" s="180"/>
      <c r="S923" s="181"/>
      <c r="T923" s="180"/>
      <c r="U923" s="180"/>
      <c r="V923" s="180"/>
      <c r="W923" s="180"/>
      <c r="X923" s="181"/>
      <c r="Y923" s="181"/>
      <c r="Z923" s="182"/>
      <c r="AA923" s="157"/>
      <c r="AB923" s="157"/>
      <c r="AC923" s="157"/>
    </row>
    <row r="924" spans="1:29" ht="11.25">
      <c r="A924" s="157"/>
      <c r="B924" s="157"/>
      <c r="C924" s="157"/>
      <c r="D924" s="157"/>
      <c r="E924" s="157"/>
      <c r="F924" s="223"/>
      <c r="G924" s="157"/>
      <c r="H924" s="223"/>
      <c r="I924" s="157"/>
      <c r="J924" s="157"/>
      <c r="K924" s="157"/>
      <c r="L924" s="223"/>
      <c r="M924" s="157"/>
      <c r="N924" s="157"/>
      <c r="O924" s="157"/>
      <c r="P924" s="181"/>
      <c r="Q924" s="180"/>
      <c r="R924" s="180"/>
      <c r="S924" s="181"/>
      <c r="T924" s="180"/>
      <c r="U924" s="180"/>
      <c r="V924" s="180"/>
      <c r="W924" s="180"/>
      <c r="X924" s="181"/>
      <c r="Y924" s="181"/>
      <c r="Z924" s="182"/>
      <c r="AA924" s="157"/>
      <c r="AB924" s="157"/>
      <c r="AC924" s="157"/>
    </row>
    <row r="925" spans="1:29" ht="11.25">
      <c r="A925" s="157"/>
      <c r="B925" s="157"/>
      <c r="C925" s="157"/>
      <c r="D925" s="157"/>
      <c r="E925" s="157"/>
      <c r="F925" s="223"/>
      <c r="G925" s="157"/>
      <c r="H925" s="223"/>
      <c r="I925" s="157"/>
      <c r="J925" s="157"/>
      <c r="K925" s="157"/>
      <c r="L925" s="223"/>
      <c r="M925" s="157"/>
      <c r="N925" s="157"/>
      <c r="O925" s="157"/>
      <c r="P925" s="181"/>
      <c r="Q925" s="180"/>
      <c r="R925" s="180"/>
      <c r="S925" s="181"/>
      <c r="T925" s="180"/>
      <c r="U925" s="180"/>
      <c r="V925" s="180"/>
      <c r="W925" s="180"/>
      <c r="X925" s="181"/>
      <c r="Y925" s="181"/>
      <c r="Z925" s="182"/>
      <c r="AA925" s="157"/>
      <c r="AB925" s="157"/>
      <c r="AC925" s="157"/>
    </row>
    <row r="926" spans="1:29" ht="11.25">
      <c r="A926" s="157"/>
      <c r="B926" s="157"/>
      <c r="C926" s="157"/>
      <c r="D926" s="157"/>
      <c r="E926" s="157"/>
      <c r="F926" s="223"/>
      <c r="G926" s="157"/>
      <c r="H926" s="223"/>
      <c r="I926" s="157"/>
      <c r="J926" s="157"/>
      <c r="K926" s="157"/>
      <c r="L926" s="223"/>
      <c r="M926" s="157"/>
      <c r="N926" s="157"/>
      <c r="O926" s="157"/>
      <c r="P926" s="181"/>
      <c r="Q926" s="180"/>
      <c r="R926" s="180"/>
      <c r="S926" s="181"/>
      <c r="T926" s="180"/>
      <c r="U926" s="180"/>
      <c r="V926" s="180"/>
      <c r="W926" s="180"/>
      <c r="X926" s="181"/>
      <c r="Y926" s="181"/>
      <c r="Z926" s="182"/>
      <c r="AA926" s="157"/>
      <c r="AB926" s="157"/>
      <c r="AC926" s="157"/>
    </row>
    <row r="927" spans="1:29" ht="11.25">
      <c r="A927" s="157"/>
      <c r="B927" s="157"/>
      <c r="C927" s="157"/>
      <c r="D927" s="157"/>
      <c r="E927" s="157"/>
      <c r="F927" s="223"/>
      <c r="G927" s="157"/>
      <c r="H927" s="223"/>
      <c r="I927" s="157"/>
      <c r="J927" s="157"/>
      <c r="K927" s="157"/>
      <c r="L927" s="223"/>
      <c r="M927" s="157"/>
      <c r="N927" s="157"/>
      <c r="O927" s="157"/>
      <c r="P927" s="181"/>
      <c r="Q927" s="180"/>
      <c r="R927" s="180"/>
      <c r="S927" s="181"/>
      <c r="T927" s="180"/>
      <c r="U927" s="180"/>
      <c r="V927" s="180"/>
      <c r="W927" s="180"/>
      <c r="X927" s="181"/>
      <c r="Y927" s="181"/>
      <c r="Z927" s="182"/>
      <c r="AA927" s="157"/>
      <c r="AB927" s="157"/>
      <c r="AC927" s="157"/>
    </row>
    <row r="928" spans="1:29" ht="11.25">
      <c r="A928" s="157"/>
      <c r="B928" s="157"/>
      <c r="C928" s="157"/>
      <c r="D928" s="157"/>
      <c r="E928" s="157"/>
      <c r="F928" s="223"/>
      <c r="G928" s="157"/>
      <c r="H928" s="223"/>
      <c r="I928" s="157"/>
      <c r="J928" s="157"/>
      <c r="K928" s="157"/>
      <c r="L928" s="223"/>
      <c r="M928" s="157"/>
      <c r="N928" s="157"/>
      <c r="O928" s="157"/>
      <c r="P928" s="181"/>
      <c r="Q928" s="180"/>
      <c r="R928" s="180"/>
      <c r="S928" s="181"/>
      <c r="T928" s="180"/>
      <c r="U928" s="180"/>
      <c r="V928" s="180"/>
      <c r="W928" s="180"/>
      <c r="X928" s="181"/>
      <c r="Y928" s="181"/>
      <c r="Z928" s="182"/>
      <c r="AA928" s="157"/>
      <c r="AB928" s="157"/>
      <c r="AC928" s="157"/>
    </row>
    <row r="929" spans="1:29" ht="11.25">
      <c r="A929" s="157"/>
      <c r="B929" s="157"/>
      <c r="C929" s="157"/>
      <c r="D929" s="157"/>
      <c r="E929" s="157"/>
      <c r="F929" s="223"/>
      <c r="G929" s="157"/>
      <c r="H929" s="223"/>
      <c r="I929" s="157"/>
      <c r="J929" s="157"/>
      <c r="K929" s="157"/>
      <c r="L929" s="223"/>
      <c r="M929" s="157"/>
      <c r="N929" s="157"/>
      <c r="O929" s="157"/>
      <c r="P929" s="181"/>
      <c r="Q929" s="180"/>
      <c r="R929" s="180"/>
      <c r="S929" s="181"/>
      <c r="T929" s="180"/>
      <c r="U929" s="180"/>
      <c r="V929" s="180"/>
      <c r="W929" s="180"/>
      <c r="X929" s="181"/>
      <c r="Y929" s="181"/>
      <c r="Z929" s="182"/>
      <c r="AA929" s="157"/>
      <c r="AB929" s="157"/>
      <c r="AC929" s="157"/>
    </row>
    <row r="930" spans="1:29" ht="11.25">
      <c r="A930" s="157"/>
      <c r="B930" s="157"/>
      <c r="C930" s="157"/>
      <c r="D930" s="157"/>
      <c r="E930" s="157"/>
      <c r="F930" s="223"/>
      <c r="G930" s="157"/>
      <c r="H930" s="223"/>
      <c r="I930" s="157"/>
      <c r="J930" s="157"/>
      <c r="K930" s="157"/>
      <c r="L930" s="223"/>
      <c r="M930" s="157"/>
      <c r="N930" s="157"/>
      <c r="O930" s="157"/>
      <c r="P930" s="181"/>
      <c r="Q930" s="180"/>
      <c r="R930" s="180"/>
      <c r="S930" s="181"/>
      <c r="T930" s="180"/>
      <c r="U930" s="180"/>
      <c r="V930" s="180"/>
      <c r="W930" s="180"/>
      <c r="X930" s="181"/>
      <c r="Y930" s="181"/>
      <c r="Z930" s="182"/>
      <c r="AA930" s="157"/>
      <c r="AB930" s="157"/>
      <c r="AC930" s="157"/>
    </row>
    <row r="931" spans="1:29" ht="11.25">
      <c r="A931" s="157"/>
      <c r="B931" s="157"/>
      <c r="C931" s="157"/>
      <c r="D931" s="157"/>
      <c r="E931" s="157"/>
      <c r="F931" s="223"/>
      <c r="G931" s="157"/>
      <c r="H931" s="223"/>
      <c r="I931" s="157"/>
      <c r="J931" s="157"/>
      <c r="K931" s="157"/>
      <c r="L931" s="223"/>
      <c r="M931" s="157"/>
      <c r="N931" s="157"/>
      <c r="O931" s="157"/>
      <c r="P931" s="181"/>
      <c r="Q931" s="180"/>
      <c r="R931" s="180"/>
      <c r="S931" s="181"/>
      <c r="T931" s="180"/>
      <c r="U931" s="180"/>
      <c r="V931" s="180"/>
      <c r="W931" s="180"/>
      <c r="X931" s="181"/>
      <c r="Y931" s="181"/>
      <c r="Z931" s="182"/>
      <c r="AA931" s="157"/>
      <c r="AB931" s="157"/>
      <c r="AC931" s="157"/>
    </row>
    <row r="932" spans="1:29" ht="11.25">
      <c r="A932" s="157"/>
      <c r="B932" s="157"/>
      <c r="C932" s="157"/>
      <c r="D932" s="157"/>
      <c r="E932" s="157"/>
      <c r="F932" s="223"/>
      <c r="G932" s="157"/>
      <c r="H932" s="223"/>
      <c r="I932" s="157"/>
      <c r="J932" s="157"/>
      <c r="K932" s="157"/>
      <c r="L932" s="223"/>
      <c r="M932" s="157"/>
      <c r="N932" s="157"/>
      <c r="O932" s="157"/>
      <c r="P932" s="181"/>
      <c r="Q932" s="180"/>
      <c r="R932" s="180"/>
      <c r="S932" s="181"/>
      <c r="T932" s="180"/>
      <c r="U932" s="180"/>
      <c r="V932" s="180"/>
      <c r="W932" s="180"/>
      <c r="X932" s="181"/>
      <c r="Y932" s="181"/>
      <c r="Z932" s="182"/>
      <c r="AA932" s="157"/>
      <c r="AB932" s="157"/>
      <c r="AC932" s="157"/>
    </row>
    <row r="933" spans="1:29" ht="11.25">
      <c r="A933" s="157"/>
      <c r="B933" s="157"/>
      <c r="C933" s="157"/>
      <c r="D933" s="157"/>
      <c r="E933" s="157"/>
      <c r="F933" s="223"/>
      <c r="G933" s="157"/>
      <c r="H933" s="223"/>
      <c r="I933" s="157"/>
      <c r="J933" s="157"/>
      <c r="K933" s="157"/>
      <c r="L933" s="223"/>
      <c r="M933" s="157"/>
      <c r="N933" s="157"/>
      <c r="O933" s="157"/>
      <c r="P933" s="181"/>
      <c r="Q933" s="180"/>
      <c r="R933" s="180"/>
      <c r="S933" s="181"/>
      <c r="T933" s="180"/>
      <c r="U933" s="180"/>
      <c r="V933" s="180"/>
      <c r="W933" s="180"/>
      <c r="X933" s="181"/>
      <c r="Y933" s="181"/>
      <c r="Z933" s="182"/>
      <c r="AA933" s="157"/>
      <c r="AB933" s="157"/>
      <c r="AC933" s="157"/>
    </row>
    <row r="934" spans="1:29" ht="11.25">
      <c r="A934" s="157"/>
      <c r="B934" s="157"/>
      <c r="C934" s="157"/>
      <c r="D934" s="157"/>
      <c r="E934" s="157"/>
      <c r="F934" s="223"/>
      <c r="G934" s="157"/>
      <c r="H934" s="223"/>
      <c r="I934" s="157"/>
      <c r="J934" s="157"/>
      <c r="K934" s="157"/>
      <c r="L934" s="223"/>
      <c r="M934" s="157"/>
      <c r="N934" s="157"/>
      <c r="O934" s="157"/>
      <c r="P934" s="181"/>
      <c r="Q934" s="180"/>
      <c r="R934" s="180"/>
      <c r="S934" s="181"/>
      <c r="T934" s="180"/>
      <c r="U934" s="180"/>
      <c r="V934" s="180"/>
      <c r="W934" s="180"/>
      <c r="X934" s="181"/>
      <c r="Y934" s="181"/>
      <c r="Z934" s="182"/>
      <c r="AA934" s="157"/>
      <c r="AB934" s="157"/>
      <c r="AC934" s="157"/>
    </row>
    <row r="935" spans="1:29" ht="11.25">
      <c r="A935" s="157"/>
      <c r="B935" s="157"/>
      <c r="C935" s="157"/>
      <c r="D935" s="157"/>
      <c r="E935" s="157"/>
      <c r="F935" s="223"/>
      <c r="G935" s="157"/>
      <c r="H935" s="223"/>
      <c r="I935" s="157"/>
      <c r="J935" s="157"/>
      <c r="K935" s="157"/>
      <c r="L935" s="223"/>
      <c r="M935" s="157"/>
      <c r="N935" s="157"/>
      <c r="O935" s="157"/>
      <c r="P935" s="181"/>
      <c r="Q935" s="180"/>
      <c r="R935" s="180"/>
      <c r="S935" s="181"/>
      <c r="T935" s="180"/>
      <c r="U935" s="180"/>
      <c r="V935" s="180"/>
      <c r="W935" s="180"/>
      <c r="X935" s="181"/>
      <c r="Y935" s="181"/>
      <c r="Z935" s="182"/>
      <c r="AA935" s="157"/>
      <c r="AB935" s="157"/>
      <c r="AC935" s="157"/>
    </row>
    <row r="936" spans="1:29" ht="11.25">
      <c r="A936" s="157"/>
      <c r="B936" s="157"/>
      <c r="C936" s="157"/>
      <c r="D936" s="157"/>
      <c r="E936" s="157"/>
      <c r="F936" s="223"/>
      <c r="G936" s="157"/>
      <c r="H936" s="223"/>
      <c r="I936" s="157"/>
      <c r="J936" s="157"/>
      <c r="K936" s="157"/>
      <c r="L936" s="223"/>
      <c r="M936" s="157"/>
      <c r="N936" s="157"/>
      <c r="O936" s="157"/>
      <c r="P936" s="181"/>
      <c r="Q936" s="180"/>
      <c r="R936" s="180"/>
      <c r="S936" s="181"/>
      <c r="T936" s="180"/>
      <c r="U936" s="180"/>
      <c r="V936" s="180"/>
      <c r="W936" s="180"/>
      <c r="X936" s="181"/>
      <c r="Y936" s="181"/>
      <c r="Z936" s="182"/>
      <c r="AA936" s="157"/>
      <c r="AB936" s="157"/>
      <c r="AC936" s="157"/>
    </row>
    <row r="937" spans="1:29" ht="11.25">
      <c r="A937" s="157"/>
      <c r="B937" s="157"/>
      <c r="C937" s="157"/>
      <c r="D937" s="157"/>
      <c r="E937" s="157"/>
      <c r="F937" s="223"/>
      <c r="G937" s="157"/>
      <c r="H937" s="223"/>
      <c r="I937" s="157"/>
      <c r="J937" s="157"/>
      <c r="K937" s="157"/>
      <c r="L937" s="223"/>
      <c r="M937" s="157"/>
      <c r="N937" s="157"/>
      <c r="O937" s="157"/>
      <c r="P937" s="181"/>
      <c r="Q937" s="180"/>
      <c r="R937" s="180"/>
      <c r="S937" s="181"/>
      <c r="T937" s="180"/>
      <c r="U937" s="180"/>
      <c r="V937" s="180"/>
      <c r="W937" s="180"/>
      <c r="X937" s="181"/>
      <c r="Y937" s="181"/>
      <c r="Z937" s="182"/>
      <c r="AA937" s="157"/>
      <c r="AB937" s="157"/>
      <c r="AC937" s="157"/>
    </row>
    <row r="938" spans="1:29" ht="11.25">
      <c r="A938" s="157"/>
      <c r="B938" s="157"/>
      <c r="C938" s="157"/>
      <c r="D938" s="157"/>
      <c r="E938" s="157"/>
      <c r="F938" s="223"/>
      <c r="G938" s="157"/>
      <c r="H938" s="223"/>
      <c r="I938" s="157"/>
      <c r="J938" s="157"/>
      <c r="K938" s="157"/>
      <c r="L938" s="223"/>
      <c r="M938" s="157"/>
      <c r="N938" s="157"/>
      <c r="O938" s="157"/>
      <c r="P938" s="181"/>
      <c r="Q938" s="180"/>
      <c r="R938" s="180"/>
      <c r="S938" s="181"/>
      <c r="T938" s="180"/>
      <c r="U938" s="180"/>
      <c r="V938" s="180"/>
      <c r="W938" s="180"/>
      <c r="X938" s="181"/>
      <c r="Y938" s="181"/>
      <c r="Z938" s="182"/>
      <c r="AA938" s="157"/>
      <c r="AB938" s="157"/>
      <c r="AC938" s="157"/>
    </row>
    <row r="939" spans="1:29" ht="11.25">
      <c r="A939" s="157"/>
      <c r="B939" s="157"/>
      <c r="C939" s="157"/>
      <c r="D939" s="157"/>
      <c r="E939" s="157"/>
      <c r="F939" s="223"/>
      <c r="G939" s="157"/>
      <c r="H939" s="223"/>
      <c r="I939" s="157"/>
      <c r="J939" s="157"/>
      <c r="K939" s="157"/>
      <c r="L939" s="223"/>
      <c r="M939" s="157"/>
      <c r="N939" s="157"/>
      <c r="O939" s="157"/>
      <c r="P939" s="181"/>
      <c r="Q939" s="180"/>
      <c r="R939" s="180"/>
      <c r="S939" s="181"/>
      <c r="T939" s="180"/>
      <c r="U939" s="180"/>
      <c r="V939" s="180"/>
      <c r="W939" s="180"/>
      <c r="X939" s="181"/>
      <c r="Y939" s="181"/>
      <c r="Z939" s="182"/>
      <c r="AA939" s="157"/>
      <c r="AB939" s="157"/>
      <c r="AC939" s="157"/>
    </row>
    <row r="940" spans="1:29" ht="11.25">
      <c r="A940" s="157"/>
      <c r="B940" s="157"/>
      <c r="C940" s="157"/>
      <c r="D940" s="157"/>
      <c r="E940" s="157"/>
      <c r="F940" s="223"/>
      <c r="G940" s="157"/>
      <c r="H940" s="223"/>
      <c r="I940" s="157"/>
      <c r="J940" s="157"/>
      <c r="K940" s="157"/>
      <c r="L940" s="223"/>
      <c r="M940" s="157"/>
      <c r="N940" s="157"/>
      <c r="O940" s="157"/>
      <c r="P940" s="181"/>
      <c r="Q940" s="180"/>
      <c r="R940" s="180"/>
      <c r="S940" s="181"/>
      <c r="T940" s="180"/>
      <c r="U940" s="180"/>
      <c r="V940" s="180"/>
      <c r="W940" s="180"/>
      <c r="X940" s="181"/>
      <c r="Y940" s="181"/>
      <c r="Z940" s="182"/>
      <c r="AA940" s="157"/>
      <c r="AB940" s="157"/>
      <c r="AC940" s="157"/>
    </row>
    <row r="941" spans="1:29" ht="11.25">
      <c r="A941" s="157"/>
      <c r="B941" s="157"/>
      <c r="C941" s="157"/>
      <c r="D941" s="157"/>
      <c r="E941" s="157"/>
      <c r="F941" s="223"/>
      <c r="G941" s="157"/>
      <c r="H941" s="223"/>
      <c r="I941" s="157"/>
      <c r="J941" s="157"/>
      <c r="K941" s="157"/>
      <c r="L941" s="223"/>
      <c r="M941" s="157"/>
      <c r="N941" s="157"/>
      <c r="O941" s="157"/>
      <c r="P941" s="181"/>
      <c r="Q941" s="180"/>
      <c r="R941" s="180"/>
      <c r="S941" s="181"/>
      <c r="T941" s="180"/>
      <c r="U941" s="180"/>
      <c r="V941" s="180"/>
      <c r="W941" s="180"/>
      <c r="X941" s="181"/>
      <c r="Y941" s="181"/>
      <c r="Z941" s="182"/>
      <c r="AA941" s="157"/>
      <c r="AB941" s="157"/>
      <c r="AC941" s="157"/>
    </row>
    <row r="942" spans="1:29" ht="11.25">
      <c r="A942" s="157"/>
      <c r="B942" s="157"/>
      <c r="C942" s="157"/>
      <c r="D942" s="157"/>
      <c r="E942" s="157"/>
      <c r="F942" s="223"/>
      <c r="G942" s="157"/>
      <c r="H942" s="223"/>
      <c r="I942" s="157"/>
      <c r="J942" s="157"/>
      <c r="K942" s="157"/>
      <c r="L942" s="223"/>
      <c r="M942" s="157"/>
      <c r="N942" s="157"/>
      <c r="O942" s="157"/>
      <c r="P942" s="181"/>
      <c r="Q942" s="180"/>
      <c r="R942" s="180"/>
      <c r="S942" s="181"/>
      <c r="T942" s="180"/>
      <c r="U942" s="180"/>
      <c r="V942" s="180"/>
      <c r="W942" s="180"/>
      <c r="X942" s="181"/>
      <c r="Y942" s="181"/>
      <c r="Z942" s="182"/>
      <c r="AA942" s="157"/>
      <c r="AB942" s="157"/>
      <c r="AC942" s="157"/>
    </row>
    <row r="943" spans="1:29" ht="11.25">
      <c r="A943" s="157"/>
      <c r="B943" s="157"/>
      <c r="C943" s="157"/>
      <c r="D943" s="157"/>
      <c r="E943" s="157"/>
      <c r="F943" s="223"/>
      <c r="G943" s="157"/>
      <c r="H943" s="223"/>
      <c r="I943" s="157"/>
      <c r="J943" s="157"/>
      <c r="K943" s="157"/>
      <c r="L943" s="223"/>
      <c r="M943" s="157"/>
      <c r="N943" s="157"/>
      <c r="O943" s="157"/>
      <c r="P943" s="181"/>
      <c r="Q943" s="180"/>
      <c r="R943" s="180"/>
      <c r="S943" s="181"/>
      <c r="T943" s="180"/>
      <c r="U943" s="180"/>
      <c r="V943" s="180"/>
      <c r="W943" s="180"/>
      <c r="X943" s="181"/>
      <c r="Y943" s="181"/>
      <c r="Z943" s="182"/>
      <c r="AA943" s="157"/>
      <c r="AB943" s="157"/>
      <c r="AC943" s="157"/>
    </row>
    <row r="944" spans="1:29" ht="11.25">
      <c r="A944" s="157"/>
      <c r="B944" s="157"/>
      <c r="C944" s="157"/>
      <c r="D944" s="157"/>
      <c r="E944" s="157"/>
      <c r="F944" s="223"/>
      <c r="G944" s="157"/>
      <c r="H944" s="223"/>
      <c r="I944" s="157"/>
      <c r="J944" s="157"/>
      <c r="K944" s="157"/>
      <c r="L944" s="223"/>
      <c r="M944" s="157"/>
      <c r="N944" s="157"/>
      <c r="O944" s="157"/>
      <c r="P944" s="181"/>
      <c r="Q944" s="180"/>
      <c r="R944" s="180"/>
      <c r="S944" s="181"/>
      <c r="T944" s="180"/>
      <c r="U944" s="180"/>
      <c r="V944" s="180"/>
      <c r="W944" s="180"/>
      <c r="X944" s="181"/>
      <c r="Y944" s="181"/>
      <c r="Z944" s="182"/>
      <c r="AA944" s="157"/>
      <c r="AB944" s="157"/>
      <c r="AC944" s="157"/>
    </row>
    <row r="945" spans="1:29" ht="11.25">
      <c r="A945" s="157"/>
      <c r="B945" s="157"/>
      <c r="C945" s="157"/>
      <c r="D945" s="157"/>
      <c r="E945" s="157"/>
      <c r="F945" s="223"/>
      <c r="G945" s="157"/>
      <c r="H945" s="223"/>
      <c r="I945" s="157"/>
      <c r="J945" s="157"/>
      <c r="K945" s="157"/>
      <c r="L945" s="223"/>
      <c r="M945" s="157"/>
      <c r="N945" s="157"/>
      <c r="O945" s="157"/>
      <c r="P945" s="181"/>
      <c r="Q945" s="180"/>
      <c r="R945" s="180"/>
      <c r="S945" s="181"/>
      <c r="T945" s="180"/>
      <c r="U945" s="180"/>
      <c r="V945" s="180"/>
      <c r="W945" s="180"/>
      <c r="X945" s="181"/>
      <c r="Y945" s="181"/>
      <c r="Z945" s="182"/>
      <c r="AA945" s="157"/>
      <c r="AB945" s="157"/>
      <c r="AC945" s="157"/>
    </row>
    <row r="946" spans="1:29" ht="11.25">
      <c r="A946" s="157"/>
      <c r="B946" s="157"/>
      <c r="C946" s="157"/>
      <c r="D946" s="157"/>
      <c r="E946" s="157"/>
      <c r="F946" s="223"/>
      <c r="G946" s="157"/>
      <c r="H946" s="223"/>
      <c r="I946" s="157"/>
      <c r="J946" s="157"/>
      <c r="K946" s="157"/>
      <c r="L946" s="223"/>
      <c r="M946" s="157"/>
      <c r="N946" s="157"/>
      <c r="O946" s="157"/>
      <c r="P946" s="181"/>
      <c r="Q946" s="180"/>
      <c r="R946" s="180"/>
      <c r="S946" s="181"/>
      <c r="T946" s="180"/>
      <c r="U946" s="180"/>
      <c r="V946" s="180"/>
      <c r="W946" s="180"/>
      <c r="X946" s="181"/>
      <c r="Y946" s="181"/>
      <c r="Z946" s="182"/>
      <c r="AA946" s="157"/>
      <c r="AB946" s="157"/>
      <c r="AC946" s="157"/>
    </row>
    <row r="947" spans="1:29" ht="11.25">
      <c r="A947" s="157"/>
      <c r="B947" s="157"/>
      <c r="C947" s="157"/>
      <c r="D947" s="157"/>
      <c r="E947" s="157"/>
      <c r="F947" s="223"/>
      <c r="G947" s="157"/>
      <c r="H947" s="223"/>
      <c r="I947" s="157"/>
      <c r="J947" s="157"/>
      <c r="K947" s="157"/>
      <c r="L947" s="223"/>
      <c r="M947" s="157"/>
      <c r="N947" s="157"/>
      <c r="O947" s="157"/>
      <c r="P947" s="181"/>
      <c r="Q947" s="180"/>
      <c r="R947" s="180"/>
      <c r="S947" s="181"/>
      <c r="T947" s="180"/>
      <c r="U947" s="180"/>
      <c r="V947" s="180"/>
      <c r="W947" s="180"/>
      <c r="X947" s="181"/>
      <c r="Y947" s="181"/>
      <c r="Z947" s="182"/>
      <c r="AA947" s="157"/>
      <c r="AB947" s="157"/>
      <c r="AC947" s="157"/>
    </row>
    <row r="948" spans="1:29" ht="11.25">
      <c r="A948" s="157"/>
      <c r="B948" s="157"/>
      <c r="C948" s="157"/>
      <c r="D948" s="157"/>
      <c r="E948" s="157"/>
      <c r="F948" s="223"/>
      <c r="G948" s="157"/>
      <c r="H948" s="223"/>
      <c r="I948" s="157"/>
      <c r="J948" s="157"/>
      <c r="K948" s="157"/>
      <c r="L948" s="223"/>
      <c r="M948" s="157"/>
      <c r="N948" s="157"/>
      <c r="O948" s="157"/>
      <c r="P948" s="181"/>
      <c r="Q948" s="180"/>
      <c r="R948" s="180"/>
      <c r="S948" s="181"/>
      <c r="T948" s="180"/>
      <c r="U948" s="180"/>
      <c r="V948" s="180"/>
      <c r="W948" s="180"/>
      <c r="X948" s="181"/>
      <c r="Y948" s="181"/>
      <c r="Z948" s="182"/>
      <c r="AA948" s="157"/>
      <c r="AB948" s="157"/>
      <c r="AC948" s="157"/>
    </row>
    <row r="949" spans="1:29" ht="11.25">
      <c r="A949" s="157"/>
      <c r="B949" s="157"/>
      <c r="C949" s="157"/>
      <c r="D949" s="157"/>
      <c r="E949" s="157"/>
      <c r="F949" s="223"/>
      <c r="G949" s="157"/>
      <c r="H949" s="223"/>
      <c r="I949" s="157"/>
      <c r="J949" s="157"/>
      <c r="K949" s="157"/>
      <c r="L949" s="223"/>
      <c r="M949" s="157"/>
      <c r="N949" s="157"/>
      <c r="O949" s="157"/>
      <c r="P949" s="181"/>
      <c r="Q949" s="180"/>
      <c r="R949" s="180"/>
      <c r="S949" s="181"/>
      <c r="T949" s="180"/>
      <c r="U949" s="180"/>
      <c r="V949" s="180"/>
      <c r="W949" s="180"/>
      <c r="X949" s="181"/>
      <c r="Y949" s="181"/>
      <c r="Z949" s="182"/>
      <c r="AA949" s="157"/>
      <c r="AB949" s="157"/>
      <c r="AC949" s="157"/>
    </row>
    <row r="950" spans="1:29" ht="11.25">
      <c r="A950" s="157"/>
      <c r="B950" s="157"/>
      <c r="C950" s="157"/>
      <c r="D950" s="157"/>
      <c r="E950" s="157"/>
      <c r="F950" s="223"/>
      <c r="G950" s="157"/>
      <c r="H950" s="223"/>
      <c r="I950" s="157"/>
      <c r="J950" s="157"/>
      <c r="K950" s="157"/>
      <c r="L950" s="223"/>
      <c r="M950" s="157"/>
      <c r="N950" s="157"/>
      <c r="O950" s="157"/>
      <c r="P950" s="181"/>
      <c r="Q950" s="180"/>
      <c r="R950" s="180"/>
      <c r="S950" s="181"/>
      <c r="T950" s="180"/>
      <c r="U950" s="180"/>
      <c r="V950" s="180"/>
      <c r="W950" s="180"/>
      <c r="X950" s="181"/>
      <c r="Y950" s="181"/>
      <c r="Z950" s="182"/>
      <c r="AA950" s="157"/>
      <c r="AB950" s="157"/>
      <c r="AC950" s="157"/>
    </row>
    <row r="951" spans="1:29" ht="11.25">
      <c r="A951" s="157"/>
      <c r="B951" s="157"/>
      <c r="C951" s="157"/>
      <c r="D951" s="157"/>
      <c r="E951" s="157"/>
      <c r="F951" s="223"/>
      <c r="G951" s="157"/>
      <c r="H951" s="223"/>
      <c r="I951" s="157"/>
      <c r="J951" s="157"/>
      <c r="K951" s="157"/>
      <c r="L951" s="223"/>
      <c r="M951" s="157"/>
      <c r="N951" s="157"/>
      <c r="O951" s="157"/>
      <c r="P951" s="181"/>
      <c r="Q951" s="180"/>
      <c r="R951" s="180"/>
      <c r="S951" s="181"/>
      <c r="T951" s="180"/>
      <c r="U951" s="180"/>
      <c r="V951" s="180"/>
      <c r="W951" s="180"/>
      <c r="X951" s="181"/>
      <c r="Y951" s="181"/>
      <c r="Z951" s="182"/>
      <c r="AA951" s="157"/>
      <c r="AB951" s="157"/>
      <c r="AC951" s="157"/>
    </row>
    <row r="952" spans="1:29" ht="11.25">
      <c r="A952" s="157"/>
      <c r="B952" s="157"/>
      <c r="C952" s="157"/>
      <c r="D952" s="157"/>
      <c r="E952" s="157"/>
      <c r="F952" s="223"/>
      <c r="G952" s="157"/>
      <c r="H952" s="223"/>
      <c r="I952" s="157"/>
      <c r="J952" s="157"/>
      <c r="K952" s="157"/>
      <c r="L952" s="223"/>
      <c r="M952" s="157"/>
      <c r="N952" s="157"/>
      <c r="O952" s="157"/>
      <c r="P952" s="181"/>
      <c r="Q952" s="180"/>
      <c r="R952" s="180"/>
      <c r="S952" s="181"/>
      <c r="T952" s="180"/>
      <c r="U952" s="180"/>
      <c r="V952" s="180"/>
      <c r="W952" s="180"/>
      <c r="X952" s="181"/>
      <c r="Y952" s="181"/>
      <c r="Z952" s="182"/>
      <c r="AA952" s="157"/>
      <c r="AB952" s="157"/>
      <c r="AC952" s="157"/>
    </row>
    <row r="953" spans="1:29" ht="11.25">
      <c r="A953" s="157"/>
      <c r="B953" s="157"/>
      <c r="C953" s="157"/>
      <c r="D953" s="157"/>
      <c r="E953" s="157"/>
      <c r="F953" s="223"/>
      <c r="G953" s="157"/>
      <c r="H953" s="223"/>
      <c r="I953" s="157"/>
      <c r="J953" s="157"/>
      <c r="K953" s="157"/>
      <c r="L953" s="223"/>
      <c r="M953" s="157"/>
      <c r="N953" s="157"/>
      <c r="O953" s="157"/>
      <c r="P953" s="181"/>
      <c r="Q953" s="180"/>
      <c r="R953" s="180"/>
      <c r="S953" s="181"/>
      <c r="T953" s="180"/>
      <c r="U953" s="180"/>
      <c r="V953" s="180"/>
      <c r="W953" s="180"/>
      <c r="X953" s="181"/>
      <c r="Y953" s="181"/>
      <c r="Z953" s="182"/>
      <c r="AA953" s="157"/>
      <c r="AB953" s="157"/>
      <c r="AC953" s="157"/>
    </row>
    <row r="954" spans="1:29" ht="11.25">
      <c r="A954" s="157"/>
      <c r="B954" s="157"/>
      <c r="C954" s="157"/>
      <c r="D954" s="157"/>
      <c r="E954" s="157"/>
      <c r="F954" s="223"/>
      <c r="G954" s="157"/>
      <c r="H954" s="223"/>
      <c r="I954" s="157"/>
      <c r="J954" s="157"/>
      <c r="K954" s="157"/>
      <c r="L954" s="223"/>
      <c r="M954" s="157"/>
      <c r="N954" s="157"/>
      <c r="O954" s="157"/>
      <c r="P954" s="181"/>
      <c r="Q954" s="180"/>
      <c r="R954" s="180"/>
      <c r="S954" s="181"/>
      <c r="T954" s="180"/>
      <c r="U954" s="180"/>
      <c r="V954" s="180"/>
      <c r="W954" s="180"/>
      <c r="X954" s="181"/>
      <c r="Y954" s="181"/>
      <c r="Z954" s="182"/>
      <c r="AA954" s="157"/>
      <c r="AB954" s="157"/>
      <c r="AC954" s="157"/>
    </row>
    <row r="955" spans="1:29" ht="11.25">
      <c r="A955" s="157"/>
      <c r="B955" s="157"/>
      <c r="C955" s="157"/>
      <c r="D955" s="157"/>
      <c r="E955" s="157"/>
      <c r="F955" s="223"/>
      <c r="G955" s="157"/>
      <c r="H955" s="223"/>
      <c r="I955" s="157"/>
      <c r="J955" s="157"/>
      <c r="K955" s="157"/>
      <c r="L955" s="223"/>
      <c r="M955" s="157"/>
      <c r="N955" s="157"/>
      <c r="O955" s="157"/>
      <c r="P955" s="181"/>
      <c r="Q955" s="180"/>
      <c r="R955" s="180"/>
      <c r="S955" s="181"/>
      <c r="T955" s="180"/>
      <c r="U955" s="180"/>
      <c r="V955" s="180"/>
      <c r="W955" s="180"/>
      <c r="X955" s="181"/>
      <c r="Y955" s="181"/>
      <c r="Z955" s="182"/>
      <c r="AA955" s="157"/>
      <c r="AB955" s="157"/>
      <c r="AC955" s="157"/>
    </row>
    <row r="956" spans="1:29" ht="11.25">
      <c r="A956" s="157"/>
      <c r="B956" s="157"/>
      <c r="C956" s="157"/>
      <c r="D956" s="157"/>
      <c r="E956" s="157"/>
      <c r="F956" s="223"/>
      <c r="G956" s="157"/>
      <c r="H956" s="223"/>
      <c r="I956" s="157"/>
      <c r="J956" s="157"/>
      <c r="K956" s="157"/>
      <c r="L956" s="223"/>
      <c r="M956" s="157"/>
      <c r="N956" s="157"/>
      <c r="O956" s="157"/>
      <c r="P956" s="181"/>
      <c r="Q956" s="180"/>
      <c r="R956" s="180"/>
      <c r="S956" s="181"/>
      <c r="T956" s="180"/>
      <c r="U956" s="180"/>
      <c r="V956" s="180"/>
      <c r="W956" s="180"/>
      <c r="X956" s="181"/>
      <c r="Y956" s="181"/>
      <c r="Z956" s="182"/>
      <c r="AA956" s="157"/>
      <c r="AB956" s="157"/>
      <c r="AC956" s="157"/>
    </row>
    <row r="957" spans="1:29" ht="11.25">
      <c r="A957" s="157"/>
      <c r="B957" s="157"/>
      <c r="C957" s="157"/>
      <c r="D957" s="157"/>
      <c r="E957" s="157"/>
      <c r="F957" s="223"/>
      <c r="G957" s="157"/>
      <c r="H957" s="223"/>
      <c r="I957" s="157"/>
      <c r="J957" s="157"/>
      <c r="K957" s="157"/>
      <c r="L957" s="223"/>
      <c r="M957" s="157"/>
      <c r="N957" s="157"/>
      <c r="O957" s="157"/>
      <c r="P957" s="181"/>
      <c r="Q957" s="180"/>
      <c r="R957" s="180"/>
      <c r="S957" s="181"/>
      <c r="T957" s="180"/>
      <c r="U957" s="180"/>
      <c r="V957" s="180"/>
      <c r="W957" s="180"/>
      <c r="X957" s="181"/>
      <c r="Y957" s="181"/>
      <c r="Z957" s="182"/>
      <c r="AA957" s="157"/>
      <c r="AB957" s="157"/>
      <c r="AC957" s="157"/>
    </row>
    <row r="958" spans="1:29" ht="11.25">
      <c r="A958" s="157"/>
      <c r="B958" s="157"/>
      <c r="C958" s="157"/>
      <c r="D958" s="157"/>
      <c r="E958" s="157"/>
      <c r="F958" s="223"/>
      <c r="G958" s="157"/>
      <c r="H958" s="223"/>
      <c r="I958" s="157"/>
      <c r="J958" s="157"/>
      <c r="K958" s="157"/>
      <c r="L958" s="223"/>
      <c r="M958" s="157"/>
      <c r="N958" s="157"/>
      <c r="O958" s="157"/>
      <c r="P958" s="181"/>
      <c r="Q958" s="180"/>
      <c r="R958" s="180"/>
      <c r="S958" s="181"/>
      <c r="T958" s="180"/>
      <c r="U958" s="180"/>
      <c r="V958" s="180"/>
      <c r="W958" s="180"/>
      <c r="X958" s="181"/>
      <c r="Y958" s="181"/>
      <c r="Z958" s="182"/>
      <c r="AA958" s="157"/>
      <c r="AB958" s="157"/>
      <c r="AC958" s="157"/>
    </row>
    <row r="959" spans="1:29" ht="11.25">
      <c r="A959" s="157"/>
      <c r="B959" s="157"/>
      <c r="C959" s="157"/>
      <c r="D959" s="157"/>
      <c r="E959" s="157"/>
      <c r="F959" s="223"/>
      <c r="G959" s="157"/>
      <c r="H959" s="223"/>
      <c r="I959" s="157"/>
      <c r="J959" s="157"/>
      <c r="K959" s="157"/>
      <c r="L959" s="223"/>
      <c r="M959" s="157"/>
      <c r="N959" s="157"/>
      <c r="O959" s="157"/>
      <c r="P959" s="181"/>
      <c r="Q959" s="180"/>
      <c r="R959" s="180"/>
      <c r="S959" s="181"/>
      <c r="T959" s="180"/>
      <c r="U959" s="180"/>
      <c r="V959" s="180"/>
      <c r="W959" s="180"/>
      <c r="X959" s="181"/>
      <c r="Y959" s="181"/>
      <c r="Z959" s="182"/>
      <c r="AA959" s="157"/>
      <c r="AB959" s="157"/>
      <c r="AC959" s="157"/>
    </row>
    <row r="960" spans="1:29" ht="11.25">
      <c r="A960" s="157"/>
      <c r="B960" s="157"/>
      <c r="C960" s="157"/>
      <c r="D960" s="157"/>
      <c r="E960" s="157"/>
      <c r="F960" s="223"/>
      <c r="G960" s="157"/>
      <c r="H960" s="223"/>
      <c r="I960" s="157"/>
      <c r="J960" s="157"/>
      <c r="K960" s="157"/>
      <c r="L960" s="223"/>
      <c r="M960" s="157"/>
      <c r="N960" s="157"/>
      <c r="O960" s="157"/>
      <c r="P960" s="181"/>
      <c r="Q960" s="180"/>
      <c r="R960" s="180"/>
      <c r="S960" s="181"/>
      <c r="T960" s="180"/>
      <c r="U960" s="180"/>
      <c r="V960" s="180"/>
      <c r="W960" s="180"/>
      <c r="X960" s="181"/>
      <c r="Y960" s="181"/>
      <c r="Z960" s="182"/>
      <c r="AA960" s="157"/>
      <c r="AB960" s="157"/>
      <c r="AC960" s="157"/>
    </row>
    <row r="961" spans="1:29" ht="11.25">
      <c r="A961" s="157"/>
      <c r="B961" s="157"/>
      <c r="C961" s="157"/>
      <c r="D961" s="157"/>
      <c r="E961" s="157"/>
      <c r="F961" s="223"/>
      <c r="G961" s="157"/>
      <c r="H961" s="223"/>
      <c r="I961" s="157"/>
      <c r="J961" s="157"/>
      <c r="K961" s="157"/>
      <c r="L961" s="223"/>
      <c r="M961" s="157"/>
      <c r="N961" s="157"/>
      <c r="O961" s="157"/>
      <c r="P961" s="181"/>
      <c r="Q961" s="180"/>
      <c r="R961" s="180"/>
      <c r="S961" s="181"/>
      <c r="T961" s="180"/>
      <c r="U961" s="180"/>
      <c r="V961" s="180"/>
      <c r="W961" s="180"/>
      <c r="X961" s="181"/>
      <c r="Y961" s="181"/>
      <c r="Z961" s="182"/>
      <c r="AA961" s="157"/>
      <c r="AB961" s="157"/>
      <c r="AC961" s="157"/>
    </row>
    <row r="962" spans="1:29" ht="11.25">
      <c r="A962" s="157"/>
      <c r="B962" s="157"/>
      <c r="C962" s="157"/>
      <c r="D962" s="157"/>
      <c r="E962" s="157"/>
      <c r="F962" s="223"/>
      <c r="G962" s="157"/>
      <c r="H962" s="223"/>
      <c r="I962" s="157"/>
      <c r="J962" s="157"/>
      <c r="K962" s="157"/>
      <c r="L962" s="223"/>
      <c r="M962" s="157"/>
      <c r="N962" s="157"/>
      <c r="O962" s="157"/>
      <c r="P962" s="181"/>
      <c r="Q962" s="180"/>
      <c r="R962" s="180"/>
      <c r="S962" s="181"/>
      <c r="T962" s="180"/>
      <c r="U962" s="180"/>
      <c r="V962" s="180"/>
      <c r="W962" s="180"/>
      <c r="X962" s="181"/>
      <c r="Y962" s="181"/>
      <c r="Z962" s="182"/>
      <c r="AA962" s="157"/>
      <c r="AB962" s="157"/>
      <c r="AC962" s="157"/>
    </row>
    <row r="963" spans="1:29" ht="11.25">
      <c r="A963" s="157"/>
      <c r="B963" s="157"/>
      <c r="C963" s="157"/>
      <c r="D963" s="157"/>
      <c r="E963" s="157"/>
      <c r="F963" s="223"/>
      <c r="G963" s="157"/>
      <c r="H963" s="223"/>
      <c r="I963" s="157"/>
      <c r="J963" s="157"/>
      <c r="K963" s="157"/>
      <c r="L963" s="223"/>
      <c r="M963" s="157"/>
      <c r="N963" s="157"/>
      <c r="O963" s="157"/>
      <c r="P963" s="181"/>
      <c r="Q963" s="180"/>
      <c r="R963" s="180"/>
      <c r="S963" s="181"/>
      <c r="T963" s="180"/>
      <c r="U963" s="180"/>
      <c r="V963" s="180"/>
      <c r="W963" s="180"/>
      <c r="X963" s="181"/>
      <c r="Y963" s="181"/>
      <c r="Z963" s="182"/>
      <c r="AA963" s="157"/>
      <c r="AB963" s="157"/>
      <c r="AC963" s="157"/>
    </row>
    <row r="964" spans="1:29" ht="11.25">
      <c r="A964" s="157"/>
      <c r="B964" s="157"/>
      <c r="C964" s="157"/>
      <c r="D964" s="157"/>
      <c r="E964" s="157"/>
      <c r="F964" s="223"/>
      <c r="G964" s="157"/>
      <c r="H964" s="223"/>
      <c r="I964" s="157"/>
      <c r="J964" s="157"/>
      <c r="K964" s="157"/>
      <c r="L964" s="223"/>
      <c r="M964" s="157"/>
      <c r="N964" s="157"/>
      <c r="O964" s="157"/>
      <c r="P964" s="181"/>
      <c r="Q964" s="180"/>
      <c r="R964" s="180"/>
      <c r="S964" s="181"/>
      <c r="T964" s="180"/>
      <c r="U964" s="180"/>
      <c r="V964" s="180"/>
      <c r="W964" s="180"/>
      <c r="X964" s="181"/>
      <c r="Y964" s="181"/>
      <c r="Z964" s="182"/>
      <c r="AA964" s="157"/>
      <c r="AB964" s="157"/>
      <c r="AC964" s="157"/>
    </row>
    <row r="965" spans="1:29" ht="11.25">
      <c r="A965" s="157"/>
      <c r="B965" s="157"/>
      <c r="C965" s="157"/>
      <c r="D965" s="157"/>
      <c r="E965" s="157"/>
      <c r="F965" s="223"/>
      <c r="G965" s="157"/>
      <c r="H965" s="223"/>
      <c r="I965" s="157"/>
      <c r="J965" s="157"/>
      <c r="K965" s="157"/>
      <c r="L965" s="223"/>
      <c r="M965" s="157"/>
      <c r="N965" s="157"/>
      <c r="O965" s="157"/>
      <c r="P965" s="181"/>
      <c r="Q965" s="180"/>
      <c r="R965" s="180"/>
      <c r="S965" s="181"/>
      <c r="T965" s="180"/>
      <c r="U965" s="180"/>
      <c r="V965" s="180"/>
      <c r="W965" s="180"/>
      <c r="X965" s="181"/>
      <c r="Y965" s="181"/>
      <c r="Z965" s="182"/>
      <c r="AA965" s="157"/>
      <c r="AB965" s="157"/>
      <c r="AC965" s="157"/>
    </row>
    <row r="966" spans="1:29" ht="11.25">
      <c r="A966" s="157"/>
      <c r="B966" s="157"/>
      <c r="C966" s="157"/>
      <c r="D966" s="157"/>
      <c r="E966" s="157"/>
      <c r="F966" s="223"/>
      <c r="G966" s="157"/>
      <c r="H966" s="223"/>
      <c r="I966" s="157"/>
      <c r="J966" s="157"/>
      <c r="K966" s="157"/>
      <c r="L966" s="223"/>
      <c r="M966" s="157"/>
      <c r="N966" s="157"/>
      <c r="O966" s="157"/>
      <c r="P966" s="181"/>
      <c r="Q966" s="180"/>
      <c r="R966" s="180"/>
      <c r="S966" s="181"/>
      <c r="T966" s="180"/>
      <c r="U966" s="180"/>
      <c r="V966" s="180"/>
      <c r="W966" s="180"/>
      <c r="X966" s="181"/>
      <c r="Y966" s="181"/>
      <c r="Z966" s="182"/>
      <c r="AA966" s="157"/>
      <c r="AB966" s="157"/>
      <c r="AC966" s="157"/>
    </row>
    <row r="967" spans="1:29" ht="11.25">
      <c r="A967" s="157"/>
      <c r="B967" s="157"/>
      <c r="C967" s="157"/>
      <c r="D967" s="157"/>
      <c r="E967" s="157"/>
      <c r="F967" s="223"/>
      <c r="G967" s="157"/>
      <c r="H967" s="223"/>
      <c r="I967" s="157"/>
      <c r="J967" s="157"/>
      <c r="K967" s="157"/>
      <c r="L967" s="223"/>
      <c r="M967" s="157"/>
      <c r="N967" s="157"/>
      <c r="O967" s="157"/>
      <c r="P967" s="181"/>
      <c r="Q967" s="180"/>
      <c r="R967" s="180"/>
      <c r="S967" s="181"/>
      <c r="T967" s="180"/>
      <c r="U967" s="180"/>
      <c r="V967" s="180"/>
      <c r="W967" s="180"/>
      <c r="X967" s="181"/>
      <c r="Y967" s="181"/>
      <c r="Z967" s="182"/>
      <c r="AA967" s="157"/>
      <c r="AB967" s="157"/>
      <c r="AC967" s="157"/>
    </row>
    <row r="968" spans="1:29" ht="11.25">
      <c r="A968" s="157"/>
      <c r="B968" s="157"/>
      <c r="C968" s="157"/>
      <c r="D968" s="157"/>
      <c r="E968" s="157"/>
      <c r="F968" s="223"/>
      <c r="G968" s="157"/>
      <c r="H968" s="223"/>
      <c r="I968" s="157"/>
      <c r="J968" s="157"/>
      <c r="K968" s="157"/>
      <c r="L968" s="223"/>
      <c r="M968" s="157"/>
      <c r="N968" s="157"/>
      <c r="O968" s="157"/>
      <c r="P968" s="181"/>
      <c r="Q968" s="180"/>
      <c r="R968" s="180"/>
      <c r="S968" s="181"/>
      <c r="T968" s="180"/>
      <c r="U968" s="180"/>
      <c r="V968" s="180"/>
      <c r="W968" s="180"/>
      <c r="X968" s="181"/>
      <c r="Y968" s="181"/>
      <c r="Z968" s="182"/>
      <c r="AA968" s="157"/>
      <c r="AB968" s="157"/>
      <c r="AC968" s="157"/>
    </row>
    <row r="969" spans="1:29" ht="11.25">
      <c r="A969" s="157"/>
      <c r="B969" s="157"/>
      <c r="C969" s="157"/>
      <c r="D969" s="157"/>
      <c r="E969" s="157"/>
      <c r="F969" s="223"/>
      <c r="G969" s="157"/>
      <c r="H969" s="223"/>
      <c r="I969" s="157"/>
      <c r="J969" s="157"/>
      <c r="K969" s="157"/>
      <c r="L969" s="223"/>
      <c r="M969" s="157"/>
      <c r="N969" s="157"/>
      <c r="O969" s="157"/>
      <c r="P969" s="181"/>
      <c r="Q969" s="180"/>
      <c r="R969" s="180"/>
      <c r="S969" s="181"/>
      <c r="T969" s="180"/>
      <c r="U969" s="180"/>
      <c r="V969" s="180"/>
      <c r="W969" s="180"/>
      <c r="X969" s="181"/>
      <c r="Y969" s="181"/>
      <c r="Z969" s="182"/>
      <c r="AA969" s="157"/>
      <c r="AB969" s="157"/>
      <c r="AC969" s="157"/>
    </row>
    <row r="970" spans="1:29" ht="11.25">
      <c r="A970" s="157"/>
      <c r="B970" s="157"/>
      <c r="C970" s="157"/>
      <c r="D970" s="157"/>
      <c r="E970" s="157"/>
      <c r="F970" s="223"/>
      <c r="G970" s="157"/>
      <c r="H970" s="223"/>
      <c r="I970" s="157"/>
      <c r="J970" s="157"/>
      <c r="K970" s="157"/>
      <c r="L970" s="223"/>
      <c r="M970" s="157"/>
      <c r="N970" s="157"/>
      <c r="O970" s="157"/>
      <c r="P970" s="181"/>
      <c r="Q970" s="180"/>
      <c r="R970" s="180"/>
      <c r="S970" s="181"/>
      <c r="T970" s="180"/>
      <c r="U970" s="180"/>
      <c r="V970" s="180"/>
      <c r="W970" s="180"/>
      <c r="X970" s="181"/>
      <c r="Y970" s="181"/>
      <c r="Z970" s="182"/>
      <c r="AA970" s="157"/>
      <c r="AB970" s="157"/>
      <c r="AC970" s="157"/>
    </row>
    <row r="971" spans="1:29" ht="11.25">
      <c r="A971" s="157"/>
      <c r="B971" s="157"/>
      <c r="C971" s="157"/>
      <c r="D971" s="157"/>
      <c r="E971" s="157"/>
      <c r="F971" s="223"/>
      <c r="G971" s="157"/>
      <c r="H971" s="223"/>
      <c r="I971" s="157"/>
      <c r="J971" s="157"/>
      <c r="K971" s="157"/>
      <c r="L971" s="223"/>
      <c r="M971" s="157"/>
      <c r="N971" s="157"/>
      <c r="O971" s="157"/>
      <c r="P971" s="181"/>
      <c r="Q971" s="180"/>
      <c r="R971" s="180"/>
      <c r="S971" s="181"/>
      <c r="T971" s="180"/>
      <c r="U971" s="180"/>
      <c r="V971" s="180"/>
      <c r="W971" s="180"/>
      <c r="X971" s="181"/>
      <c r="Y971" s="181"/>
      <c r="Z971" s="182"/>
      <c r="AA971" s="157"/>
      <c r="AB971" s="157"/>
      <c r="AC971" s="157"/>
    </row>
    <row r="972" spans="1:29" ht="11.25">
      <c r="A972" s="157"/>
      <c r="B972" s="157"/>
      <c r="C972" s="157"/>
      <c r="D972" s="157"/>
      <c r="E972" s="157"/>
      <c r="F972" s="223"/>
      <c r="G972" s="157"/>
      <c r="H972" s="223"/>
      <c r="I972" s="157"/>
      <c r="J972" s="157"/>
      <c r="K972" s="157"/>
      <c r="L972" s="223"/>
      <c r="M972" s="157"/>
      <c r="N972" s="157"/>
      <c r="O972" s="157"/>
      <c r="P972" s="181"/>
      <c r="Q972" s="180"/>
      <c r="R972" s="180"/>
      <c r="S972" s="181"/>
      <c r="T972" s="180"/>
      <c r="U972" s="180"/>
      <c r="V972" s="180"/>
      <c r="W972" s="180"/>
      <c r="X972" s="181"/>
      <c r="Y972" s="181"/>
      <c r="Z972" s="182"/>
      <c r="AA972" s="157"/>
      <c r="AB972" s="157"/>
      <c r="AC972" s="157"/>
    </row>
    <row r="973" spans="1:29" ht="11.25">
      <c r="A973" s="157"/>
      <c r="B973" s="157"/>
      <c r="C973" s="157"/>
      <c r="D973" s="157"/>
      <c r="E973" s="157"/>
      <c r="F973" s="223"/>
      <c r="G973" s="157"/>
      <c r="H973" s="223"/>
      <c r="I973" s="157"/>
      <c r="J973" s="157"/>
      <c r="K973" s="157"/>
      <c r="L973" s="223"/>
      <c r="M973" s="157"/>
      <c r="N973" s="157"/>
      <c r="O973" s="157"/>
      <c r="P973" s="181"/>
      <c r="Q973" s="180"/>
      <c r="R973" s="180"/>
      <c r="S973" s="181"/>
      <c r="T973" s="180"/>
      <c r="U973" s="180"/>
      <c r="V973" s="180"/>
      <c r="W973" s="180"/>
      <c r="X973" s="181"/>
      <c r="Y973" s="181"/>
      <c r="Z973" s="182"/>
      <c r="AA973" s="157"/>
      <c r="AB973" s="157"/>
      <c r="AC973" s="157"/>
    </row>
    <row r="974" spans="1:29" ht="11.25">
      <c r="A974" s="157"/>
      <c r="B974" s="157"/>
      <c r="C974" s="157"/>
      <c r="D974" s="157"/>
      <c r="E974" s="157"/>
      <c r="F974" s="223"/>
      <c r="G974" s="157"/>
      <c r="H974" s="223"/>
      <c r="I974" s="157"/>
      <c r="J974" s="157"/>
      <c r="K974" s="157"/>
      <c r="L974" s="223"/>
      <c r="M974" s="157"/>
      <c r="N974" s="157"/>
      <c r="O974" s="157"/>
      <c r="P974" s="181"/>
      <c r="Q974" s="180"/>
      <c r="R974" s="180"/>
      <c r="S974" s="181"/>
      <c r="T974" s="180"/>
      <c r="U974" s="180"/>
      <c r="V974" s="180"/>
      <c r="W974" s="180"/>
      <c r="X974" s="181"/>
      <c r="Y974" s="181"/>
      <c r="Z974" s="182"/>
      <c r="AA974" s="157"/>
      <c r="AB974" s="157"/>
      <c r="AC974" s="157"/>
    </row>
    <row r="975" spans="1:29" ht="11.25">
      <c r="A975" s="157"/>
      <c r="B975" s="157"/>
      <c r="C975" s="157"/>
      <c r="D975" s="157"/>
      <c r="E975" s="157"/>
      <c r="F975" s="223"/>
      <c r="G975" s="157"/>
      <c r="H975" s="223"/>
      <c r="I975" s="157"/>
      <c r="J975" s="157"/>
      <c r="K975" s="157"/>
      <c r="L975" s="223"/>
      <c r="M975" s="157"/>
      <c r="N975" s="157"/>
      <c r="O975" s="157"/>
      <c r="P975" s="181"/>
      <c r="Q975" s="180"/>
      <c r="R975" s="180"/>
      <c r="S975" s="181"/>
      <c r="T975" s="180"/>
      <c r="U975" s="180"/>
      <c r="V975" s="180"/>
      <c r="W975" s="180"/>
      <c r="X975" s="181"/>
      <c r="Y975" s="181"/>
      <c r="Z975" s="182"/>
      <c r="AA975" s="157"/>
      <c r="AB975" s="157"/>
      <c r="AC975" s="157"/>
    </row>
    <row r="976" spans="1:29" ht="11.25">
      <c r="A976" s="157"/>
      <c r="B976" s="157"/>
      <c r="C976" s="157"/>
      <c r="D976" s="157"/>
      <c r="E976" s="157"/>
      <c r="F976" s="223"/>
      <c r="G976" s="157"/>
      <c r="H976" s="223"/>
      <c r="I976" s="157"/>
      <c r="J976" s="157"/>
      <c r="K976" s="157"/>
      <c r="L976" s="223"/>
      <c r="M976" s="157"/>
      <c r="N976" s="157"/>
      <c r="O976" s="157"/>
      <c r="P976" s="181"/>
      <c r="Q976" s="180"/>
      <c r="R976" s="180"/>
      <c r="S976" s="181"/>
      <c r="T976" s="180"/>
      <c r="U976" s="180"/>
      <c r="V976" s="180"/>
      <c r="W976" s="180"/>
      <c r="X976" s="181"/>
      <c r="Y976" s="181"/>
      <c r="Z976" s="182"/>
      <c r="AA976" s="157"/>
      <c r="AB976" s="157"/>
      <c r="AC976" s="157"/>
    </row>
    <row r="977" spans="1:29" ht="11.25">
      <c r="A977" s="157"/>
      <c r="B977" s="157"/>
      <c r="C977" s="157"/>
      <c r="D977" s="157"/>
      <c r="E977" s="157"/>
      <c r="F977" s="223"/>
      <c r="G977" s="157"/>
      <c r="H977" s="223"/>
      <c r="I977" s="157"/>
      <c r="J977" s="157"/>
      <c r="K977" s="157"/>
      <c r="L977" s="223"/>
      <c r="M977" s="157"/>
      <c r="N977" s="157"/>
      <c r="O977" s="157"/>
      <c r="P977" s="181"/>
      <c r="Q977" s="180"/>
      <c r="R977" s="180"/>
      <c r="S977" s="181"/>
      <c r="T977" s="180"/>
      <c r="U977" s="180"/>
      <c r="V977" s="180"/>
      <c r="W977" s="180"/>
      <c r="X977" s="181"/>
      <c r="Y977" s="181"/>
      <c r="Z977" s="182"/>
      <c r="AA977" s="157"/>
      <c r="AB977" s="157"/>
      <c r="AC977" s="157"/>
    </row>
    <row r="978" spans="1:29" ht="11.25">
      <c r="A978" s="157"/>
      <c r="B978" s="157"/>
      <c r="C978" s="157"/>
      <c r="D978" s="157"/>
      <c r="E978" s="157"/>
      <c r="F978" s="223"/>
      <c r="G978" s="157"/>
      <c r="H978" s="223"/>
      <c r="I978" s="157"/>
      <c r="J978" s="157"/>
      <c r="K978" s="157"/>
      <c r="L978" s="223"/>
      <c r="M978" s="157"/>
      <c r="N978" s="157"/>
      <c r="O978" s="157"/>
      <c r="P978" s="181"/>
      <c r="Q978" s="180"/>
      <c r="R978" s="180"/>
      <c r="S978" s="181"/>
      <c r="T978" s="180"/>
      <c r="U978" s="180"/>
      <c r="V978" s="180"/>
      <c r="W978" s="180"/>
      <c r="X978" s="181"/>
      <c r="Y978" s="181"/>
      <c r="Z978" s="182"/>
      <c r="AA978" s="157"/>
      <c r="AB978" s="157"/>
      <c r="AC978" s="157"/>
    </row>
    <row r="979" spans="1:29" ht="11.25">
      <c r="A979" s="157"/>
      <c r="B979" s="157"/>
      <c r="C979" s="157"/>
      <c r="D979" s="157"/>
      <c r="E979" s="157"/>
      <c r="F979" s="223"/>
      <c r="G979" s="157"/>
      <c r="H979" s="223"/>
      <c r="I979" s="157"/>
      <c r="J979" s="157"/>
      <c r="K979" s="157"/>
      <c r="L979" s="223"/>
      <c r="M979" s="157"/>
      <c r="N979" s="157"/>
      <c r="O979" s="157"/>
      <c r="P979" s="181"/>
      <c r="Q979" s="180"/>
      <c r="R979" s="180"/>
      <c r="S979" s="181"/>
      <c r="T979" s="180"/>
      <c r="U979" s="180"/>
      <c r="V979" s="180"/>
      <c r="W979" s="180"/>
      <c r="X979" s="181"/>
      <c r="Y979" s="181"/>
      <c r="Z979" s="182"/>
      <c r="AA979" s="157"/>
      <c r="AB979" s="157"/>
      <c r="AC979" s="157"/>
    </row>
    <row r="980" spans="1:29" ht="11.25">
      <c r="A980" s="157"/>
      <c r="B980" s="157"/>
      <c r="C980" s="157"/>
      <c r="D980" s="157"/>
      <c r="E980" s="157"/>
      <c r="F980" s="223"/>
      <c r="G980" s="157"/>
      <c r="H980" s="223"/>
      <c r="I980" s="157"/>
      <c r="J980" s="157"/>
      <c r="K980" s="157"/>
      <c r="L980" s="223"/>
      <c r="M980" s="157"/>
      <c r="N980" s="157"/>
      <c r="O980" s="157"/>
      <c r="P980" s="181"/>
      <c r="Q980" s="180"/>
      <c r="R980" s="180"/>
      <c r="S980" s="181"/>
      <c r="T980" s="180"/>
      <c r="U980" s="180"/>
      <c r="V980" s="180"/>
      <c r="W980" s="180"/>
      <c r="X980" s="181"/>
      <c r="Y980" s="181"/>
      <c r="Z980" s="182"/>
      <c r="AA980" s="157"/>
      <c r="AB980" s="157"/>
      <c r="AC980" s="157"/>
    </row>
  </sheetData>
  <autoFilter ref="A4:Z816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Z1027"/>
  <sheetViews>
    <sheetView showGridLines="0" topLeftCell="A100" zoomScaleNormal="100" workbookViewId="0">
      <selection activeCell="F6" sqref="F6"/>
    </sheetView>
  </sheetViews>
  <sheetFormatPr defaultColWidth="15.140625" defaultRowHeight="15" customHeight="1" outlineLevelRow="1"/>
  <cols>
    <col min="1" max="1" width="23.7109375" style="239" customWidth="1"/>
    <col min="2" max="2" width="24.42578125" style="238" customWidth="1"/>
    <col min="3" max="3" width="16" style="239" customWidth="1"/>
    <col min="4" max="4" width="40.7109375" style="238" customWidth="1"/>
    <col min="5" max="5" width="20.42578125" style="238" bestFit="1" customWidth="1"/>
    <col min="6" max="6" width="9.7109375" style="238" customWidth="1"/>
    <col min="7" max="7" width="9.5703125" style="238" customWidth="1"/>
    <col min="8" max="8" width="10.85546875" style="238" customWidth="1"/>
    <col min="9" max="9" width="11.42578125" style="238" customWidth="1"/>
    <col min="10" max="10" width="12" style="238" customWidth="1"/>
    <col min="11" max="11" width="10.85546875" style="238" customWidth="1"/>
    <col min="12" max="12" width="11.7109375" style="238" customWidth="1"/>
    <col min="13" max="13" width="7.42578125" style="238" customWidth="1"/>
    <col min="14" max="14" width="4.85546875" style="238" customWidth="1"/>
    <col min="15" max="15" width="8.28515625" style="238" customWidth="1"/>
    <col min="16" max="16" width="11.28515625" style="238" customWidth="1"/>
    <col min="17" max="17" width="5" style="238" customWidth="1"/>
    <col min="18" max="18" width="28.140625" style="238" bestFit="1" customWidth="1"/>
    <col min="19" max="19" width="31.140625" style="238" bestFit="1" customWidth="1"/>
    <col min="20" max="21" width="11.28515625" style="238" customWidth="1"/>
    <col min="22" max="22" width="7" style="238" customWidth="1"/>
    <col min="23" max="23" width="6.85546875" style="238" customWidth="1"/>
    <col min="24" max="24" width="11.5703125" style="238" customWidth="1"/>
    <col min="25" max="25" width="11.28515625" style="238" customWidth="1"/>
    <col min="26" max="26" width="10.7109375" style="238" customWidth="1"/>
    <col min="27" max="16384" width="15.140625" style="238"/>
  </cols>
  <sheetData>
    <row r="1" spans="1:26" s="74" customFormat="1" ht="12" customHeight="1">
      <c r="A1" s="73"/>
      <c r="B1" s="65"/>
      <c r="C1" s="7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2"/>
      <c r="V1" s="2"/>
      <c r="W1" s="2"/>
      <c r="X1" s="2"/>
      <c r="Y1" s="2"/>
      <c r="Z1" s="2"/>
    </row>
    <row r="2" spans="1:26" s="74" customFormat="1" ht="17.25" customHeight="1">
      <c r="A2" s="229" t="s">
        <v>968</v>
      </c>
      <c r="B2" s="8"/>
      <c r="C2" s="7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2"/>
      <c r="V2" s="2"/>
      <c r="W2" s="2"/>
      <c r="X2" s="2"/>
      <c r="Y2" s="2"/>
      <c r="Z2" s="2"/>
    </row>
    <row r="3" spans="1:26" s="74" customFormat="1" ht="17.25" customHeight="1">
      <c r="A3" s="222">
        <v>42736</v>
      </c>
      <c r="B3" s="8"/>
      <c r="C3" s="75"/>
      <c r="E3" s="65"/>
      <c r="F3" s="65"/>
      <c r="G3" s="65"/>
      <c r="H3" s="76"/>
      <c r="I3" s="76"/>
      <c r="J3" s="76"/>
      <c r="K3" s="76"/>
      <c r="L3" s="76"/>
      <c r="M3" s="65"/>
      <c r="N3" s="65"/>
      <c r="O3" s="65"/>
      <c r="P3" s="65"/>
      <c r="Q3" s="65"/>
      <c r="R3" s="65"/>
      <c r="S3" s="65"/>
      <c r="T3" s="65"/>
      <c r="U3" s="2"/>
      <c r="V3" s="2"/>
      <c r="W3" s="2"/>
      <c r="X3" s="2"/>
      <c r="Y3" s="2"/>
      <c r="Z3" s="2"/>
    </row>
    <row r="4" spans="1:26" s="74" customFormat="1" ht="12.75" customHeight="1">
      <c r="A4" s="70" t="s">
        <v>132</v>
      </c>
      <c r="B4" s="66" t="s">
        <v>132</v>
      </c>
      <c r="C4" s="70"/>
      <c r="D4" s="66" t="s">
        <v>132</v>
      </c>
      <c r="E4" s="66" t="s">
        <v>132</v>
      </c>
      <c r="F4" s="66" t="s">
        <v>132</v>
      </c>
      <c r="G4" s="66" t="s">
        <v>132</v>
      </c>
      <c r="H4" s="70"/>
      <c r="I4" s="70"/>
      <c r="J4" s="70"/>
      <c r="K4" s="70" t="s">
        <v>132</v>
      </c>
      <c r="L4" s="70"/>
      <c r="M4" s="66" t="s">
        <v>132</v>
      </c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s="74" customFormat="1" ht="12" customHeight="1" outlineLevel="1">
      <c r="A5" s="71" t="s">
        <v>135</v>
      </c>
      <c r="B5" s="71" t="s">
        <v>136</v>
      </c>
      <c r="C5" s="71" t="s">
        <v>158</v>
      </c>
      <c r="D5" s="71" t="s">
        <v>159</v>
      </c>
      <c r="E5" s="72" t="s">
        <v>242</v>
      </c>
      <c r="F5" s="71" t="s">
        <v>116</v>
      </c>
      <c r="G5" s="71" t="s">
        <v>160</v>
      </c>
      <c r="H5" s="71" t="s">
        <v>161</v>
      </c>
      <c r="I5" s="71" t="s">
        <v>162</v>
      </c>
      <c r="J5" s="71" t="s">
        <v>163</v>
      </c>
      <c r="K5" s="71" t="s">
        <v>1128</v>
      </c>
      <c r="L5" s="71" t="s">
        <v>164</v>
      </c>
      <c r="M5" s="71" t="s">
        <v>165</v>
      </c>
      <c r="N5" s="71" t="s">
        <v>166</v>
      </c>
      <c r="O5" s="71" t="s">
        <v>167</v>
      </c>
      <c r="P5" s="71" t="s">
        <v>168</v>
      </c>
      <c r="Q5" s="71" t="s">
        <v>169</v>
      </c>
      <c r="R5" s="71" t="s">
        <v>170</v>
      </c>
      <c r="S5" s="319" t="s">
        <v>1127</v>
      </c>
      <c r="T5" s="65"/>
      <c r="U5" s="2"/>
      <c r="V5" s="2"/>
      <c r="W5" s="2"/>
      <c r="X5" s="2"/>
      <c r="Y5" s="2"/>
      <c r="Z5" s="2"/>
    </row>
    <row r="6" spans="1:26" s="74" customFormat="1" outlineLevel="1">
      <c r="A6" s="73" t="s">
        <v>302</v>
      </c>
      <c r="B6" s="65" t="s">
        <v>969</v>
      </c>
      <c r="C6" s="220">
        <v>60033</v>
      </c>
      <c r="D6" s="216" t="s">
        <v>970</v>
      </c>
      <c r="E6" s="215"/>
      <c r="F6" s="186">
        <v>42738</v>
      </c>
      <c r="G6" s="69"/>
      <c r="H6" s="65"/>
      <c r="I6" s="231" t="s">
        <v>302</v>
      </c>
      <c r="J6" s="76" t="s">
        <v>1034</v>
      </c>
      <c r="K6" s="76" t="s">
        <v>1033</v>
      </c>
      <c r="L6" s="76" t="s">
        <v>297</v>
      </c>
      <c r="M6" s="187">
        <v>-2500</v>
      </c>
      <c r="N6" s="65"/>
      <c r="O6" s="65"/>
      <c r="P6" s="65"/>
      <c r="Q6" s="73" t="s">
        <v>171</v>
      </c>
      <c r="R6" s="188">
        <v>-2500</v>
      </c>
      <c r="S6" s="188">
        <v>-2500</v>
      </c>
      <c r="T6" s="2"/>
      <c r="U6" s="2"/>
      <c r="V6" s="2"/>
      <c r="W6" s="2"/>
      <c r="X6" s="2"/>
      <c r="Y6" s="2"/>
      <c r="Z6" s="2"/>
    </row>
    <row r="7" spans="1:26" s="74" customFormat="1" outlineLevel="1">
      <c r="A7" s="73" t="s">
        <v>302</v>
      </c>
      <c r="B7" s="65" t="s">
        <v>969</v>
      </c>
      <c r="C7" s="220">
        <v>60012</v>
      </c>
      <c r="D7" s="216" t="s">
        <v>971</v>
      </c>
      <c r="E7" s="215"/>
      <c r="F7" s="186">
        <v>42738</v>
      </c>
      <c r="G7" s="69"/>
      <c r="H7" s="65"/>
      <c r="I7" s="231" t="s">
        <v>302</v>
      </c>
      <c r="J7" s="76" t="s">
        <v>1034</v>
      </c>
      <c r="K7" s="76" t="s">
        <v>1033</v>
      </c>
      <c r="L7" s="76" t="s">
        <v>297</v>
      </c>
      <c r="M7" s="187">
        <v>-20</v>
      </c>
      <c r="N7" s="65"/>
      <c r="O7" s="65"/>
      <c r="P7" s="65"/>
      <c r="Q7" s="73" t="s">
        <v>171</v>
      </c>
      <c r="R7" s="188">
        <v>-20</v>
      </c>
      <c r="S7" s="188">
        <v>-20</v>
      </c>
      <c r="T7" s="2"/>
      <c r="U7" s="2"/>
      <c r="V7" s="2"/>
      <c r="W7" s="2"/>
      <c r="X7" s="2"/>
      <c r="Y7" s="2"/>
      <c r="Z7" s="2"/>
    </row>
    <row r="8" spans="1:26" s="74" customFormat="1" outlineLevel="1">
      <c r="A8" s="73" t="s">
        <v>302</v>
      </c>
      <c r="B8" s="65" t="s">
        <v>969</v>
      </c>
      <c r="C8" s="220">
        <v>60028</v>
      </c>
      <c r="D8" s="216" t="s">
        <v>972</v>
      </c>
      <c r="E8" s="215"/>
      <c r="F8" s="186">
        <v>42738</v>
      </c>
      <c r="G8" s="69"/>
      <c r="H8" s="65"/>
      <c r="I8" s="231" t="s">
        <v>302</v>
      </c>
      <c r="J8" s="76" t="s">
        <v>1034</v>
      </c>
      <c r="K8" s="76" t="s">
        <v>1033</v>
      </c>
      <c r="L8" s="76" t="s">
        <v>297</v>
      </c>
      <c r="M8" s="187">
        <v>-97.86</v>
      </c>
      <c r="N8" s="65"/>
      <c r="O8" s="65"/>
      <c r="P8" s="65"/>
      <c r="Q8" s="73" t="s">
        <v>171</v>
      </c>
      <c r="R8" s="188">
        <v>-97.86</v>
      </c>
      <c r="S8" s="188">
        <v>-97.86</v>
      </c>
      <c r="T8" s="2"/>
      <c r="U8" s="2"/>
      <c r="V8" s="2"/>
      <c r="W8" s="2"/>
      <c r="X8" s="2"/>
      <c r="Y8" s="2"/>
      <c r="Z8" s="2"/>
    </row>
    <row r="9" spans="1:26" s="74" customFormat="1" outlineLevel="1">
      <c r="A9" s="73" t="s">
        <v>302</v>
      </c>
      <c r="B9" s="65" t="s">
        <v>969</v>
      </c>
      <c r="C9" s="220">
        <v>60028</v>
      </c>
      <c r="D9" s="216" t="s">
        <v>972</v>
      </c>
      <c r="E9" s="215"/>
      <c r="F9" s="186">
        <v>42738</v>
      </c>
      <c r="G9" s="69"/>
      <c r="H9" s="65"/>
      <c r="I9" s="231" t="s">
        <v>302</v>
      </c>
      <c r="J9" s="76" t="s">
        <v>1034</v>
      </c>
      <c r="K9" s="76" t="s">
        <v>1033</v>
      </c>
      <c r="L9" s="76" t="s">
        <v>297</v>
      </c>
      <c r="M9" s="187">
        <v>-32.64</v>
      </c>
      <c r="N9" s="65"/>
      <c r="O9" s="65"/>
      <c r="P9" s="65"/>
      <c r="Q9" s="73" t="s">
        <v>171</v>
      </c>
      <c r="R9" s="188">
        <v>-32.64</v>
      </c>
      <c r="S9" s="188">
        <v>-32.64</v>
      </c>
      <c r="T9" s="2"/>
      <c r="U9" s="2"/>
      <c r="V9" s="2"/>
      <c r="W9" s="2"/>
      <c r="X9" s="2"/>
      <c r="Y9" s="2"/>
      <c r="Z9" s="2"/>
    </row>
    <row r="10" spans="1:26" s="74" customFormat="1" outlineLevel="1">
      <c r="A10" s="73" t="s">
        <v>302</v>
      </c>
      <c r="B10" s="65" t="s">
        <v>969</v>
      </c>
      <c r="C10" s="220">
        <v>60025</v>
      </c>
      <c r="D10" s="216" t="s">
        <v>973</v>
      </c>
      <c r="E10" s="215"/>
      <c r="F10" s="186">
        <v>42738</v>
      </c>
      <c r="G10" s="69"/>
      <c r="H10" s="65"/>
      <c r="I10" s="231" t="s">
        <v>302</v>
      </c>
      <c r="J10" s="76" t="s">
        <v>1034</v>
      </c>
      <c r="K10" s="76" t="s">
        <v>1033</v>
      </c>
      <c r="L10" s="76" t="s">
        <v>297</v>
      </c>
      <c r="M10" s="187">
        <v>-27.21</v>
      </c>
      <c r="N10" s="65"/>
      <c r="O10" s="65"/>
      <c r="P10" s="65"/>
      <c r="Q10" s="73" t="s">
        <v>171</v>
      </c>
      <c r="R10" s="188">
        <v>-27.21</v>
      </c>
      <c r="S10" s="188">
        <v>-27.21</v>
      </c>
      <c r="T10" s="2"/>
      <c r="U10" s="2"/>
      <c r="V10" s="2"/>
      <c r="W10" s="2"/>
      <c r="X10" s="2"/>
      <c r="Y10" s="2"/>
      <c r="Z10" s="2"/>
    </row>
    <row r="11" spans="1:26" s="74" customFormat="1" outlineLevel="1">
      <c r="A11" s="73" t="s">
        <v>302</v>
      </c>
      <c r="B11" s="65" t="s">
        <v>969</v>
      </c>
      <c r="C11" s="220">
        <v>60028</v>
      </c>
      <c r="D11" s="216" t="s">
        <v>972</v>
      </c>
      <c r="E11" s="215"/>
      <c r="F11" s="186">
        <v>42738</v>
      </c>
      <c r="G11" s="69"/>
      <c r="H11" s="65"/>
      <c r="I11" s="231" t="s">
        <v>302</v>
      </c>
      <c r="J11" s="76" t="s">
        <v>1034</v>
      </c>
      <c r="K11" s="76" t="s">
        <v>1033</v>
      </c>
      <c r="L11" s="76" t="s">
        <v>297</v>
      </c>
      <c r="M11" s="187">
        <v>-92</v>
      </c>
      <c r="N11" s="65"/>
      <c r="O11" s="65"/>
      <c r="P11" s="65"/>
      <c r="Q11" s="73" t="s">
        <v>171</v>
      </c>
      <c r="R11" s="188">
        <v>-92</v>
      </c>
      <c r="S11" s="188">
        <v>-92</v>
      </c>
      <c r="T11" s="2"/>
      <c r="U11" s="2"/>
      <c r="V11" s="2"/>
      <c r="W11" s="2"/>
      <c r="X11" s="2"/>
      <c r="Y11" s="2"/>
      <c r="Z11" s="2"/>
    </row>
    <row r="12" spans="1:26" s="74" customFormat="1" outlineLevel="1">
      <c r="A12" s="73" t="s">
        <v>302</v>
      </c>
      <c r="B12" s="65" t="s">
        <v>969</v>
      </c>
      <c r="C12" s="220">
        <v>60042</v>
      </c>
      <c r="D12" s="216" t="s">
        <v>974</v>
      </c>
      <c r="E12" s="215"/>
      <c r="F12" s="186">
        <v>42738</v>
      </c>
      <c r="G12" s="69"/>
      <c r="H12" s="65"/>
      <c r="I12" s="231" t="s">
        <v>302</v>
      </c>
      <c r="J12" s="76" t="s">
        <v>1034</v>
      </c>
      <c r="K12" s="76" t="s">
        <v>1033</v>
      </c>
      <c r="L12" s="76" t="s">
        <v>297</v>
      </c>
      <c r="M12" s="187">
        <v>-283.07</v>
      </c>
      <c r="N12" s="65"/>
      <c r="O12" s="65"/>
      <c r="P12" s="65"/>
      <c r="Q12" s="73" t="s">
        <v>171</v>
      </c>
      <c r="R12" s="188">
        <v>-283.07</v>
      </c>
      <c r="S12" s="188">
        <v>-283.07</v>
      </c>
      <c r="T12" s="2"/>
      <c r="U12" s="2"/>
      <c r="V12" s="2"/>
      <c r="W12" s="2"/>
      <c r="X12" s="2"/>
      <c r="Y12" s="2"/>
      <c r="Z12" s="2"/>
    </row>
    <row r="13" spans="1:26" s="74" customFormat="1" outlineLevel="1">
      <c r="A13" s="73" t="s">
        <v>302</v>
      </c>
      <c r="B13" s="65" t="s">
        <v>969</v>
      </c>
      <c r="C13" s="220">
        <v>60012</v>
      </c>
      <c r="D13" s="216" t="s">
        <v>971</v>
      </c>
      <c r="E13" s="215"/>
      <c r="F13" s="186">
        <v>42738</v>
      </c>
      <c r="G13" s="69"/>
      <c r="H13" s="65"/>
      <c r="I13" s="231" t="s">
        <v>302</v>
      </c>
      <c r="J13" s="76" t="s">
        <v>1034</v>
      </c>
      <c r="K13" s="76" t="s">
        <v>1033</v>
      </c>
      <c r="L13" s="76" t="s">
        <v>297</v>
      </c>
      <c r="M13" s="187">
        <v>-56.97</v>
      </c>
      <c r="N13" s="65"/>
      <c r="O13" s="65"/>
      <c r="P13" s="65"/>
      <c r="Q13" s="73" t="s">
        <v>171</v>
      </c>
      <c r="R13" s="188">
        <v>-56.97</v>
      </c>
      <c r="S13" s="188">
        <v>-56.97</v>
      </c>
      <c r="T13" s="2"/>
      <c r="U13" s="2"/>
      <c r="V13" s="2"/>
      <c r="W13" s="2"/>
      <c r="X13" s="2"/>
      <c r="Y13" s="2"/>
      <c r="Z13" s="2"/>
    </row>
    <row r="14" spans="1:26" s="74" customFormat="1" outlineLevel="1">
      <c r="A14" s="73" t="s">
        <v>302</v>
      </c>
      <c r="B14" s="65" t="s">
        <v>969</v>
      </c>
      <c r="C14" s="220">
        <v>60028</v>
      </c>
      <c r="D14" s="216" t="s">
        <v>972</v>
      </c>
      <c r="E14" s="215"/>
      <c r="F14" s="186">
        <v>42738</v>
      </c>
      <c r="G14" s="69"/>
      <c r="H14" s="65"/>
      <c r="I14" s="231" t="s">
        <v>302</v>
      </c>
      <c r="J14" s="76" t="s">
        <v>1034</v>
      </c>
      <c r="K14" s="76" t="s">
        <v>1033</v>
      </c>
      <c r="L14" s="76" t="s">
        <v>297</v>
      </c>
      <c r="M14" s="187">
        <v>-160.81</v>
      </c>
      <c r="N14" s="65"/>
      <c r="O14" s="65"/>
      <c r="P14" s="65"/>
      <c r="Q14" s="73" t="s">
        <v>171</v>
      </c>
      <c r="R14" s="188">
        <v>-160.81</v>
      </c>
      <c r="S14" s="188">
        <v>-160.81</v>
      </c>
      <c r="T14" s="2"/>
      <c r="U14" s="2"/>
      <c r="V14" s="2"/>
      <c r="W14" s="2"/>
      <c r="X14" s="2"/>
      <c r="Y14" s="2"/>
      <c r="Z14" s="2"/>
    </row>
    <row r="15" spans="1:26" s="74" customFormat="1" outlineLevel="1">
      <c r="A15" s="73" t="s">
        <v>302</v>
      </c>
      <c r="B15" s="65" t="s">
        <v>969</v>
      </c>
      <c r="C15" s="220">
        <v>60033</v>
      </c>
      <c r="D15" s="216" t="s">
        <v>970</v>
      </c>
      <c r="E15" s="215"/>
      <c r="F15" s="186">
        <v>42739</v>
      </c>
      <c r="G15" s="69"/>
      <c r="H15" s="65"/>
      <c r="I15" s="231" t="s">
        <v>302</v>
      </c>
      <c r="J15" s="76" t="s">
        <v>1034</v>
      </c>
      <c r="K15" s="76" t="s">
        <v>1033</v>
      </c>
      <c r="L15" s="76" t="s">
        <v>297</v>
      </c>
      <c r="M15" s="187">
        <v>-3116.2</v>
      </c>
      <c r="N15" s="65"/>
      <c r="O15" s="65"/>
      <c r="P15" s="65"/>
      <c r="Q15" s="73" t="s">
        <v>171</v>
      </c>
      <c r="R15" s="188">
        <v>-3116.2</v>
      </c>
      <c r="S15" s="188">
        <v>-3116.2</v>
      </c>
      <c r="T15" s="2"/>
      <c r="U15" s="2"/>
      <c r="V15" s="2"/>
      <c r="W15" s="2"/>
      <c r="X15" s="2"/>
      <c r="Y15" s="2"/>
      <c r="Z15" s="2"/>
    </row>
    <row r="16" spans="1:26" s="74" customFormat="1" outlineLevel="1">
      <c r="A16" s="73" t="s">
        <v>302</v>
      </c>
      <c r="B16" s="65" t="s">
        <v>969</v>
      </c>
      <c r="C16" s="220">
        <v>60028</v>
      </c>
      <c r="D16" s="216" t="s">
        <v>972</v>
      </c>
      <c r="E16" s="215"/>
      <c r="F16" s="186">
        <v>42739</v>
      </c>
      <c r="G16" s="69"/>
      <c r="H16" s="65"/>
      <c r="I16" s="231" t="s">
        <v>302</v>
      </c>
      <c r="J16" s="76" t="s">
        <v>1034</v>
      </c>
      <c r="K16" s="76" t="s">
        <v>1033</v>
      </c>
      <c r="L16" s="76" t="s">
        <v>297</v>
      </c>
      <c r="M16" s="187">
        <v>-242.53</v>
      </c>
      <c r="N16" s="65"/>
      <c r="O16" s="65"/>
      <c r="P16" s="65"/>
      <c r="Q16" s="73" t="s">
        <v>171</v>
      </c>
      <c r="R16" s="188">
        <v>-242.53</v>
      </c>
      <c r="S16" s="188">
        <v>-242.53</v>
      </c>
      <c r="T16" s="2"/>
      <c r="U16" s="2"/>
      <c r="V16" s="2"/>
      <c r="W16" s="2"/>
      <c r="X16" s="2"/>
      <c r="Y16" s="2"/>
      <c r="Z16" s="2"/>
    </row>
    <row r="17" spans="1:26" s="74" customFormat="1" outlineLevel="1">
      <c r="A17" s="73" t="s">
        <v>302</v>
      </c>
      <c r="B17" s="65" t="s">
        <v>969</v>
      </c>
      <c r="C17" s="220">
        <v>60039</v>
      </c>
      <c r="D17" s="216" t="s">
        <v>975</v>
      </c>
      <c r="E17" s="215"/>
      <c r="F17" s="186">
        <v>42740</v>
      </c>
      <c r="G17" s="69"/>
      <c r="H17" s="65"/>
      <c r="I17" s="231" t="s">
        <v>302</v>
      </c>
      <c r="J17" s="76" t="s">
        <v>1034</v>
      </c>
      <c r="K17" s="76" t="s">
        <v>1033</v>
      </c>
      <c r="L17" s="76" t="s">
        <v>297</v>
      </c>
      <c r="M17" s="187">
        <v>-71</v>
      </c>
      <c r="N17" s="65"/>
      <c r="O17" s="65"/>
      <c r="P17" s="65"/>
      <c r="Q17" s="73" t="s">
        <v>171</v>
      </c>
      <c r="R17" s="188">
        <v>-71</v>
      </c>
      <c r="S17" s="188">
        <v>-71</v>
      </c>
      <c r="T17" s="2"/>
      <c r="U17" s="2"/>
      <c r="V17" s="2"/>
      <c r="W17" s="2"/>
      <c r="X17" s="2"/>
      <c r="Y17" s="2"/>
      <c r="Z17" s="2"/>
    </row>
    <row r="18" spans="1:26" s="74" customFormat="1" outlineLevel="1">
      <c r="A18" s="73" t="s">
        <v>302</v>
      </c>
      <c r="B18" s="65" t="s">
        <v>969</v>
      </c>
      <c r="C18" s="220">
        <v>60012</v>
      </c>
      <c r="D18" s="216" t="s">
        <v>971</v>
      </c>
      <c r="E18" s="215"/>
      <c r="F18" s="186">
        <v>42741</v>
      </c>
      <c r="G18" s="69"/>
      <c r="H18" s="65"/>
      <c r="I18" s="231" t="s">
        <v>302</v>
      </c>
      <c r="J18" s="76" t="s">
        <v>1034</v>
      </c>
      <c r="K18" s="76" t="s">
        <v>1033</v>
      </c>
      <c r="L18" s="76" t="s">
        <v>297</v>
      </c>
      <c r="M18" s="187">
        <v>-966.79</v>
      </c>
      <c r="N18" s="65"/>
      <c r="O18" s="65"/>
      <c r="P18" s="65"/>
      <c r="Q18" s="73" t="s">
        <v>171</v>
      </c>
      <c r="R18" s="188">
        <v>-966.79</v>
      </c>
      <c r="S18" s="188">
        <v>-966.79</v>
      </c>
      <c r="T18" s="2"/>
      <c r="U18" s="2"/>
      <c r="V18" s="2"/>
      <c r="W18" s="2"/>
      <c r="X18" s="2"/>
      <c r="Y18" s="2"/>
      <c r="Z18" s="2"/>
    </row>
    <row r="19" spans="1:26" s="74" customFormat="1" outlineLevel="1">
      <c r="A19" s="73" t="s">
        <v>302</v>
      </c>
      <c r="B19" s="65" t="s">
        <v>969</v>
      </c>
      <c r="C19" s="220">
        <v>60028</v>
      </c>
      <c r="D19" s="216" t="s">
        <v>972</v>
      </c>
      <c r="E19" s="215"/>
      <c r="F19" s="186">
        <v>42744</v>
      </c>
      <c r="G19" s="69"/>
      <c r="H19" s="65"/>
      <c r="I19" s="231" t="s">
        <v>302</v>
      </c>
      <c r="J19" s="76" t="s">
        <v>1034</v>
      </c>
      <c r="K19" s="76" t="s">
        <v>1033</v>
      </c>
      <c r="L19" s="76" t="s">
        <v>297</v>
      </c>
      <c r="M19" s="187">
        <v>-15</v>
      </c>
      <c r="N19" s="65"/>
      <c r="O19" s="65"/>
      <c r="P19" s="65"/>
      <c r="Q19" s="73" t="s">
        <v>171</v>
      </c>
      <c r="R19" s="188">
        <v>-15</v>
      </c>
      <c r="S19" s="188">
        <v>-15</v>
      </c>
      <c r="T19" s="2"/>
      <c r="U19" s="2"/>
      <c r="V19" s="2"/>
      <c r="W19" s="2"/>
      <c r="X19" s="2"/>
      <c r="Y19" s="2"/>
      <c r="Z19" s="2"/>
    </row>
    <row r="20" spans="1:26" s="74" customFormat="1" outlineLevel="1">
      <c r="A20" s="73" t="s">
        <v>302</v>
      </c>
      <c r="B20" s="65" t="s">
        <v>969</v>
      </c>
      <c r="C20" s="220">
        <v>60042</v>
      </c>
      <c r="D20" s="216" t="s">
        <v>974</v>
      </c>
      <c r="E20" s="215"/>
      <c r="F20" s="186">
        <v>42744</v>
      </c>
      <c r="G20" s="69"/>
      <c r="H20" s="65"/>
      <c r="I20" s="231" t="s">
        <v>302</v>
      </c>
      <c r="J20" s="76" t="s">
        <v>1034</v>
      </c>
      <c r="K20" s="76" t="s">
        <v>1033</v>
      </c>
      <c r="L20" s="76" t="s">
        <v>297</v>
      </c>
      <c r="M20" s="187">
        <v>-75.89</v>
      </c>
      <c r="N20" s="65"/>
      <c r="O20" s="65"/>
      <c r="P20" s="65"/>
      <c r="Q20" s="73" t="s">
        <v>171</v>
      </c>
      <c r="R20" s="188">
        <v>-75.89</v>
      </c>
      <c r="S20" s="188">
        <v>-75.89</v>
      </c>
      <c r="T20" s="2"/>
      <c r="U20" s="2"/>
      <c r="V20" s="2"/>
      <c r="W20" s="2"/>
      <c r="X20" s="2"/>
      <c r="Y20" s="2"/>
      <c r="Z20" s="2"/>
    </row>
    <row r="21" spans="1:26" s="74" customFormat="1" outlineLevel="1">
      <c r="A21" s="73" t="s">
        <v>302</v>
      </c>
      <c r="B21" s="65" t="s">
        <v>969</v>
      </c>
      <c r="C21" s="220">
        <v>60028</v>
      </c>
      <c r="D21" s="216" t="s">
        <v>972</v>
      </c>
      <c r="E21" s="215"/>
      <c r="F21" s="186">
        <v>42744</v>
      </c>
      <c r="G21" s="69"/>
      <c r="H21" s="65"/>
      <c r="I21" s="231" t="s">
        <v>302</v>
      </c>
      <c r="J21" s="76" t="s">
        <v>1034</v>
      </c>
      <c r="K21" s="76" t="s">
        <v>1033</v>
      </c>
      <c r="L21" s="76" t="s">
        <v>297</v>
      </c>
      <c r="M21" s="187">
        <v>-15.5</v>
      </c>
      <c r="N21" s="65"/>
      <c r="O21" s="65"/>
      <c r="P21" s="65"/>
      <c r="Q21" s="73" t="s">
        <v>171</v>
      </c>
      <c r="R21" s="188">
        <v>-15.5</v>
      </c>
      <c r="S21" s="188">
        <v>-15.5</v>
      </c>
      <c r="T21" s="2"/>
      <c r="U21" s="2"/>
      <c r="V21" s="2"/>
      <c r="W21" s="2"/>
      <c r="X21" s="2"/>
      <c r="Y21" s="2"/>
      <c r="Z21" s="2"/>
    </row>
    <row r="22" spans="1:26" s="74" customFormat="1" outlineLevel="1">
      <c r="A22" s="73" t="s">
        <v>302</v>
      </c>
      <c r="B22" s="65" t="s">
        <v>969</v>
      </c>
      <c r="C22" s="220">
        <v>60042</v>
      </c>
      <c r="D22" s="216" t="s">
        <v>974</v>
      </c>
      <c r="E22" s="215"/>
      <c r="F22" s="186">
        <v>42745</v>
      </c>
      <c r="G22" s="69"/>
      <c r="H22" s="65"/>
      <c r="I22" s="231" t="s">
        <v>302</v>
      </c>
      <c r="J22" s="76" t="s">
        <v>1034</v>
      </c>
      <c r="K22" s="76" t="s">
        <v>1033</v>
      </c>
      <c r="L22" s="76" t="s">
        <v>297</v>
      </c>
      <c r="M22" s="187">
        <v>-1499.59</v>
      </c>
      <c r="N22" s="65"/>
      <c r="O22" s="65"/>
      <c r="P22" s="65"/>
      <c r="Q22" s="73" t="s">
        <v>171</v>
      </c>
      <c r="R22" s="188">
        <v>-1499.59</v>
      </c>
      <c r="S22" s="188">
        <v>-1499.59</v>
      </c>
      <c r="T22" s="2"/>
      <c r="U22" s="2"/>
      <c r="V22" s="2"/>
      <c r="W22" s="2"/>
      <c r="X22" s="2"/>
      <c r="Y22" s="2"/>
      <c r="Z22" s="2"/>
    </row>
    <row r="23" spans="1:26" s="74" customFormat="1" outlineLevel="1">
      <c r="A23" s="73" t="s">
        <v>302</v>
      </c>
      <c r="B23" s="65" t="s">
        <v>969</v>
      </c>
      <c r="C23" s="220">
        <v>60028</v>
      </c>
      <c r="D23" s="216" t="s">
        <v>972</v>
      </c>
      <c r="E23" s="215"/>
      <c r="F23" s="186">
        <v>42745</v>
      </c>
      <c r="G23" s="69"/>
      <c r="H23" s="65"/>
      <c r="I23" s="231" t="s">
        <v>302</v>
      </c>
      <c r="J23" s="76" t="s">
        <v>1034</v>
      </c>
      <c r="K23" s="76" t="s">
        <v>1033</v>
      </c>
      <c r="L23" s="76" t="s">
        <v>297</v>
      </c>
      <c r="M23" s="187">
        <v>-52</v>
      </c>
      <c r="N23" s="65"/>
      <c r="O23" s="65"/>
      <c r="P23" s="65"/>
      <c r="Q23" s="73" t="s">
        <v>171</v>
      </c>
      <c r="R23" s="188">
        <v>-52</v>
      </c>
      <c r="S23" s="188">
        <v>-52</v>
      </c>
      <c r="T23" s="2"/>
      <c r="U23" s="2"/>
      <c r="V23" s="2"/>
      <c r="W23" s="2"/>
      <c r="X23" s="2"/>
      <c r="Y23" s="2"/>
      <c r="Z23" s="2"/>
    </row>
    <row r="24" spans="1:26" s="74" customFormat="1" outlineLevel="1">
      <c r="A24" s="73" t="s">
        <v>302</v>
      </c>
      <c r="B24" s="65" t="s">
        <v>969</v>
      </c>
      <c r="C24" s="220">
        <v>60028</v>
      </c>
      <c r="D24" s="216" t="s">
        <v>972</v>
      </c>
      <c r="E24" s="215"/>
      <c r="F24" s="186">
        <v>42746</v>
      </c>
      <c r="G24" s="69"/>
      <c r="H24" s="65"/>
      <c r="I24" s="231" t="s">
        <v>302</v>
      </c>
      <c r="J24" s="76" t="s">
        <v>1034</v>
      </c>
      <c r="K24" s="76" t="s">
        <v>1033</v>
      </c>
      <c r="L24" s="76" t="s">
        <v>297</v>
      </c>
      <c r="M24" s="187">
        <v>-244.36</v>
      </c>
      <c r="N24" s="65"/>
      <c r="O24" s="65"/>
      <c r="P24" s="65"/>
      <c r="Q24" s="73" t="s">
        <v>171</v>
      </c>
      <c r="R24" s="188">
        <v>-244.36</v>
      </c>
      <c r="S24" s="188">
        <v>-244.36</v>
      </c>
      <c r="T24" s="2"/>
      <c r="U24" s="2"/>
      <c r="V24" s="2"/>
      <c r="W24" s="2"/>
      <c r="X24" s="2"/>
      <c r="Y24" s="2"/>
      <c r="Z24" s="2"/>
    </row>
    <row r="25" spans="1:26" s="74" customFormat="1" outlineLevel="1">
      <c r="A25" s="73" t="s">
        <v>302</v>
      </c>
      <c r="B25" s="65" t="s">
        <v>969</v>
      </c>
      <c r="C25" s="220">
        <v>60025</v>
      </c>
      <c r="D25" s="216" t="s">
        <v>973</v>
      </c>
      <c r="E25" s="215"/>
      <c r="F25" s="186">
        <v>42747</v>
      </c>
      <c r="G25" s="69"/>
      <c r="H25" s="65"/>
      <c r="I25" s="231" t="s">
        <v>302</v>
      </c>
      <c r="J25" s="76" t="s">
        <v>1034</v>
      </c>
      <c r="K25" s="76" t="s">
        <v>1033</v>
      </c>
      <c r="L25" s="76" t="s">
        <v>297</v>
      </c>
      <c r="M25" s="187">
        <v>-20.66</v>
      </c>
      <c r="N25" s="65"/>
      <c r="O25" s="65"/>
      <c r="P25" s="65"/>
      <c r="Q25" s="73" t="s">
        <v>171</v>
      </c>
      <c r="R25" s="188">
        <v>-20.66</v>
      </c>
      <c r="S25" s="188">
        <v>-20.66</v>
      </c>
      <c r="T25" s="2"/>
      <c r="U25" s="2"/>
      <c r="V25" s="2"/>
      <c r="W25" s="2"/>
      <c r="X25" s="2"/>
      <c r="Y25" s="2"/>
      <c r="Z25" s="2"/>
    </row>
    <row r="26" spans="1:26" s="74" customFormat="1" outlineLevel="1">
      <c r="A26" s="73" t="s">
        <v>302</v>
      </c>
      <c r="B26" s="65" t="s">
        <v>969</v>
      </c>
      <c r="C26" s="220">
        <v>60039</v>
      </c>
      <c r="D26" s="216" t="s">
        <v>975</v>
      </c>
      <c r="E26" s="215"/>
      <c r="F26" s="186">
        <v>42747</v>
      </c>
      <c r="G26" s="69"/>
      <c r="H26" s="65"/>
      <c r="I26" s="231" t="s">
        <v>302</v>
      </c>
      <c r="J26" s="76" t="s">
        <v>1034</v>
      </c>
      <c r="K26" s="76" t="s">
        <v>1033</v>
      </c>
      <c r="L26" s="76" t="s">
        <v>297</v>
      </c>
      <c r="M26" s="187">
        <v>-63.81</v>
      </c>
      <c r="N26" s="65"/>
      <c r="O26" s="65"/>
      <c r="P26" s="65"/>
      <c r="Q26" s="73" t="s">
        <v>171</v>
      </c>
      <c r="R26" s="188">
        <v>-63.81</v>
      </c>
      <c r="S26" s="188">
        <v>-63.81</v>
      </c>
      <c r="T26" s="2"/>
      <c r="U26" s="2"/>
      <c r="V26" s="2"/>
      <c r="W26" s="2"/>
      <c r="X26" s="2"/>
      <c r="Y26" s="2"/>
      <c r="Z26" s="2"/>
    </row>
    <row r="27" spans="1:26" s="74" customFormat="1" outlineLevel="1">
      <c r="A27" s="73" t="s">
        <v>302</v>
      </c>
      <c r="B27" s="65" t="s">
        <v>969</v>
      </c>
      <c r="C27" s="220">
        <v>60028</v>
      </c>
      <c r="D27" s="216" t="s">
        <v>972</v>
      </c>
      <c r="E27" s="215"/>
      <c r="F27" s="186">
        <v>42752</v>
      </c>
      <c r="G27" s="69"/>
      <c r="H27" s="65"/>
      <c r="I27" s="231" t="s">
        <v>302</v>
      </c>
      <c r="J27" s="76" t="s">
        <v>1034</v>
      </c>
      <c r="K27" s="76" t="s">
        <v>1033</v>
      </c>
      <c r="L27" s="76" t="s">
        <v>297</v>
      </c>
      <c r="M27" s="187">
        <v>-36.42</v>
      </c>
      <c r="N27" s="65"/>
      <c r="O27" s="65"/>
      <c r="P27" s="65"/>
      <c r="Q27" s="73" t="s">
        <v>171</v>
      </c>
      <c r="R27" s="188">
        <v>-36.42</v>
      </c>
      <c r="S27" s="188">
        <v>-36.42</v>
      </c>
      <c r="T27" s="2"/>
      <c r="U27" s="2"/>
      <c r="V27" s="2"/>
      <c r="W27" s="2"/>
      <c r="X27" s="2"/>
      <c r="Y27" s="2"/>
      <c r="Z27" s="2"/>
    </row>
    <row r="28" spans="1:26" s="74" customFormat="1" outlineLevel="1">
      <c r="A28" s="73" t="s">
        <v>302</v>
      </c>
      <c r="B28" s="65" t="s">
        <v>969</v>
      </c>
      <c r="C28" s="220">
        <v>60025</v>
      </c>
      <c r="D28" s="216" t="s">
        <v>973</v>
      </c>
      <c r="E28" s="215"/>
      <c r="F28" s="186">
        <v>42752</v>
      </c>
      <c r="G28" s="69"/>
      <c r="H28" s="65"/>
      <c r="I28" s="231" t="s">
        <v>302</v>
      </c>
      <c r="J28" s="76" t="s">
        <v>1034</v>
      </c>
      <c r="K28" s="76" t="s">
        <v>1033</v>
      </c>
      <c r="L28" s="76" t="s">
        <v>297</v>
      </c>
      <c r="M28" s="187">
        <v>-7.55</v>
      </c>
      <c r="N28" s="65"/>
      <c r="O28" s="65"/>
      <c r="P28" s="65"/>
      <c r="Q28" s="73" t="s">
        <v>171</v>
      </c>
      <c r="R28" s="188">
        <v>-7.55</v>
      </c>
      <c r="S28" s="188">
        <v>-7.55</v>
      </c>
      <c r="T28" s="2"/>
      <c r="U28" s="2"/>
      <c r="V28" s="2"/>
      <c r="W28" s="2"/>
      <c r="X28" s="2"/>
      <c r="Y28" s="2"/>
      <c r="Z28" s="2"/>
    </row>
    <row r="29" spans="1:26" s="74" customFormat="1" outlineLevel="1">
      <c r="A29" s="73" t="s">
        <v>302</v>
      </c>
      <c r="B29" s="65" t="s">
        <v>969</v>
      </c>
      <c r="C29" s="220">
        <v>60028</v>
      </c>
      <c r="D29" s="216" t="s">
        <v>972</v>
      </c>
      <c r="E29" s="215"/>
      <c r="F29" s="186">
        <v>42752</v>
      </c>
      <c r="G29" s="69"/>
      <c r="H29" s="65"/>
      <c r="I29" s="231" t="s">
        <v>302</v>
      </c>
      <c r="J29" s="76" t="s">
        <v>1034</v>
      </c>
      <c r="K29" s="76" t="s">
        <v>1033</v>
      </c>
      <c r="L29" s="76" t="s">
        <v>297</v>
      </c>
      <c r="M29" s="187">
        <v>-101.95</v>
      </c>
      <c r="N29" s="65"/>
      <c r="O29" s="65"/>
      <c r="P29" s="65"/>
      <c r="Q29" s="73" t="s">
        <v>171</v>
      </c>
      <c r="R29" s="188">
        <v>-101.95</v>
      </c>
      <c r="S29" s="188">
        <v>-101.95</v>
      </c>
      <c r="T29" s="2"/>
      <c r="U29" s="2"/>
      <c r="V29" s="2"/>
      <c r="W29" s="2"/>
      <c r="X29" s="2"/>
      <c r="Y29" s="2"/>
      <c r="Z29" s="2"/>
    </row>
    <row r="30" spans="1:26" s="74" customFormat="1" outlineLevel="1">
      <c r="A30" s="73" t="s">
        <v>302</v>
      </c>
      <c r="B30" s="65" t="s">
        <v>969</v>
      </c>
      <c r="C30" s="220">
        <v>60028</v>
      </c>
      <c r="D30" s="216" t="s">
        <v>972</v>
      </c>
      <c r="E30" s="215"/>
      <c r="F30" s="186">
        <v>42752</v>
      </c>
      <c r="G30" s="69"/>
      <c r="H30" s="65"/>
      <c r="I30" s="231" t="s">
        <v>302</v>
      </c>
      <c r="J30" s="76" t="s">
        <v>1034</v>
      </c>
      <c r="K30" s="76" t="s">
        <v>1033</v>
      </c>
      <c r="L30" s="76" t="s">
        <v>297</v>
      </c>
      <c r="M30" s="187">
        <v>-195.42</v>
      </c>
      <c r="N30" s="65"/>
      <c r="O30" s="65"/>
      <c r="P30" s="65"/>
      <c r="Q30" s="73" t="s">
        <v>171</v>
      </c>
      <c r="R30" s="188">
        <v>-195.42</v>
      </c>
      <c r="S30" s="188">
        <v>-195.42</v>
      </c>
      <c r="T30" s="2"/>
      <c r="U30" s="2"/>
      <c r="V30" s="2"/>
      <c r="W30" s="2"/>
      <c r="X30" s="2"/>
      <c r="Y30" s="2"/>
      <c r="Z30" s="2"/>
    </row>
    <row r="31" spans="1:26" s="74" customFormat="1" outlineLevel="1">
      <c r="A31" s="73" t="s">
        <v>302</v>
      </c>
      <c r="B31" s="65" t="s">
        <v>969</v>
      </c>
      <c r="C31" s="220">
        <v>60028</v>
      </c>
      <c r="D31" s="216" t="s">
        <v>972</v>
      </c>
      <c r="E31" s="215"/>
      <c r="F31" s="186">
        <v>42752</v>
      </c>
      <c r="G31" s="69"/>
      <c r="H31" s="65"/>
      <c r="I31" s="231" t="s">
        <v>302</v>
      </c>
      <c r="J31" s="76" t="s">
        <v>1034</v>
      </c>
      <c r="K31" s="76" t="s">
        <v>1033</v>
      </c>
      <c r="L31" s="76" t="s">
        <v>297</v>
      </c>
      <c r="M31" s="187">
        <v>-4.47</v>
      </c>
      <c r="N31" s="65"/>
      <c r="O31" s="65"/>
      <c r="P31" s="65"/>
      <c r="Q31" s="73" t="s">
        <v>171</v>
      </c>
      <c r="R31" s="188">
        <v>-4.47</v>
      </c>
      <c r="S31" s="188">
        <v>-4.47</v>
      </c>
      <c r="T31" s="2"/>
      <c r="U31" s="2"/>
      <c r="V31" s="2"/>
      <c r="W31" s="2"/>
      <c r="X31" s="2"/>
      <c r="Y31" s="2"/>
      <c r="Z31" s="2"/>
    </row>
    <row r="32" spans="1:26" s="74" customFormat="1" outlineLevel="1">
      <c r="A32" s="73" t="s">
        <v>302</v>
      </c>
      <c r="B32" s="65" t="s">
        <v>969</v>
      </c>
      <c r="C32" s="220">
        <v>60042</v>
      </c>
      <c r="D32" s="216" t="s">
        <v>974</v>
      </c>
      <c r="E32" s="215"/>
      <c r="F32" s="186">
        <v>42753</v>
      </c>
      <c r="G32" s="69"/>
      <c r="H32" s="65"/>
      <c r="I32" s="231" t="s">
        <v>302</v>
      </c>
      <c r="J32" s="76" t="s">
        <v>1034</v>
      </c>
      <c r="K32" s="76" t="s">
        <v>1033</v>
      </c>
      <c r="L32" s="76" t="s">
        <v>297</v>
      </c>
      <c r="M32" s="187">
        <v>-111.28</v>
      </c>
      <c r="N32" s="65"/>
      <c r="O32" s="65"/>
      <c r="P32" s="65"/>
      <c r="Q32" s="73" t="s">
        <v>171</v>
      </c>
      <c r="R32" s="188">
        <v>-111.28</v>
      </c>
      <c r="S32" s="188">
        <v>-111.28</v>
      </c>
      <c r="T32" s="2"/>
      <c r="U32" s="2"/>
      <c r="V32" s="2"/>
      <c r="W32" s="2"/>
      <c r="X32" s="2"/>
      <c r="Y32" s="2"/>
      <c r="Z32" s="2"/>
    </row>
    <row r="33" spans="1:26" s="74" customFormat="1" outlineLevel="1">
      <c r="A33" s="73" t="s">
        <v>302</v>
      </c>
      <c r="B33" s="65" t="s">
        <v>969</v>
      </c>
      <c r="C33" s="220">
        <v>60028</v>
      </c>
      <c r="D33" s="216" t="s">
        <v>972</v>
      </c>
      <c r="E33" s="215"/>
      <c r="F33" s="186">
        <v>42754</v>
      </c>
      <c r="G33" s="69"/>
      <c r="H33" s="65"/>
      <c r="I33" s="231" t="s">
        <v>302</v>
      </c>
      <c r="J33" s="76" t="s">
        <v>1034</v>
      </c>
      <c r="K33" s="76" t="s">
        <v>1033</v>
      </c>
      <c r="L33" s="76" t="s">
        <v>297</v>
      </c>
      <c r="M33" s="187">
        <v>-1236</v>
      </c>
      <c r="N33" s="65"/>
      <c r="O33" s="65"/>
      <c r="P33" s="65"/>
      <c r="Q33" s="73" t="s">
        <v>171</v>
      </c>
      <c r="R33" s="188">
        <v>-1236</v>
      </c>
      <c r="S33" s="188">
        <v>-1236</v>
      </c>
      <c r="T33" s="2"/>
      <c r="U33" s="2"/>
      <c r="V33" s="2"/>
      <c r="W33" s="2"/>
      <c r="X33" s="2"/>
      <c r="Y33" s="2"/>
      <c r="Z33" s="2"/>
    </row>
    <row r="34" spans="1:26" s="74" customFormat="1" outlineLevel="1">
      <c r="A34" s="73" t="s">
        <v>302</v>
      </c>
      <c r="B34" s="65" t="s">
        <v>969</v>
      </c>
      <c r="C34" s="220">
        <v>60039</v>
      </c>
      <c r="D34" s="216" t="s">
        <v>975</v>
      </c>
      <c r="E34" s="215"/>
      <c r="F34" s="186">
        <v>42754</v>
      </c>
      <c r="G34" s="69"/>
      <c r="H34" s="65"/>
      <c r="I34" s="231" t="s">
        <v>302</v>
      </c>
      <c r="J34" s="76" t="s">
        <v>1034</v>
      </c>
      <c r="K34" s="76" t="s">
        <v>1033</v>
      </c>
      <c r="L34" s="76" t="s">
        <v>297</v>
      </c>
      <c r="M34" s="187">
        <v>-72.03</v>
      </c>
      <c r="N34" s="65"/>
      <c r="O34" s="65"/>
      <c r="P34" s="65"/>
      <c r="Q34" s="73" t="s">
        <v>171</v>
      </c>
      <c r="R34" s="188">
        <v>-72.03</v>
      </c>
      <c r="S34" s="188">
        <v>-72.03</v>
      </c>
      <c r="T34" s="2"/>
      <c r="U34" s="2"/>
      <c r="V34" s="2"/>
      <c r="W34" s="2"/>
      <c r="X34" s="2"/>
      <c r="Y34" s="2"/>
      <c r="Z34" s="2"/>
    </row>
    <row r="35" spans="1:26" s="74" customFormat="1" outlineLevel="1">
      <c r="A35" s="73" t="s">
        <v>302</v>
      </c>
      <c r="B35" s="65" t="s">
        <v>969</v>
      </c>
      <c r="C35" s="220">
        <v>60028</v>
      </c>
      <c r="D35" s="216" t="s">
        <v>972</v>
      </c>
      <c r="E35" s="215"/>
      <c r="F35" s="186">
        <v>42758</v>
      </c>
      <c r="G35" s="69"/>
      <c r="H35" s="65"/>
      <c r="I35" s="231" t="s">
        <v>302</v>
      </c>
      <c r="J35" s="76" t="s">
        <v>1034</v>
      </c>
      <c r="K35" s="76" t="s">
        <v>1033</v>
      </c>
      <c r="L35" s="76" t="s">
        <v>297</v>
      </c>
      <c r="M35" s="187">
        <v>-70</v>
      </c>
      <c r="N35" s="65"/>
      <c r="O35" s="65"/>
      <c r="P35" s="65"/>
      <c r="Q35" s="73" t="s">
        <v>171</v>
      </c>
      <c r="R35" s="188">
        <v>-70</v>
      </c>
      <c r="S35" s="188">
        <v>-70</v>
      </c>
      <c r="T35" s="2"/>
      <c r="U35" s="2"/>
      <c r="V35" s="2"/>
      <c r="W35" s="2"/>
      <c r="X35" s="2"/>
      <c r="Y35" s="2"/>
      <c r="Z35" s="2"/>
    </row>
    <row r="36" spans="1:26" s="74" customFormat="1" outlineLevel="1">
      <c r="A36" s="73" t="s">
        <v>302</v>
      </c>
      <c r="B36" s="65" t="s">
        <v>969</v>
      </c>
      <c r="C36" s="220">
        <v>60028</v>
      </c>
      <c r="D36" s="216" t="s">
        <v>972</v>
      </c>
      <c r="E36" s="215"/>
      <c r="F36" s="186">
        <v>42758</v>
      </c>
      <c r="G36" s="69"/>
      <c r="H36" s="65"/>
      <c r="I36" s="231" t="s">
        <v>302</v>
      </c>
      <c r="J36" s="76" t="s">
        <v>1034</v>
      </c>
      <c r="K36" s="76" t="s">
        <v>1033</v>
      </c>
      <c r="L36" s="76" t="s">
        <v>297</v>
      </c>
      <c r="M36" s="187">
        <v>-31.98</v>
      </c>
      <c r="N36" s="65"/>
      <c r="O36" s="65"/>
      <c r="P36" s="65"/>
      <c r="Q36" s="73" t="s">
        <v>171</v>
      </c>
      <c r="R36" s="188">
        <v>-31.98</v>
      </c>
      <c r="S36" s="188">
        <v>-31.98</v>
      </c>
      <c r="T36" s="2"/>
      <c r="U36" s="2"/>
      <c r="V36" s="2"/>
      <c r="W36" s="2"/>
      <c r="X36" s="2"/>
      <c r="Y36" s="2"/>
      <c r="Z36" s="2"/>
    </row>
    <row r="37" spans="1:26" s="74" customFormat="1" outlineLevel="1">
      <c r="A37" s="73" t="s">
        <v>302</v>
      </c>
      <c r="B37" s="65" t="s">
        <v>969</v>
      </c>
      <c r="C37" s="220">
        <v>60042</v>
      </c>
      <c r="D37" s="216" t="s">
        <v>974</v>
      </c>
      <c r="E37" s="215"/>
      <c r="F37" s="186">
        <v>42758</v>
      </c>
      <c r="G37" s="69"/>
      <c r="H37" s="65"/>
      <c r="I37" s="231" t="s">
        <v>302</v>
      </c>
      <c r="J37" s="76" t="s">
        <v>1034</v>
      </c>
      <c r="K37" s="76" t="s">
        <v>1033</v>
      </c>
      <c r="L37" s="76" t="s">
        <v>297</v>
      </c>
      <c r="M37" s="187">
        <v>-40</v>
      </c>
      <c r="N37" s="65"/>
      <c r="O37" s="65"/>
      <c r="P37" s="65"/>
      <c r="Q37" s="73" t="s">
        <v>171</v>
      </c>
      <c r="R37" s="188">
        <v>-40</v>
      </c>
      <c r="S37" s="188">
        <v>-40</v>
      </c>
      <c r="T37" s="2"/>
      <c r="U37" s="2"/>
      <c r="V37" s="2"/>
      <c r="W37" s="2"/>
      <c r="X37" s="2"/>
      <c r="Y37" s="2"/>
      <c r="Z37" s="2"/>
    </row>
    <row r="38" spans="1:26" s="74" customFormat="1" outlineLevel="1">
      <c r="A38" s="73" t="s">
        <v>302</v>
      </c>
      <c r="B38" s="65" t="s">
        <v>969</v>
      </c>
      <c r="C38" s="220">
        <v>60042</v>
      </c>
      <c r="D38" s="216" t="s">
        <v>974</v>
      </c>
      <c r="E38" s="215"/>
      <c r="F38" s="186">
        <v>42758</v>
      </c>
      <c r="G38" s="69"/>
      <c r="H38" s="65"/>
      <c r="I38" s="231" t="s">
        <v>302</v>
      </c>
      <c r="J38" s="76" t="s">
        <v>1034</v>
      </c>
      <c r="K38" s="76" t="s">
        <v>1033</v>
      </c>
      <c r="L38" s="76" t="s">
        <v>297</v>
      </c>
      <c r="M38" s="187">
        <v>-55.2</v>
      </c>
      <c r="N38" s="65"/>
      <c r="O38" s="65"/>
      <c r="P38" s="65"/>
      <c r="Q38" s="73" t="s">
        <v>171</v>
      </c>
      <c r="R38" s="188">
        <v>-55.2</v>
      </c>
      <c r="S38" s="188">
        <v>-55.2</v>
      </c>
      <c r="T38" s="2"/>
      <c r="U38" s="2"/>
      <c r="V38" s="2"/>
      <c r="W38" s="2"/>
      <c r="X38" s="2"/>
      <c r="Y38" s="2"/>
      <c r="Z38" s="2"/>
    </row>
    <row r="39" spans="1:26" s="74" customFormat="1" outlineLevel="1">
      <c r="A39" s="73" t="s">
        <v>302</v>
      </c>
      <c r="B39" s="65" t="s">
        <v>969</v>
      </c>
      <c r="C39" s="220">
        <v>60028</v>
      </c>
      <c r="D39" s="216" t="s">
        <v>972</v>
      </c>
      <c r="E39" s="215"/>
      <c r="F39" s="186">
        <v>42759</v>
      </c>
      <c r="G39" s="69"/>
      <c r="H39" s="65"/>
      <c r="I39" s="231" t="s">
        <v>302</v>
      </c>
      <c r="J39" s="76" t="s">
        <v>1034</v>
      </c>
      <c r="K39" s="76" t="s">
        <v>1033</v>
      </c>
      <c r="L39" s="76" t="s">
        <v>297</v>
      </c>
      <c r="M39" s="187">
        <v>-21.79</v>
      </c>
      <c r="N39" s="65"/>
      <c r="O39" s="65"/>
      <c r="P39" s="65"/>
      <c r="Q39" s="73" t="s">
        <v>171</v>
      </c>
      <c r="R39" s="188">
        <v>-21.79</v>
      </c>
      <c r="S39" s="188">
        <v>-21.79</v>
      </c>
      <c r="T39" s="2"/>
      <c r="U39" s="2"/>
      <c r="V39" s="2"/>
      <c r="W39" s="2"/>
      <c r="X39" s="2"/>
      <c r="Y39" s="2"/>
      <c r="Z39" s="2"/>
    </row>
    <row r="40" spans="1:26" s="74" customFormat="1" outlineLevel="1">
      <c r="A40" s="73" t="s">
        <v>302</v>
      </c>
      <c r="B40" s="65" t="s">
        <v>969</v>
      </c>
      <c r="C40" s="220">
        <v>60019</v>
      </c>
      <c r="D40" s="216" t="s">
        <v>976</v>
      </c>
      <c r="E40" s="215"/>
      <c r="F40" s="186">
        <v>42762</v>
      </c>
      <c r="G40" s="69"/>
      <c r="H40" s="65"/>
      <c r="I40" s="231" t="s">
        <v>302</v>
      </c>
      <c r="J40" s="76" t="s">
        <v>1034</v>
      </c>
      <c r="K40" s="76" t="s">
        <v>1033</v>
      </c>
      <c r="L40" s="76" t="s">
        <v>297</v>
      </c>
      <c r="M40" s="187">
        <v>-510.35</v>
      </c>
      <c r="N40" s="65"/>
      <c r="O40" s="65"/>
      <c r="P40" s="65"/>
      <c r="Q40" s="73" t="s">
        <v>171</v>
      </c>
      <c r="R40" s="188">
        <v>-510.35</v>
      </c>
      <c r="S40" s="188">
        <v>-510.35</v>
      </c>
      <c r="T40" s="2"/>
      <c r="U40" s="2"/>
      <c r="V40" s="2"/>
      <c r="W40" s="2"/>
      <c r="X40" s="2"/>
      <c r="Y40" s="2"/>
      <c r="Z40" s="2"/>
    </row>
    <row r="41" spans="1:26" s="74" customFormat="1" outlineLevel="1">
      <c r="A41" s="73" t="s">
        <v>302</v>
      </c>
      <c r="B41" s="65" t="s">
        <v>969</v>
      </c>
      <c r="C41" s="220">
        <v>60042</v>
      </c>
      <c r="D41" s="216" t="s">
        <v>974</v>
      </c>
      <c r="E41" s="215"/>
      <c r="F41" s="186">
        <v>42762</v>
      </c>
      <c r="G41" s="69"/>
      <c r="H41" s="65"/>
      <c r="I41" s="231" t="s">
        <v>302</v>
      </c>
      <c r="J41" s="76" t="s">
        <v>1034</v>
      </c>
      <c r="K41" s="76" t="s">
        <v>1033</v>
      </c>
      <c r="L41" s="76" t="s">
        <v>297</v>
      </c>
      <c r="M41" s="187">
        <v>-245.75</v>
      </c>
      <c r="N41" s="65"/>
      <c r="O41" s="65"/>
      <c r="P41" s="65"/>
      <c r="Q41" s="73" t="s">
        <v>171</v>
      </c>
      <c r="R41" s="188">
        <v>-245.75</v>
      </c>
      <c r="S41" s="188">
        <v>-245.75</v>
      </c>
      <c r="T41" s="2"/>
      <c r="U41" s="2"/>
      <c r="V41" s="2"/>
      <c r="W41" s="2"/>
      <c r="X41" s="2"/>
      <c r="Y41" s="2"/>
      <c r="Z41" s="2"/>
    </row>
    <row r="42" spans="1:26" s="74" customFormat="1" outlineLevel="1">
      <c r="A42" s="73" t="s">
        <v>302</v>
      </c>
      <c r="B42" s="65" t="s">
        <v>969</v>
      </c>
      <c r="C42" s="220">
        <v>60025</v>
      </c>
      <c r="D42" s="216" t="s">
        <v>973</v>
      </c>
      <c r="E42" s="215"/>
      <c r="F42" s="186">
        <v>42765</v>
      </c>
      <c r="G42" s="69"/>
      <c r="H42" s="65"/>
      <c r="I42" s="231" t="s">
        <v>302</v>
      </c>
      <c r="J42" s="76" t="s">
        <v>1034</v>
      </c>
      <c r="K42" s="76" t="s">
        <v>1033</v>
      </c>
      <c r="L42" s="76" t="s">
        <v>297</v>
      </c>
      <c r="M42" s="187">
        <v>-5.55</v>
      </c>
      <c r="N42" s="65"/>
      <c r="O42" s="65"/>
      <c r="P42" s="65"/>
      <c r="Q42" s="73" t="s">
        <v>171</v>
      </c>
      <c r="R42" s="188">
        <v>-5.55</v>
      </c>
      <c r="S42" s="188">
        <v>-5.55</v>
      </c>
      <c r="T42" s="2"/>
      <c r="U42" s="2"/>
      <c r="V42" s="2"/>
      <c r="W42" s="2"/>
      <c r="X42" s="2"/>
      <c r="Y42" s="2"/>
      <c r="Z42" s="2"/>
    </row>
    <row r="43" spans="1:26" s="74" customFormat="1" outlineLevel="1">
      <c r="A43" s="73" t="s">
        <v>302</v>
      </c>
      <c r="B43" s="65" t="s">
        <v>969</v>
      </c>
      <c r="C43" s="220">
        <v>60039</v>
      </c>
      <c r="D43" s="216" t="s">
        <v>975</v>
      </c>
      <c r="E43" s="215"/>
      <c r="F43" s="186">
        <v>42765</v>
      </c>
      <c r="G43" s="69"/>
      <c r="H43" s="65"/>
      <c r="I43" s="231" t="s">
        <v>302</v>
      </c>
      <c r="J43" s="76" t="s">
        <v>1034</v>
      </c>
      <c r="K43" s="76" t="s">
        <v>1033</v>
      </c>
      <c r="L43" s="76" t="s">
        <v>297</v>
      </c>
      <c r="M43" s="187">
        <v>-54</v>
      </c>
      <c r="N43" s="65"/>
      <c r="O43" s="65"/>
      <c r="P43" s="65"/>
      <c r="Q43" s="73" t="s">
        <v>171</v>
      </c>
      <c r="R43" s="188">
        <v>-54</v>
      </c>
      <c r="S43" s="188">
        <v>-54</v>
      </c>
      <c r="T43" s="2"/>
      <c r="U43" s="2"/>
      <c r="V43" s="2"/>
      <c r="W43" s="2"/>
      <c r="X43" s="2"/>
      <c r="Y43" s="2"/>
      <c r="Z43" s="2"/>
    </row>
    <row r="44" spans="1:26" s="74" customFormat="1" outlineLevel="1">
      <c r="A44" s="73" t="s">
        <v>302</v>
      </c>
      <c r="B44" s="65" t="s">
        <v>969</v>
      </c>
      <c r="C44" s="220">
        <v>60028</v>
      </c>
      <c r="D44" s="216" t="s">
        <v>972</v>
      </c>
      <c r="E44" s="215"/>
      <c r="F44" s="186">
        <v>42765</v>
      </c>
      <c r="G44" s="69"/>
      <c r="H44" s="65"/>
      <c r="I44" s="231" t="s">
        <v>302</v>
      </c>
      <c r="J44" s="76" t="s">
        <v>1034</v>
      </c>
      <c r="K44" s="76" t="s">
        <v>1033</v>
      </c>
      <c r="L44" s="76" t="s">
        <v>297</v>
      </c>
      <c r="M44" s="187">
        <v>-7.99</v>
      </c>
      <c r="N44" s="65"/>
      <c r="O44" s="65"/>
      <c r="P44" s="65"/>
      <c r="Q44" s="73" t="s">
        <v>171</v>
      </c>
      <c r="R44" s="188">
        <v>-7.99</v>
      </c>
      <c r="S44" s="188">
        <v>-7.99</v>
      </c>
      <c r="T44" s="2"/>
      <c r="U44" s="2"/>
      <c r="V44" s="2"/>
      <c r="W44" s="2"/>
      <c r="X44" s="2"/>
      <c r="Y44" s="2"/>
      <c r="Z44" s="2"/>
    </row>
    <row r="45" spans="1:26" s="74" customFormat="1" outlineLevel="1">
      <c r="A45" s="73" t="s">
        <v>302</v>
      </c>
      <c r="B45" s="65" t="s">
        <v>969</v>
      </c>
      <c r="C45" s="220">
        <v>60028</v>
      </c>
      <c r="D45" s="216" t="s">
        <v>972</v>
      </c>
      <c r="E45" s="215"/>
      <c r="F45" s="186">
        <v>42766</v>
      </c>
      <c r="G45" s="69"/>
      <c r="H45" s="65"/>
      <c r="I45" s="231" t="s">
        <v>302</v>
      </c>
      <c r="J45" s="76" t="s">
        <v>1034</v>
      </c>
      <c r="K45" s="76" t="s">
        <v>1033</v>
      </c>
      <c r="L45" s="76" t="s">
        <v>297</v>
      </c>
      <c r="M45" s="187">
        <v>-31.98</v>
      </c>
      <c r="N45" s="65"/>
      <c r="O45" s="65"/>
      <c r="P45" s="65"/>
      <c r="Q45" s="73" t="s">
        <v>171</v>
      </c>
      <c r="R45" s="188">
        <v>-31.98</v>
      </c>
      <c r="S45" s="188">
        <v>-31.98</v>
      </c>
      <c r="T45" s="2"/>
      <c r="U45" s="2"/>
      <c r="V45" s="2"/>
      <c r="W45" s="2"/>
      <c r="X45" s="2"/>
      <c r="Y45" s="2"/>
      <c r="Z45" s="2"/>
    </row>
    <row r="47" spans="1:26" s="74" customFormat="1" ht="12.75" customHeight="1" thickBot="1">
      <c r="A47" s="229" t="s">
        <v>968</v>
      </c>
      <c r="B47" s="8"/>
      <c r="C47" s="220"/>
      <c r="D47" s="216"/>
      <c r="E47" s="215"/>
      <c r="F47" s="186"/>
      <c r="G47" s="69"/>
      <c r="H47" s="65"/>
      <c r="I47" s="231"/>
      <c r="J47" s="76"/>
      <c r="K47" s="76"/>
      <c r="L47" s="76"/>
      <c r="M47" s="189">
        <v>-12493.6</v>
      </c>
      <c r="N47" s="189">
        <f t="shared" ref="N47:S47" si="0">SUM(N6:N45)</f>
        <v>0</v>
      </c>
      <c r="O47" s="189">
        <f t="shared" si="0"/>
        <v>0</v>
      </c>
      <c r="P47" s="189">
        <f t="shared" si="0"/>
        <v>0</v>
      </c>
      <c r="Q47" s="189">
        <f t="shared" si="0"/>
        <v>0</v>
      </c>
      <c r="R47" s="189">
        <f t="shared" si="0"/>
        <v>-12493.6</v>
      </c>
      <c r="S47" s="189">
        <f t="shared" si="0"/>
        <v>-12493.6</v>
      </c>
      <c r="T47" s="65"/>
      <c r="U47" s="2"/>
      <c r="V47" s="2"/>
      <c r="W47" s="2"/>
      <c r="X47" s="2"/>
      <c r="Y47" s="2"/>
      <c r="Z47" s="2"/>
    </row>
    <row r="48" spans="1:26" s="74" customFormat="1" ht="18" thickTop="1">
      <c r="A48" s="222">
        <v>42767</v>
      </c>
      <c r="B48" s="8"/>
      <c r="C48" s="73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2"/>
      <c r="V48" s="2"/>
      <c r="W48" s="2"/>
      <c r="X48" s="2"/>
      <c r="Y48" s="2"/>
      <c r="Z48" s="2"/>
    </row>
    <row r="49" spans="1:26" s="74" customFormat="1" ht="12" customHeight="1">
      <c r="A49" s="73"/>
      <c r="B49" s="65"/>
      <c r="C49" s="73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2"/>
      <c r="V49" s="2"/>
      <c r="W49" s="2"/>
      <c r="X49" s="2"/>
      <c r="Y49" s="2"/>
      <c r="Z49" s="2"/>
    </row>
    <row r="50" spans="1:26" s="74" customFormat="1" ht="12" customHeight="1">
      <c r="A50" s="73"/>
      <c r="B50" s="65"/>
      <c r="C50" s="73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2"/>
      <c r="V50" s="2"/>
      <c r="W50" s="2"/>
      <c r="X50" s="2"/>
      <c r="Y50" s="2"/>
      <c r="Z50" s="2"/>
    </row>
    <row r="51" spans="1:26" s="74" customFormat="1" ht="12" customHeight="1">
      <c r="A51" s="71" t="s">
        <v>135</v>
      </c>
      <c r="B51" s="71" t="s">
        <v>136</v>
      </c>
      <c r="C51" s="71" t="s">
        <v>158</v>
      </c>
      <c r="D51" s="71" t="s">
        <v>159</v>
      </c>
      <c r="E51" s="72" t="s">
        <v>242</v>
      </c>
      <c r="F51" s="71" t="s">
        <v>116</v>
      </c>
      <c r="G51" s="71" t="s">
        <v>160</v>
      </c>
      <c r="H51" s="71" t="s">
        <v>161</v>
      </c>
      <c r="I51" s="71" t="s">
        <v>162</v>
      </c>
      <c r="J51" s="71" t="s">
        <v>163</v>
      </c>
      <c r="K51" s="71" t="s">
        <v>1128</v>
      </c>
      <c r="L51" s="71" t="s">
        <v>164</v>
      </c>
      <c r="M51" s="71" t="s">
        <v>165</v>
      </c>
      <c r="N51" s="71" t="s">
        <v>166</v>
      </c>
      <c r="O51" s="71" t="s">
        <v>167</v>
      </c>
      <c r="P51" s="71" t="s">
        <v>168</v>
      </c>
      <c r="Q51" s="71" t="s">
        <v>169</v>
      </c>
      <c r="R51" s="71" t="s">
        <v>170</v>
      </c>
      <c r="S51" s="319" t="s">
        <v>1127</v>
      </c>
      <c r="T51" s="65"/>
      <c r="U51" s="2"/>
      <c r="V51" s="2"/>
      <c r="W51" s="2"/>
      <c r="X51" s="2"/>
      <c r="Y51" s="2"/>
      <c r="Z51" s="2"/>
    </row>
    <row r="52" spans="1:26" s="74" customFormat="1" outlineLevel="1">
      <c r="A52" s="73" t="s">
        <v>302</v>
      </c>
      <c r="B52" s="65" t="s">
        <v>969</v>
      </c>
      <c r="C52" s="220">
        <v>60012</v>
      </c>
      <c r="D52" s="216" t="s">
        <v>971</v>
      </c>
      <c r="E52" s="215"/>
      <c r="F52" s="186">
        <v>42767</v>
      </c>
      <c r="G52" s="69"/>
      <c r="H52" s="65"/>
      <c r="I52" s="231" t="s">
        <v>302</v>
      </c>
      <c r="J52" s="76" t="s">
        <v>1034</v>
      </c>
      <c r="K52" s="76" t="s">
        <v>1033</v>
      </c>
      <c r="L52" s="76" t="s">
        <v>297</v>
      </c>
      <c r="M52" s="187">
        <v>-20</v>
      </c>
      <c r="N52" s="65"/>
      <c r="O52" s="65"/>
      <c r="P52" s="65"/>
      <c r="Q52" s="73" t="s">
        <v>171</v>
      </c>
      <c r="R52" s="188">
        <v>-20</v>
      </c>
      <c r="S52" s="188">
        <v>-20</v>
      </c>
      <c r="T52" s="2"/>
      <c r="U52" s="2"/>
      <c r="V52" s="2"/>
      <c r="W52" s="2"/>
      <c r="X52" s="2"/>
      <c r="Y52" s="2"/>
      <c r="Z52" s="2"/>
    </row>
    <row r="53" spans="1:26" s="74" customFormat="1" outlineLevel="1">
      <c r="A53" s="73" t="s">
        <v>302</v>
      </c>
      <c r="B53" s="65" t="s">
        <v>969</v>
      </c>
      <c r="C53" s="220">
        <v>60039</v>
      </c>
      <c r="D53" s="216" t="s">
        <v>977</v>
      </c>
      <c r="E53" s="215"/>
      <c r="F53" s="186">
        <v>42767</v>
      </c>
      <c r="G53" s="69"/>
      <c r="H53" s="65"/>
      <c r="I53" s="231" t="s">
        <v>302</v>
      </c>
      <c r="J53" s="76" t="s">
        <v>1034</v>
      </c>
      <c r="K53" s="76" t="s">
        <v>1033</v>
      </c>
      <c r="L53" s="76" t="s">
        <v>297</v>
      </c>
      <c r="M53" s="187">
        <v>-3.59</v>
      </c>
      <c r="N53" s="65"/>
      <c r="O53" s="65"/>
      <c r="P53" s="65"/>
      <c r="Q53" s="73" t="s">
        <v>171</v>
      </c>
      <c r="R53" s="188">
        <v>-3.59</v>
      </c>
      <c r="S53" s="188">
        <v>-3.59</v>
      </c>
      <c r="T53" s="2"/>
      <c r="U53" s="2"/>
      <c r="V53" s="2"/>
      <c r="W53" s="2"/>
      <c r="X53" s="2"/>
      <c r="Y53" s="2"/>
      <c r="Z53" s="2"/>
    </row>
    <row r="54" spans="1:26" s="74" customFormat="1" outlineLevel="1">
      <c r="A54" s="73" t="s">
        <v>302</v>
      </c>
      <c r="B54" s="65" t="s">
        <v>969</v>
      </c>
      <c r="C54" s="220">
        <v>60025</v>
      </c>
      <c r="D54" s="216" t="s">
        <v>973</v>
      </c>
      <c r="E54" s="215"/>
      <c r="F54" s="186">
        <v>42767</v>
      </c>
      <c r="G54" s="69"/>
      <c r="H54" s="65"/>
      <c r="I54" s="231" t="s">
        <v>302</v>
      </c>
      <c r="J54" s="76" t="s">
        <v>1034</v>
      </c>
      <c r="K54" s="76" t="s">
        <v>1033</v>
      </c>
      <c r="L54" s="76" t="s">
        <v>297</v>
      </c>
      <c r="M54" s="187">
        <v>-43.75</v>
      </c>
      <c r="N54" s="65"/>
      <c r="O54" s="65"/>
      <c r="P54" s="65"/>
      <c r="Q54" s="73" t="s">
        <v>171</v>
      </c>
      <c r="R54" s="188">
        <v>-43.75</v>
      </c>
      <c r="S54" s="188">
        <v>-43.75</v>
      </c>
      <c r="T54" s="2"/>
      <c r="U54" s="2"/>
      <c r="V54" s="2"/>
      <c r="W54" s="2"/>
      <c r="X54" s="2"/>
      <c r="Y54" s="2"/>
      <c r="Z54" s="2"/>
    </row>
    <row r="55" spans="1:26" s="74" customFormat="1" outlineLevel="1">
      <c r="A55" s="73" t="s">
        <v>302</v>
      </c>
      <c r="B55" s="65" t="s">
        <v>969</v>
      </c>
      <c r="C55" s="220">
        <v>60033</v>
      </c>
      <c r="D55" s="216" t="s">
        <v>978</v>
      </c>
      <c r="E55" s="215"/>
      <c r="F55" s="186">
        <v>42768</v>
      </c>
      <c r="G55" s="69"/>
      <c r="H55" s="65"/>
      <c r="I55" s="231" t="s">
        <v>302</v>
      </c>
      <c r="J55" s="76" t="s">
        <v>1034</v>
      </c>
      <c r="K55" s="76" t="s">
        <v>1033</v>
      </c>
      <c r="L55" s="76" t="s">
        <v>297</v>
      </c>
      <c r="M55" s="187">
        <v>-2500</v>
      </c>
      <c r="N55" s="65"/>
      <c r="O55" s="65"/>
      <c r="P55" s="65"/>
      <c r="Q55" s="73" t="s">
        <v>171</v>
      </c>
      <c r="R55" s="188">
        <v>-2500</v>
      </c>
      <c r="S55" s="188">
        <v>-2500</v>
      </c>
      <c r="T55" s="2"/>
      <c r="U55" s="2"/>
      <c r="V55" s="2"/>
      <c r="W55" s="2"/>
      <c r="X55" s="2"/>
      <c r="Y55" s="2"/>
      <c r="Z55" s="2"/>
    </row>
    <row r="56" spans="1:26" s="74" customFormat="1" outlineLevel="1">
      <c r="A56" s="73" t="s">
        <v>302</v>
      </c>
      <c r="B56" s="65" t="s">
        <v>969</v>
      </c>
      <c r="C56" s="220">
        <v>60037</v>
      </c>
      <c r="D56" s="216" t="s">
        <v>979</v>
      </c>
      <c r="E56" s="215"/>
      <c r="F56" s="186">
        <v>42768</v>
      </c>
      <c r="G56" s="69"/>
      <c r="H56" s="65"/>
      <c r="I56" s="231" t="s">
        <v>302</v>
      </c>
      <c r="J56" s="76" t="s">
        <v>1034</v>
      </c>
      <c r="K56" s="76" t="s">
        <v>1033</v>
      </c>
      <c r="L56" s="76" t="s">
        <v>297</v>
      </c>
      <c r="M56" s="187">
        <v>-10.86</v>
      </c>
      <c r="N56" s="65"/>
      <c r="O56" s="65"/>
      <c r="P56" s="65"/>
      <c r="Q56" s="73" t="s">
        <v>171</v>
      </c>
      <c r="R56" s="188">
        <v>-10.86</v>
      </c>
      <c r="S56" s="188">
        <v>-10.86</v>
      </c>
      <c r="T56" s="2"/>
      <c r="U56" s="2"/>
      <c r="V56" s="2"/>
      <c r="W56" s="2"/>
      <c r="X56" s="2"/>
      <c r="Y56" s="2"/>
      <c r="Z56" s="2"/>
    </row>
    <row r="57" spans="1:26" s="74" customFormat="1" outlineLevel="1">
      <c r="A57" s="73" t="s">
        <v>302</v>
      </c>
      <c r="B57" s="65" t="s">
        <v>969</v>
      </c>
      <c r="C57" s="220">
        <v>60037</v>
      </c>
      <c r="D57" s="216" t="s">
        <v>979</v>
      </c>
      <c r="E57" s="215"/>
      <c r="F57" s="186">
        <v>42769</v>
      </c>
      <c r="G57" s="69"/>
      <c r="H57" s="65"/>
      <c r="I57" s="231" t="s">
        <v>302</v>
      </c>
      <c r="J57" s="76" t="s">
        <v>1034</v>
      </c>
      <c r="K57" s="76" t="s">
        <v>1033</v>
      </c>
      <c r="L57" s="76" t="s">
        <v>297</v>
      </c>
      <c r="M57" s="187">
        <v>-3300</v>
      </c>
      <c r="N57" s="65"/>
      <c r="O57" s="65"/>
      <c r="P57" s="65"/>
      <c r="Q57" s="73" t="s">
        <v>171</v>
      </c>
      <c r="R57" s="188">
        <v>-3300</v>
      </c>
      <c r="S57" s="188">
        <v>-3300</v>
      </c>
      <c r="T57" s="2"/>
      <c r="U57" s="2"/>
      <c r="V57" s="2"/>
      <c r="W57" s="2"/>
      <c r="X57" s="2"/>
      <c r="Y57" s="2"/>
      <c r="Z57" s="2"/>
    </row>
    <row r="58" spans="1:26" s="74" customFormat="1" outlineLevel="1">
      <c r="A58" s="73" t="s">
        <v>302</v>
      </c>
      <c r="B58" s="65" t="s">
        <v>969</v>
      </c>
      <c r="C58" s="220">
        <v>60028</v>
      </c>
      <c r="D58" s="216" t="s">
        <v>972</v>
      </c>
      <c r="E58" s="215"/>
      <c r="F58" s="186">
        <v>42769</v>
      </c>
      <c r="G58" s="69"/>
      <c r="H58" s="65"/>
      <c r="I58" s="231" t="s">
        <v>302</v>
      </c>
      <c r="J58" s="76" t="s">
        <v>1034</v>
      </c>
      <c r="K58" s="76" t="s">
        <v>1033</v>
      </c>
      <c r="L58" s="76" t="s">
        <v>297</v>
      </c>
      <c r="M58" s="187">
        <v>-242</v>
      </c>
      <c r="N58" s="65"/>
      <c r="O58" s="65"/>
      <c r="P58" s="65"/>
      <c r="Q58" s="73" t="s">
        <v>171</v>
      </c>
      <c r="R58" s="188">
        <v>-242</v>
      </c>
      <c r="S58" s="188">
        <v>-242</v>
      </c>
      <c r="T58" s="2"/>
      <c r="U58" s="2"/>
      <c r="V58" s="2"/>
      <c r="W58" s="2"/>
      <c r="X58" s="2"/>
      <c r="Y58" s="2"/>
      <c r="Z58" s="2"/>
    </row>
    <row r="59" spans="1:26" s="74" customFormat="1" outlineLevel="1">
      <c r="A59" s="73" t="s">
        <v>302</v>
      </c>
      <c r="B59" s="65" t="s">
        <v>969</v>
      </c>
      <c r="C59" s="220">
        <v>60012</v>
      </c>
      <c r="D59" s="216" t="s">
        <v>971</v>
      </c>
      <c r="E59" s="215"/>
      <c r="F59" s="186">
        <v>42772</v>
      </c>
      <c r="G59" s="69"/>
      <c r="H59" s="65"/>
      <c r="I59" s="231" t="s">
        <v>302</v>
      </c>
      <c r="J59" s="76" t="s">
        <v>1034</v>
      </c>
      <c r="K59" s="76" t="s">
        <v>1033</v>
      </c>
      <c r="L59" s="76" t="s">
        <v>297</v>
      </c>
      <c r="M59" s="187">
        <v>-902.59</v>
      </c>
      <c r="N59" s="65"/>
      <c r="O59" s="65"/>
      <c r="P59" s="65"/>
      <c r="Q59" s="73" t="s">
        <v>171</v>
      </c>
      <c r="R59" s="188">
        <v>-902.59</v>
      </c>
      <c r="S59" s="188">
        <v>-902.59</v>
      </c>
      <c r="T59" s="2"/>
      <c r="U59" s="2"/>
      <c r="V59" s="2"/>
      <c r="W59" s="2"/>
      <c r="X59" s="2"/>
      <c r="Y59" s="2"/>
      <c r="Z59" s="2"/>
    </row>
    <row r="60" spans="1:26" s="74" customFormat="1" outlineLevel="1">
      <c r="A60" s="73" t="s">
        <v>302</v>
      </c>
      <c r="B60" s="65" t="s">
        <v>969</v>
      </c>
      <c r="C60" s="220">
        <v>60033</v>
      </c>
      <c r="D60" s="216" t="s">
        <v>978</v>
      </c>
      <c r="E60" s="215"/>
      <c r="F60" s="186">
        <v>42772</v>
      </c>
      <c r="G60" s="69"/>
      <c r="H60" s="65"/>
      <c r="I60" s="231" t="s">
        <v>302</v>
      </c>
      <c r="J60" s="76" t="s">
        <v>1034</v>
      </c>
      <c r="K60" s="76" t="s">
        <v>1033</v>
      </c>
      <c r="L60" s="76" t="s">
        <v>297</v>
      </c>
      <c r="M60" s="187">
        <v>-3112.54</v>
      </c>
      <c r="N60" s="65"/>
      <c r="O60" s="65"/>
      <c r="P60" s="65"/>
      <c r="Q60" s="73" t="s">
        <v>171</v>
      </c>
      <c r="R60" s="188">
        <v>-3112.54</v>
      </c>
      <c r="S60" s="188">
        <v>-3112.54</v>
      </c>
      <c r="T60" s="2"/>
      <c r="U60" s="2"/>
      <c r="V60" s="2"/>
      <c r="W60" s="2"/>
      <c r="X60" s="2"/>
      <c r="Y60" s="2"/>
      <c r="Z60" s="2"/>
    </row>
    <row r="61" spans="1:26" s="74" customFormat="1" outlineLevel="1">
      <c r="A61" s="73" t="s">
        <v>302</v>
      </c>
      <c r="B61" s="65" t="s">
        <v>969</v>
      </c>
      <c r="C61" s="220">
        <v>60028</v>
      </c>
      <c r="D61" s="216" t="s">
        <v>972</v>
      </c>
      <c r="E61" s="215"/>
      <c r="F61" s="186">
        <v>42772</v>
      </c>
      <c r="G61" s="69"/>
      <c r="H61" s="65"/>
      <c r="I61" s="231" t="s">
        <v>302</v>
      </c>
      <c r="J61" s="76" t="s">
        <v>1034</v>
      </c>
      <c r="K61" s="76" t="s">
        <v>1033</v>
      </c>
      <c r="L61" s="76" t="s">
        <v>297</v>
      </c>
      <c r="M61" s="187">
        <v>-31.98</v>
      </c>
      <c r="N61" s="65"/>
      <c r="O61" s="65"/>
      <c r="P61" s="65"/>
      <c r="Q61" s="73" t="s">
        <v>171</v>
      </c>
      <c r="R61" s="188">
        <v>-31.98</v>
      </c>
      <c r="S61" s="188">
        <v>-31.98</v>
      </c>
      <c r="T61" s="2"/>
      <c r="U61" s="2"/>
      <c r="V61" s="2"/>
      <c r="W61" s="2"/>
      <c r="X61" s="2"/>
      <c r="Y61" s="2"/>
      <c r="Z61" s="2"/>
    </row>
    <row r="62" spans="1:26" s="74" customFormat="1" outlineLevel="1">
      <c r="A62" s="73" t="s">
        <v>302</v>
      </c>
      <c r="B62" s="65" t="s">
        <v>969</v>
      </c>
      <c r="C62" s="220">
        <v>60025</v>
      </c>
      <c r="D62" s="216" t="s">
        <v>973</v>
      </c>
      <c r="E62" s="215"/>
      <c r="F62" s="186">
        <v>42772</v>
      </c>
      <c r="G62" s="69"/>
      <c r="H62" s="65"/>
      <c r="I62" s="231" t="s">
        <v>302</v>
      </c>
      <c r="J62" s="76" t="s">
        <v>1034</v>
      </c>
      <c r="K62" s="76" t="s">
        <v>1033</v>
      </c>
      <c r="L62" s="76" t="s">
        <v>297</v>
      </c>
      <c r="M62" s="187">
        <v>-13.67</v>
      </c>
      <c r="N62" s="65"/>
      <c r="O62" s="65"/>
      <c r="P62" s="65"/>
      <c r="Q62" s="73" t="s">
        <v>171</v>
      </c>
      <c r="R62" s="188">
        <v>-13.67</v>
      </c>
      <c r="S62" s="188">
        <v>-13.67</v>
      </c>
      <c r="T62" s="2"/>
      <c r="U62" s="2"/>
      <c r="V62" s="2"/>
      <c r="W62" s="2"/>
      <c r="X62" s="2"/>
      <c r="Y62" s="2"/>
      <c r="Z62" s="2"/>
    </row>
    <row r="63" spans="1:26" s="74" customFormat="1" outlineLevel="1">
      <c r="A63" s="73" t="s">
        <v>302</v>
      </c>
      <c r="B63" s="65" t="s">
        <v>969</v>
      </c>
      <c r="C63" s="220">
        <v>60039</v>
      </c>
      <c r="D63" s="216" t="s">
        <v>977</v>
      </c>
      <c r="E63" s="215"/>
      <c r="F63" s="186">
        <v>42772</v>
      </c>
      <c r="G63" s="69"/>
      <c r="H63" s="65"/>
      <c r="I63" s="231" t="s">
        <v>302</v>
      </c>
      <c r="J63" s="76" t="s">
        <v>1034</v>
      </c>
      <c r="K63" s="76" t="s">
        <v>1033</v>
      </c>
      <c r="L63" s="76" t="s">
        <v>297</v>
      </c>
      <c r="M63" s="187">
        <v>-73.87</v>
      </c>
      <c r="N63" s="65"/>
      <c r="O63" s="65"/>
      <c r="P63" s="65"/>
      <c r="Q63" s="73" t="s">
        <v>171</v>
      </c>
      <c r="R63" s="188">
        <v>-73.87</v>
      </c>
      <c r="S63" s="188">
        <v>-73.87</v>
      </c>
      <c r="T63" s="2"/>
      <c r="U63" s="2"/>
      <c r="V63" s="2"/>
      <c r="W63" s="2"/>
      <c r="X63" s="2"/>
      <c r="Y63" s="2"/>
      <c r="Z63" s="2"/>
    </row>
    <row r="64" spans="1:26" s="74" customFormat="1" outlineLevel="1">
      <c r="A64" s="73" t="s">
        <v>302</v>
      </c>
      <c r="B64" s="65" t="s">
        <v>969</v>
      </c>
      <c r="C64" s="220">
        <v>60042</v>
      </c>
      <c r="D64" s="216" t="s">
        <v>974</v>
      </c>
      <c r="E64" s="215"/>
      <c r="F64" s="186">
        <v>42773</v>
      </c>
      <c r="G64" s="69"/>
      <c r="H64" s="65"/>
      <c r="I64" s="231" t="s">
        <v>302</v>
      </c>
      <c r="J64" s="76" t="s">
        <v>1034</v>
      </c>
      <c r="K64" s="76" t="s">
        <v>1033</v>
      </c>
      <c r="L64" s="76" t="s">
        <v>297</v>
      </c>
      <c r="M64" s="187">
        <v>-75.86</v>
      </c>
      <c r="N64" s="65"/>
      <c r="O64" s="65"/>
      <c r="P64" s="65"/>
      <c r="Q64" s="73" t="s">
        <v>171</v>
      </c>
      <c r="R64" s="188">
        <v>-75.86</v>
      </c>
      <c r="S64" s="188">
        <v>-75.86</v>
      </c>
      <c r="T64" s="2"/>
      <c r="U64" s="2"/>
      <c r="V64" s="2"/>
      <c r="W64" s="2"/>
      <c r="X64" s="2"/>
      <c r="Y64" s="2"/>
      <c r="Z64" s="2"/>
    </row>
    <row r="65" spans="1:26" s="74" customFormat="1" outlineLevel="1">
      <c r="A65" s="73" t="s">
        <v>302</v>
      </c>
      <c r="B65" s="65" t="s">
        <v>969</v>
      </c>
      <c r="C65" s="220">
        <v>60015</v>
      </c>
      <c r="D65" s="216" t="s">
        <v>980</v>
      </c>
      <c r="E65" s="215"/>
      <c r="F65" s="186">
        <v>42774</v>
      </c>
      <c r="G65" s="69"/>
      <c r="H65" s="65"/>
      <c r="I65" s="231" t="s">
        <v>302</v>
      </c>
      <c r="J65" s="76" t="s">
        <v>1034</v>
      </c>
      <c r="K65" s="76" t="s">
        <v>1033</v>
      </c>
      <c r="L65" s="76" t="s">
        <v>297</v>
      </c>
      <c r="M65" s="187">
        <v>-1300</v>
      </c>
      <c r="N65" s="65"/>
      <c r="O65" s="65"/>
      <c r="P65" s="65"/>
      <c r="Q65" s="73" t="s">
        <v>171</v>
      </c>
      <c r="R65" s="188">
        <v>-1300</v>
      </c>
      <c r="S65" s="188">
        <v>-1300</v>
      </c>
      <c r="T65" s="2"/>
      <c r="U65" s="2"/>
      <c r="V65" s="2"/>
      <c r="W65" s="2"/>
      <c r="X65" s="2"/>
      <c r="Y65" s="2"/>
      <c r="Z65" s="2"/>
    </row>
    <row r="66" spans="1:26" s="74" customFormat="1" outlineLevel="1">
      <c r="A66" s="73" t="s">
        <v>302</v>
      </c>
      <c r="B66" s="65" t="s">
        <v>969</v>
      </c>
      <c r="C66" s="220">
        <v>60026</v>
      </c>
      <c r="D66" s="216" t="s">
        <v>981</v>
      </c>
      <c r="E66" s="215"/>
      <c r="F66" s="186">
        <v>42774</v>
      </c>
      <c r="G66" s="69"/>
      <c r="H66" s="65"/>
      <c r="I66" s="231" t="s">
        <v>302</v>
      </c>
      <c r="J66" s="76" t="s">
        <v>1034</v>
      </c>
      <c r="K66" s="76" t="s">
        <v>1033</v>
      </c>
      <c r="L66" s="76" t="s">
        <v>297</v>
      </c>
      <c r="M66" s="187">
        <v>-250</v>
      </c>
      <c r="N66" s="65"/>
      <c r="O66" s="65"/>
      <c r="P66" s="65"/>
      <c r="Q66" s="73" t="s">
        <v>171</v>
      </c>
      <c r="R66" s="188">
        <v>-250</v>
      </c>
      <c r="S66" s="188">
        <v>-250</v>
      </c>
      <c r="T66" s="2"/>
      <c r="U66" s="2"/>
      <c r="V66" s="2"/>
      <c r="W66" s="2"/>
      <c r="X66" s="2"/>
      <c r="Y66" s="2"/>
      <c r="Z66" s="2"/>
    </row>
    <row r="67" spans="1:26" s="74" customFormat="1" outlineLevel="1">
      <c r="A67" s="73" t="s">
        <v>302</v>
      </c>
      <c r="B67" s="65" t="s">
        <v>969</v>
      </c>
      <c r="C67" s="220">
        <v>60015</v>
      </c>
      <c r="D67" s="216" t="s">
        <v>980</v>
      </c>
      <c r="E67" s="215"/>
      <c r="F67" s="186">
        <v>42776</v>
      </c>
      <c r="G67" s="69"/>
      <c r="H67" s="65"/>
      <c r="I67" s="231" t="s">
        <v>302</v>
      </c>
      <c r="J67" s="76" t="s">
        <v>1034</v>
      </c>
      <c r="K67" s="76" t="s">
        <v>1033</v>
      </c>
      <c r="L67" s="76" t="s">
        <v>297</v>
      </c>
      <c r="M67" s="187">
        <v>-1300</v>
      </c>
      <c r="N67" s="65"/>
      <c r="O67" s="65"/>
      <c r="P67" s="65"/>
      <c r="Q67" s="73" t="s">
        <v>171</v>
      </c>
      <c r="R67" s="188">
        <v>-1300</v>
      </c>
      <c r="S67" s="188">
        <v>-1300</v>
      </c>
      <c r="T67" s="2"/>
      <c r="U67" s="2"/>
      <c r="V67" s="2"/>
      <c r="W67" s="2"/>
      <c r="X67" s="2"/>
      <c r="Y67" s="2"/>
      <c r="Z67" s="2"/>
    </row>
    <row r="68" spans="1:26" s="74" customFormat="1" outlineLevel="1">
      <c r="A68" s="73" t="s">
        <v>302</v>
      </c>
      <c r="B68" s="65" t="s">
        <v>969</v>
      </c>
      <c r="C68" s="220">
        <v>60028</v>
      </c>
      <c r="D68" s="216" t="s">
        <v>972</v>
      </c>
      <c r="E68" s="215"/>
      <c r="F68" s="186">
        <v>42776</v>
      </c>
      <c r="G68" s="69"/>
      <c r="H68" s="65"/>
      <c r="I68" s="231" t="s">
        <v>302</v>
      </c>
      <c r="J68" s="76" t="s">
        <v>1034</v>
      </c>
      <c r="K68" s="76" t="s">
        <v>1033</v>
      </c>
      <c r="L68" s="76" t="s">
        <v>297</v>
      </c>
      <c r="M68" s="187">
        <v>-17.68</v>
      </c>
      <c r="N68" s="65"/>
      <c r="O68" s="65"/>
      <c r="P68" s="65"/>
      <c r="Q68" s="73" t="s">
        <v>171</v>
      </c>
      <c r="R68" s="188">
        <v>-17.68</v>
      </c>
      <c r="S68" s="188">
        <v>-17.68</v>
      </c>
      <c r="T68" s="2"/>
      <c r="U68" s="2"/>
      <c r="V68" s="2"/>
      <c r="W68" s="2"/>
      <c r="X68" s="2"/>
      <c r="Y68" s="2"/>
      <c r="Z68" s="2"/>
    </row>
    <row r="69" spans="1:26" s="74" customFormat="1" outlineLevel="1">
      <c r="A69" s="73" t="s">
        <v>302</v>
      </c>
      <c r="B69" s="65" t="s">
        <v>969</v>
      </c>
      <c r="C69" s="220">
        <v>60028</v>
      </c>
      <c r="D69" s="216" t="s">
        <v>972</v>
      </c>
      <c r="E69" s="215"/>
      <c r="F69" s="186">
        <v>42779</v>
      </c>
      <c r="G69" s="69"/>
      <c r="H69" s="65"/>
      <c r="I69" s="231" t="s">
        <v>302</v>
      </c>
      <c r="J69" s="76" t="s">
        <v>1034</v>
      </c>
      <c r="K69" s="76" t="s">
        <v>1033</v>
      </c>
      <c r="L69" s="76" t="s">
        <v>297</v>
      </c>
      <c r="M69" s="187">
        <v>-13</v>
      </c>
      <c r="N69" s="65"/>
      <c r="O69" s="65"/>
      <c r="P69" s="65"/>
      <c r="Q69" s="73" t="s">
        <v>171</v>
      </c>
      <c r="R69" s="188">
        <v>-13</v>
      </c>
      <c r="S69" s="188">
        <v>-13</v>
      </c>
      <c r="T69" s="2"/>
      <c r="U69" s="2"/>
      <c r="V69" s="2"/>
      <c r="W69" s="2"/>
      <c r="X69" s="2"/>
      <c r="Y69" s="2"/>
      <c r="Z69" s="2"/>
    </row>
    <row r="70" spans="1:26" s="74" customFormat="1" outlineLevel="1">
      <c r="A70" s="73" t="s">
        <v>302</v>
      </c>
      <c r="B70" s="65" t="s">
        <v>969</v>
      </c>
      <c r="C70" s="220">
        <v>60028</v>
      </c>
      <c r="D70" s="216" t="s">
        <v>972</v>
      </c>
      <c r="E70" s="215"/>
      <c r="F70" s="186">
        <v>42779</v>
      </c>
      <c r="G70" s="69"/>
      <c r="H70" s="65"/>
      <c r="I70" s="231" t="s">
        <v>302</v>
      </c>
      <c r="J70" s="76" t="s">
        <v>1034</v>
      </c>
      <c r="K70" s="76" t="s">
        <v>1033</v>
      </c>
      <c r="L70" s="76" t="s">
        <v>297</v>
      </c>
      <c r="M70" s="187">
        <v>-47.98</v>
      </c>
      <c r="N70" s="65"/>
      <c r="O70" s="65"/>
      <c r="P70" s="65"/>
      <c r="Q70" s="73" t="s">
        <v>171</v>
      </c>
      <c r="R70" s="188">
        <v>-47.98</v>
      </c>
      <c r="S70" s="188">
        <v>-47.98</v>
      </c>
      <c r="T70" s="2"/>
      <c r="U70" s="2"/>
      <c r="V70" s="2"/>
      <c r="W70" s="2"/>
      <c r="X70" s="2"/>
      <c r="Y70" s="2"/>
      <c r="Z70" s="2"/>
    </row>
    <row r="71" spans="1:26" s="74" customFormat="1" outlineLevel="1">
      <c r="A71" s="73" t="s">
        <v>302</v>
      </c>
      <c r="B71" s="65" t="s">
        <v>969</v>
      </c>
      <c r="C71" s="220">
        <v>60028</v>
      </c>
      <c r="D71" s="216" t="s">
        <v>972</v>
      </c>
      <c r="E71" s="215"/>
      <c r="F71" s="186">
        <v>42779</v>
      </c>
      <c r="G71" s="69"/>
      <c r="H71" s="65"/>
      <c r="I71" s="231" t="s">
        <v>302</v>
      </c>
      <c r="J71" s="76" t="s">
        <v>1034</v>
      </c>
      <c r="K71" s="76" t="s">
        <v>1033</v>
      </c>
      <c r="L71" s="76" t="s">
        <v>297</v>
      </c>
      <c r="M71" s="187">
        <v>-122.51</v>
      </c>
      <c r="N71" s="65"/>
      <c r="O71" s="65"/>
      <c r="P71" s="65"/>
      <c r="Q71" s="73" t="s">
        <v>171</v>
      </c>
      <c r="R71" s="188">
        <v>-122.51</v>
      </c>
      <c r="S71" s="188">
        <v>-122.51</v>
      </c>
      <c r="T71" s="2"/>
      <c r="U71" s="2"/>
      <c r="V71" s="2"/>
      <c r="W71" s="2"/>
      <c r="X71" s="2"/>
      <c r="Y71" s="2"/>
      <c r="Z71" s="2"/>
    </row>
    <row r="72" spans="1:26" s="74" customFormat="1" outlineLevel="1">
      <c r="A72" s="73" t="s">
        <v>302</v>
      </c>
      <c r="B72" s="65" t="s">
        <v>969</v>
      </c>
      <c r="C72" s="220">
        <v>60039</v>
      </c>
      <c r="D72" s="216" t="s">
        <v>977</v>
      </c>
      <c r="E72" s="215"/>
      <c r="F72" s="186">
        <v>42779</v>
      </c>
      <c r="G72" s="69"/>
      <c r="H72" s="65"/>
      <c r="I72" s="231" t="s">
        <v>302</v>
      </c>
      <c r="J72" s="76" t="s">
        <v>1034</v>
      </c>
      <c r="K72" s="76" t="s">
        <v>1033</v>
      </c>
      <c r="L72" s="76" t="s">
        <v>297</v>
      </c>
      <c r="M72" s="187">
        <v>-71</v>
      </c>
      <c r="N72" s="65"/>
      <c r="O72" s="65"/>
      <c r="P72" s="65"/>
      <c r="Q72" s="73" t="s">
        <v>171</v>
      </c>
      <c r="R72" s="188">
        <v>-71</v>
      </c>
      <c r="S72" s="188">
        <v>-71</v>
      </c>
      <c r="T72" s="2"/>
      <c r="U72" s="2"/>
      <c r="V72" s="2"/>
      <c r="W72" s="2"/>
      <c r="X72" s="2"/>
      <c r="Y72" s="2"/>
      <c r="Z72" s="2"/>
    </row>
    <row r="73" spans="1:26" s="74" customFormat="1" outlineLevel="1">
      <c r="A73" s="73" t="s">
        <v>302</v>
      </c>
      <c r="B73" s="65" t="s">
        <v>969</v>
      </c>
      <c r="C73" s="220">
        <v>60025</v>
      </c>
      <c r="D73" s="216" t="s">
        <v>973</v>
      </c>
      <c r="E73" s="215"/>
      <c r="F73" s="186">
        <v>42779</v>
      </c>
      <c r="G73" s="69"/>
      <c r="H73" s="65"/>
      <c r="I73" s="231" t="s">
        <v>302</v>
      </c>
      <c r="J73" s="76" t="s">
        <v>1034</v>
      </c>
      <c r="K73" s="76" t="s">
        <v>1033</v>
      </c>
      <c r="L73" s="76" t="s">
        <v>297</v>
      </c>
      <c r="M73" s="187">
        <v>-7.39</v>
      </c>
      <c r="N73" s="65"/>
      <c r="O73" s="65"/>
      <c r="P73" s="65"/>
      <c r="Q73" s="73" t="s">
        <v>171</v>
      </c>
      <c r="R73" s="188">
        <v>-7.39</v>
      </c>
      <c r="S73" s="188">
        <v>-7.39</v>
      </c>
      <c r="T73" s="2"/>
      <c r="U73" s="2"/>
      <c r="V73" s="2"/>
      <c r="W73" s="2"/>
      <c r="X73" s="2"/>
      <c r="Y73" s="2"/>
      <c r="Z73" s="2"/>
    </row>
    <row r="74" spans="1:26" s="74" customFormat="1" outlineLevel="1">
      <c r="A74" s="73" t="s">
        <v>302</v>
      </c>
      <c r="B74" s="65" t="s">
        <v>969</v>
      </c>
      <c r="C74" s="220">
        <v>60028</v>
      </c>
      <c r="D74" s="216" t="s">
        <v>972</v>
      </c>
      <c r="E74" s="215"/>
      <c r="F74" s="186">
        <v>42779</v>
      </c>
      <c r="G74" s="69"/>
      <c r="H74" s="65"/>
      <c r="I74" s="231" t="s">
        <v>302</v>
      </c>
      <c r="J74" s="76" t="s">
        <v>1034</v>
      </c>
      <c r="K74" s="76" t="s">
        <v>1033</v>
      </c>
      <c r="L74" s="76" t="s">
        <v>297</v>
      </c>
      <c r="M74" s="187">
        <v>-23.85</v>
      </c>
      <c r="N74" s="65"/>
      <c r="O74" s="65"/>
      <c r="P74" s="65"/>
      <c r="Q74" s="73" t="s">
        <v>171</v>
      </c>
      <c r="R74" s="188">
        <v>-23.85</v>
      </c>
      <c r="S74" s="188">
        <v>-23.85</v>
      </c>
      <c r="T74" s="2"/>
      <c r="U74" s="2"/>
      <c r="V74" s="2"/>
      <c r="W74" s="2"/>
      <c r="X74" s="2"/>
      <c r="Y74" s="2"/>
      <c r="Z74" s="2"/>
    </row>
    <row r="75" spans="1:26" s="74" customFormat="1" outlineLevel="1">
      <c r="A75" s="73" t="s">
        <v>302</v>
      </c>
      <c r="B75" s="65" t="s">
        <v>969</v>
      </c>
      <c r="C75" s="220">
        <v>60028</v>
      </c>
      <c r="D75" s="216" t="s">
        <v>972</v>
      </c>
      <c r="E75" s="215"/>
      <c r="F75" s="186">
        <v>42783</v>
      </c>
      <c r="G75" s="69"/>
      <c r="H75" s="65"/>
      <c r="I75" s="231" t="s">
        <v>302</v>
      </c>
      <c r="J75" s="76" t="s">
        <v>1034</v>
      </c>
      <c r="K75" s="76" t="s">
        <v>1033</v>
      </c>
      <c r="L75" s="76" t="s">
        <v>297</v>
      </c>
      <c r="M75" s="187">
        <v>-16</v>
      </c>
      <c r="N75" s="65"/>
      <c r="O75" s="65"/>
      <c r="P75" s="65"/>
      <c r="Q75" s="73" t="s">
        <v>171</v>
      </c>
      <c r="R75" s="188">
        <v>-16</v>
      </c>
      <c r="S75" s="188">
        <v>-16</v>
      </c>
      <c r="T75" s="2"/>
      <c r="U75" s="2"/>
      <c r="V75" s="2"/>
      <c r="W75" s="2"/>
      <c r="X75" s="2"/>
      <c r="Y75" s="2"/>
      <c r="Z75" s="2"/>
    </row>
    <row r="76" spans="1:26" s="74" customFormat="1" outlineLevel="1">
      <c r="A76" s="73" t="s">
        <v>302</v>
      </c>
      <c r="B76" s="65" t="s">
        <v>969</v>
      </c>
      <c r="C76" s="220">
        <v>60042</v>
      </c>
      <c r="D76" s="216" t="s">
        <v>974</v>
      </c>
      <c r="E76" s="215"/>
      <c r="F76" s="186">
        <v>42787</v>
      </c>
      <c r="G76" s="69"/>
      <c r="H76" s="65"/>
      <c r="I76" s="231" t="s">
        <v>302</v>
      </c>
      <c r="J76" s="76" t="s">
        <v>1034</v>
      </c>
      <c r="K76" s="76" t="s">
        <v>1033</v>
      </c>
      <c r="L76" s="76" t="s">
        <v>297</v>
      </c>
      <c r="M76" s="187">
        <v>-111.28</v>
      </c>
      <c r="N76" s="65"/>
      <c r="O76" s="65"/>
      <c r="P76" s="65"/>
      <c r="Q76" s="73" t="s">
        <v>171</v>
      </c>
      <c r="R76" s="188">
        <v>-111.28</v>
      </c>
      <c r="S76" s="188">
        <v>-111.28</v>
      </c>
      <c r="T76" s="2"/>
      <c r="U76" s="2"/>
      <c r="V76" s="2"/>
      <c r="W76" s="2"/>
      <c r="X76" s="2"/>
      <c r="Y76" s="2"/>
      <c r="Z76" s="2"/>
    </row>
    <row r="77" spans="1:26" s="74" customFormat="1" outlineLevel="1">
      <c r="A77" s="73" t="s">
        <v>302</v>
      </c>
      <c r="B77" s="65" t="s">
        <v>969</v>
      </c>
      <c r="C77" s="220">
        <v>60019</v>
      </c>
      <c r="D77" s="216" t="s">
        <v>976</v>
      </c>
      <c r="E77" s="215"/>
      <c r="F77" s="186">
        <v>42787</v>
      </c>
      <c r="G77" s="69"/>
      <c r="H77" s="65"/>
      <c r="I77" s="231" t="s">
        <v>302</v>
      </c>
      <c r="J77" s="76" t="s">
        <v>1034</v>
      </c>
      <c r="K77" s="76" t="s">
        <v>1033</v>
      </c>
      <c r="L77" s="76" t="s">
        <v>297</v>
      </c>
      <c r="M77" s="187">
        <v>-197</v>
      </c>
      <c r="N77" s="65"/>
      <c r="O77" s="65"/>
      <c r="P77" s="65"/>
      <c r="Q77" s="73" t="s">
        <v>171</v>
      </c>
      <c r="R77" s="188">
        <v>-197</v>
      </c>
      <c r="S77" s="188">
        <v>-197</v>
      </c>
      <c r="T77" s="2"/>
      <c r="U77" s="2"/>
      <c r="V77" s="2"/>
      <c r="W77" s="2"/>
      <c r="X77" s="2"/>
      <c r="Y77" s="2"/>
      <c r="Z77" s="2"/>
    </row>
    <row r="78" spans="1:26" s="74" customFormat="1" outlineLevel="1">
      <c r="A78" s="73" t="s">
        <v>302</v>
      </c>
      <c r="B78" s="65" t="s">
        <v>969</v>
      </c>
      <c r="C78" s="220">
        <v>60028</v>
      </c>
      <c r="D78" s="216" t="s">
        <v>972</v>
      </c>
      <c r="E78" s="215"/>
      <c r="F78" s="186">
        <v>42787</v>
      </c>
      <c r="G78" s="69"/>
      <c r="H78" s="65"/>
      <c r="I78" s="231" t="s">
        <v>302</v>
      </c>
      <c r="J78" s="76" t="s">
        <v>1034</v>
      </c>
      <c r="K78" s="76" t="s">
        <v>1033</v>
      </c>
      <c r="L78" s="76" t="s">
        <v>297</v>
      </c>
      <c r="M78" s="187">
        <v>-40</v>
      </c>
      <c r="N78" s="65"/>
      <c r="O78" s="65"/>
      <c r="P78" s="65"/>
      <c r="Q78" s="73" t="s">
        <v>171</v>
      </c>
      <c r="R78" s="188">
        <v>-40</v>
      </c>
      <c r="S78" s="188">
        <v>-40</v>
      </c>
      <c r="T78" s="2"/>
      <c r="U78" s="2"/>
      <c r="V78" s="2"/>
      <c r="W78" s="2"/>
      <c r="X78" s="2"/>
      <c r="Y78" s="2"/>
      <c r="Z78" s="2"/>
    </row>
    <row r="79" spans="1:26" s="74" customFormat="1" outlineLevel="1">
      <c r="A79" s="73" t="s">
        <v>302</v>
      </c>
      <c r="B79" s="65" t="s">
        <v>969</v>
      </c>
      <c r="C79" s="220">
        <v>60039</v>
      </c>
      <c r="D79" s="216" t="s">
        <v>977</v>
      </c>
      <c r="E79" s="215"/>
      <c r="F79" s="186">
        <v>42787</v>
      </c>
      <c r="G79" s="69"/>
      <c r="H79" s="65"/>
      <c r="I79" s="231" t="s">
        <v>302</v>
      </c>
      <c r="J79" s="76" t="s">
        <v>1034</v>
      </c>
      <c r="K79" s="76" t="s">
        <v>1033</v>
      </c>
      <c r="L79" s="76" t="s">
        <v>297</v>
      </c>
      <c r="M79" s="187">
        <v>-65.61</v>
      </c>
      <c r="N79" s="65"/>
      <c r="O79" s="65"/>
      <c r="P79" s="65"/>
      <c r="Q79" s="73" t="s">
        <v>171</v>
      </c>
      <c r="R79" s="188">
        <v>-65.61</v>
      </c>
      <c r="S79" s="188">
        <v>-65.61</v>
      </c>
      <c r="T79" s="2"/>
      <c r="U79" s="2"/>
      <c r="V79" s="2"/>
      <c r="W79" s="2"/>
      <c r="X79" s="2"/>
      <c r="Y79" s="2"/>
      <c r="Z79" s="2"/>
    </row>
    <row r="80" spans="1:26" s="74" customFormat="1" outlineLevel="1">
      <c r="A80" s="73" t="s">
        <v>302</v>
      </c>
      <c r="B80" s="65" t="s">
        <v>969</v>
      </c>
      <c r="C80" s="220">
        <v>60028</v>
      </c>
      <c r="D80" s="216" t="s">
        <v>972</v>
      </c>
      <c r="E80" s="215"/>
      <c r="F80" s="186">
        <v>42787</v>
      </c>
      <c r="G80" s="69"/>
      <c r="H80" s="65"/>
      <c r="I80" s="231" t="s">
        <v>302</v>
      </c>
      <c r="J80" s="76" t="s">
        <v>1034</v>
      </c>
      <c r="K80" s="76" t="s">
        <v>1033</v>
      </c>
      <c r="L80" s="76" t="s">
        <v>297</v>
      </c>
      <c r="M80" s="187">
        <v>-33.47</v>
      </c>
      <c r="N80" s="65"/>
      <c r="O80" s="65"/>
      <c r="P80" s="65"/>
      <c r="Q80" s="73" t="s">
        <v>171</v>
      </c>
      <c r="R80" s="188">
        <v>-33.47</v>
      </c>
      <c r="S80" s="188">
        <v>-33.47</v>
      </c>
      <c r="T80" s="2"/>
      <c r="U80" s="2"/>
      <c r="V80" s="2"/>
      <c r="W80" s="2"/>
      <c r="X80" s="2"/>
      <c r="Y80" s="2"/>
      <c r="Z80" s="2"/>
    </row>
    <row r="81" spans="1:26" s="74" customFormat="1" outlineLevel="1">
      <c r="A81" s="73" t="s">
        <v>302</v>
      </c>
      <c r="B81" s="65" t="s">
        <v>969</v>
      </c>
      <c r="C81" s="220">
        <v>60028</v>
      </c>
      <c r="D81" s="216" t="s">
        <v>972</v>
      </c>
      <c r="E81" s="215"/>
      <c r="F81" s="186">
        <v>42787</v>
      </c>
      <c r="G81" s="69"/>
      <c r="H81" s="65"/>
      <c r="I81" s="231" t="s">
        <v>302</v>
      </c>
      <c r="J81" s="76" t="s">
        <v>1034</v>
      </c>
      <c r="K81" s="76" t="s">
        <v>1033</v>
      </c>
      <c r="L81" s="76" t="s">
        <v>297</v>
      </c>
      <c r="M81" s="187">
        <v>-131.32</v>
      </c>
      <c r="N81" s="65"/>
      <c r="O81" s="65"/>
      <c r="P81" s="65"/>
      <c r="Q81" s="73" t="s">
        <v>171</v>
      </c>
      <c r="R81" s="188">
        <v>-131.32</v>
      </c>
      <c r="S81" s="188">
        <v>-131.32</v>
      </c>
      <c r="T81" s="2"/>
      <c r="U81" s="2"/>
      <c r="V81" s="2"/>
      <c r="W81" s="2"/>
      <c r="X81" s="2"/>
      <c r="Y81" s="2"/>
      <c r="Z81" s="2"/>
    </row>
    <row r="82" spans="1:26" s="74" customFormat="1" outlineLevel="1">
      <c r="A82" s="73" t="s">
        <v>302</v>
      </c>
      <c r="B82" s="65" t="s">
        <v>969</v>
      </c>
      <c r="C82" s="220">
        <v>60042</v>
      </c>
      <c r="D82" s="216" t="s">
        <v>974</v>
      </c>
      <c r="E82" s="215"/>
      <c r="F82" s="186">
        <v>42788</v>
      </c>
      <c r="G82" s="69"/>
      <c r="H82" s="65"/>
      <c r="I82" s="231" t="s">
        <v>302</v>
      </c>
      <c r="J82" s="76" t="s">
        <v>1034</v>
      </c>
      <c r="K82" s="76" t="s">
        <v>1033</v>
      </c>
      <c r="L82" s="76" t="s">
        <v>297</v>
      </c>
      <c r="M82" s="187">
        <v>-55.21</v>
      </c>
      <c r="N82" s="65"/>
      <c r="O82" s="65"/>
      <c r="P82" s="65"/>
      <c r="Q82" s="73" t="s">
        <v>171</v>
      </c>
      <c r="R82" s="188">
        <v>-55.21</v>
      </c>
      <c r="S82" s="188">
        <v>-55.21</v>
      </c>
      <c r="T82" s="2"/>
      <c r="U82" s="2"/>
      <c r="V82" s="2"/>
      <c r="W82" s="2"/>
      <c r="X82" s="2"/>
      <c r="Y82" s="2"/>
      <c r="Z82" s="2"/>
    </row>
    <row r="83" spans="1:26" s="74" customFormat="1" outlineLevel="1">
      <c r="A83" s="73" t="s">
        <v>302</v>
      </c>
      <c r="B83" s="65" t="s">
        <v>969</v>
      </c>
      <c r="C83" s="220">
        <v>60026</v>
      </c>
      <c r="D83" s="216" t="s">
        <v>982</v>
      </c>
      <c r="E83" s="215"/>
      <c r="F83" s="186">
        <v>42790</v>
      </c>
      <c r="G83" s="69"/>
      <c r="H83" s="65"/>
      <c r="I83" s="231" t="s">
        <v>302</v>
      </c>
      <c r="J83" s="76" t="s">
        <v>1034</v>
      </c>
      <c r="K83" s="76" t="s">
        <v>1033</v>
      </c>
      <c r="L83" s="76" t="s">
        <v>297</v>
      </c>
      <c r="M83" s="187">
        <v>-162.44</v>
      </c>
      <c r="N83" s="65"/>
      <c r="O83" s="65"/>
      <c r="P83" s="65"/>
      <c r="Q83" s="73" t="s">
        <v>171</v>
      </c>
      <c r="R83" s="188">
        <v>-162.44</v>
      </c>
      <c r="S83" s="188">
        <v>-162.44</v>
      </c>
      <c r="T83" s="2"/>
      <c r="U83" s="2"/>
      <c r="V83" s="2"/>
      <c r="W83" s="2"/>
      <c r="X83" s="2"/>
      <c r="Y83" s="2"/>
      <c r="Z83" s="2"/>
    </row>
    <row r="84" spans="1:26" s="74" customFormat="1" outlineLevel="1">
      <c r="A84" s="73" t="s">
        <v>302</v>
      </c>
      <c r="B84" s="65" t="s">
        <v>969</v>
      </c>
      <c r="C84" s="220">
        <v>60027</v>
      </c>
      <c r="D84" s="216" t="s">
        <v>983</v>
      </c>
      <c r="E84" s="215"/>
      <c r="F84" s="186">
        <v>42793</v>
      </c>
      <c r="G84" s="69"/>
      <c r="H84" s="65"/>
      <c r="I84" s="231" t="s">
        <v>302</v>
      </c>
      <c r="J84" s="76" t="s">
        <v>1034</v>
      </c>
      <c r="K84" s="76" t="s">
        <v>1033</v>
      </c>
      <c r="L84" s="76" t="s">
        <v>297</v>
      </c>
      <c r="M84" s="187">
        <v>-129.37</v>
      </c>
      <c r="N84" s="65"/>
      <c r="O84" s="65"/>
      <c r="P84" s="65"/>
      <c r="Q84" s="73" t="s">
        <v>171</v>
      </c>
      <c r="R84" s="188">
        <v>-129.37</v>
      </c>
      <c r="S84" s="188">
        <v>-129.37</v>
      </c>
      <c r="T84" s="2"/>
      <c r="U84" s="2"/>
      <c r="V84" s="2"/>
      <c r="W84" s="2"/>
      <c r="X84" s="2"/>
      <c r="Y84" s="2"/>
      <c r="Z84" s="2"/>
    </row>
    <row r="85" spans="1:26" s="74" customFormat="1" outlineLevel="1">
      <c r="A85" s="73" t="s">
        <v>302</v>
      </c>
      <c r="B85" s="65" t="s">
        <v>969</v>
      </c>
      <c r="C85" s="220">
        <v>60015</v>
      </c>
      <c r="D85" s="216" t="s">
        <v>980</v>
      </c>
      <c r="E85" s="215"/>
      <c r="F85" s="186">
        <v>42794</v>
      </c>
      <c r="G85" s="69"/>
      <c r="H85" s="65"/>
      <c r="I85" s="231" t="s">
        <v>302</v>
      </c>
      <c r="J85" s="76" t="s">
        <v>1034</v>
      </c>
      <c r="K85" s="76" t="s">
        <v>1033</v>
      </c>
      <c r="L85" s="76" t="s">
        <v>297</v>
      </c>
      <c r="M85" s="187">
        <v>-200</v>
      </c>
      <c r="N85" s="65"/>
      <c r="O85" s="65"/>
      <c r="P85" s="65"/>
      <c r="Q85" s="73" t="s">
        <v>171</v>
      </c>
      <c r="R85" s="188">
        <v>-200</v>
      </c>
      <c r="S85" s="188">
        <v>-200</v>
      </c>
      <c r="T85" s="2"/>
      <c r="U85" s="2"/>
      <c r="V85" s="2"/>
      <c r="W85" s="2"/>
      <c r="X85" s="2"/>
      <c r="Y85" s="2"/>
      <c r="Z85" s="2"/>
    </row>
    <row r="86" spans="1:26" s="74" customFormat="1" outlineLevel="1">
      <c r="A86" s="73" t="s">
        <v>302</v>
      </c>
      <c r="B86" s="65" t="s">
        <v>969</v>
      </c>
      <c r="C86" s="220">
        <v>60042</v>
      </c>
      <c r="D86" s="216" t="s">
        <v>974</v>
      </c>
      <c r="E86" s="215"/>
      <c r="F86" s="186">
        <v>42794</v>
      </c>
      <c r="G86" s="69"/>
      <c r="H86" s="65"/>
      <c r="I86" s="231" t="s">
        <v>302</v>
      </c>
      <c r="J86" s="76" t="s">
        <v>1034</v>
      </c>
      <c r="K86" s="76" t="s">
        <v>1033</v>
      </c>
      <c r="L86" s="76" t="s">
        <v>297</v>
      </c>
      <c r="M86" s="187">
        <v>-122.94</v>
      </c>
      <c r="N86" s="65"/>
      <c r="O86" s="65"/>
      <c r="P86" s="65"/>
      <c r="Q86" s="73" t="s">
        <v>171</v>
      </c>
      <c r="R86" s="188">
        <v>-122.94</v>
      </c>
      <c r="S86" s="188">
        <v>-122.94</v>
      </c>
      <c r="T86" s="2"/>
      <c r="U86" s="2"/>
      <c r="V86" s="2"/>
      <c r="W86" s="2"/>
      <c r="X86" s="2"/>
      <c r="Y86" s="2"/>
      <c r="Z86" s="2"/>
    </row>
    <row r="87" spans="1:26" s="74" customFormat="1" outlineLevel="1">
      <c r="A87" s="73" t="s">
        <v>302</v>
      </c>
      <c r="B87" s="65" t="s">
        <v>969</v>
      </c>
      <c r="C87" s="220">
        <v>60042</v>
      </c>
      <c r="D87" s="216" t="s">
        <v>974</v>
      </c>
      <c r="E87" s="215"/>
      <c r="F87" s="186">
        <v>42794</v>
      </c>
      <c r="G87" s="69"/>
      <c r="H87" s="65"/>
      <c r="I87" s="231" t="s">
        <v>302</v>
      </c>
      <c r="J87" s="76" t="s">
        <v>1034</v>
      </c>
      <c r="K87" s="76" t="s">
        <v>1033</v>
      </c>
      <c r="L87" s="76" t="s">
        <v>297</v>
      </c>
      <c r="M87" s="187">
        <v>-7.99</v>
      </c>
      <c r="N87" s="65"/>
      <c r="O87" s="65"/>
      <c r="P87" s="65"/>
      <c r="Q87" s="73" t="s">
        <v>171</v>
      </c>
      <c r="R87" s="188">
        <v>-7.99</v>
      </c>
      <c r="S87" s="188">
        <v>-7.99</v>
      </c>
      <c r="T87" s="2"/>
      <c r="U87" s="2"/>
      <c r="V87" s="2"/>
      <c r="W87" s="2"/>
      <c r="X87" s="2"/>
      <c r="Y87" s="2"/>
      <c r="Z87" s="2"/>
    </row>
    <row r="88" spans="1:26" s="74" customFormat="1" outlineLevel="1">
      <c r="A88" s="73" t="s">
        <v>302</v>
      </c>
      <c r="B88" s="65" t="s">
        <v>969</v>
      </c>
      <c r="C88" s="220">
        <v>60025</v>
      </c>
      <c r="D88" s="216" t="s">
        <v>973</v>
      </c>
      <c r="E88" s="215"/>
      <c r="F88" s="186">
        <v>42794</v>
      </c>
      <c r="G88" s="69"/>
      <c r="H88" s="65"/>
      <c r="I88" s="231" t="s">
        <v>302</v>
      </c>
      <c r="J88" s="76" t="s">
        <v>1034</v>
      </c>
      <c r="K88" s="76" t="s">
        <v>1033</v>
      </c>
      <c r="L88" s="76" t="s">
        <v>297</v>
      </c>
      <c r="M88" s="187">
        <v>-69.010000000000005</v>
      </c>
      <c r="N88" s="65"/>
      <c r="O88" s="65"/>
      <c r="P88" s="65"/>
      <c r="Q88" s="73" t="s">
        <v>171</v>
      </c>
      <c r="R88" s="188">
        <v>-69.010000000000005</v>
      </c>
      <c r="S88" s="188">
        <v>-69.010000000000005</v>
      </c>
      <c r="T88" s="2"/>
      <c r="U88" s="2"/>
      <c r="V88" s="2"/>
      <c r="W88" s="2"/>
      <c r="X88" s="2"/>
      <c r="Y88" s="2"/>
      <c r="Z88" s="2"/>
    </row>
    <row r="89" spans="1:26" s="74" customFormat="1" ht="12" customHeight="1">
      <c r="A89" s="73"/>
      <c r="B89" s="65"/>
      <c r="C89" s="220"/>
      <c r="D89" s="215"/>
      <c r="E89" s="215"/>
      <c r="F89" s="68"/>
      <c r="G89" s="65"/>
      <c r="H89" s="76"/>
      <c r="I89" s="76"/>
      <c r="J89" s="76"/>
      <c r="K89" s="76"/>
      <c r="L89" s="76"/>
      <c r="M89" s="65"/>
      <c r="N89" s="65"/>
      <c r="O89" s="65"/>
      <c r="P89" s="65"/>
      <c r="Q89" s="73"/>
      <c r="R89" s="230"/>
      <c r="S89" s="230"/>
      <c r="T89" s="65"/>
      <c r="U89" s="2"/>
      <c r="V89" s="2"/>
      <c r="W89" s="2"/>
      <c r="X89" s="2"/>
      <c r="Y89" s="2"/>
      <c r="Z89" s="2"/>
    </row>
    <row r="90" spans="1:26" s="74" customFormat="1">
      <c r="A90" s="73"/>
      <c r="B90" s="65"/>
      <c r="C90" s="73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2"/>
      <c r="U90" s="2"/>
      <c r="V90" s="2"/>
      <c r="W90" s="2"/>
      <c r="X90" s="2"/>
      <c r="Y90" s="2"/>
      <c r="Z90" s="2"/>
    </row>
    <row r="91" spans="1:26" s="74" customFormat="1" ht="18" thickBot="1">
      <c r="A91" s="229" t="s">
        <v>984</v>
      </c>
      <c r="B91" s="8"/>
      <c r="C91" s="73"/>
      <c r="D91" s="65"/>
      <c r="E91" s="65"/>
      <c r="F91" s="65"/>
      <c r="G91" s="65"/>
      <c r="H91" s="65"/>
      <c r="I91" s="65"/>
      <c r="J91" s="65"/>
      <c r="K91" s="65"/>
      <c r="L91" s="65"/>
      <c r="M91" s="189">
        <v>-14825.760000000004</v>
      </c>
      <c r="N91" s="189">
        <f t="shared" ref="N91:S91" si="1">SUM(N52:N89)</f>
        <v>0</v>
      </c>
      <c r="O91" s="189">
        <f t="shared" si="1"/>
        <v>0</v>
      </c>
      <c r="P91" s="189">
        <f t="shared" si="1"/>
        <v>0</v>
      </c>
      <c r="Q91" s="189">
        <f t="shared" si="1"/>
        <v>0</v>
      </c>
      <c r="R91" s="189">
        <f t="shared" si="1"/>
        <v>-14825.760000000004</v>
      </c>
      <c r="S91" s="189">
        <f t="shared" si="1"/>
        <v>-14825.760000000004</v>
      </c>
      <c r="T91" s="2"/>
      <c r="U91" s="2"/>
      <c r="V91" s="2"/>
      <c r="W91" s="2"/>
      <c r="X91" s="2"/>
      <c r="Y91" s="2"/>
      <c r="Z91" s="2"/>
    </row>
    <row r="92" spans="1:26" s="74" customFormat="1" ht="18" thickTop="1">
      <c r="A92" s="222">
        <v>42795</v>
      </c>
      <c r="B92" s="8"/>
      <c r="C92" s="7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74" customFormat="1">
      <c r="A93" s="75"/>
      <c r="B93" s="2"/>
      <c r="C93" s="7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74" customFormat="1">
      <c r="A94" s="75"/>
      <c r="B94" s="2"/>
      <c r="C94" s="7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74" customFormat="1">
      <c r="A95" s="71" t="s">
        <v>135</v>
      </c>
      <c r="B95" s="71" t="s">
        <v>136</v>
      </c>
      <c r="C95" s="71" t="s">
        <v>158</v>
      </c>
      <c r="D95" s="71" t="s">
        <v>159</v>
      </c>
      <c r="E95" s="72" t="s">
        <v>242</v>
      </c>
      <c r="F95" s="71" t="s">
        <v>116</v>
      </c>
      <c r="G95" s="71" t="s">
        <v>160</v>
      </c>
      <c r="H95" s="71" t="s">
        <v>161</v>
      </c>
      <c r="I95" s="71" t="s">
        <v>162</v>
      </c>
      <c r="J95" s="71" t="s">
        <v>163</v>
      </c>
      <c r="K95" s="71" t="s">
        <v>1128</v>
      </c>
      <c r="L95" s="71" t="s">
        <v>164</v>
      </c>
      <c r="M95" s="71" t="s">
        <v>165</v>
      </c>
      <c r="N95" s="71" t="s">
        <v>166</v>
      </c>
      <c r="O95" s="71" t="s">
        <v>167</v>
      </c>
      <c r="P95" s="71" t="s">
        <v>168</v>
      </c>
      <c r="Q95" s="71" t="s">
        <v>169</v>
      </c>
      <c r="R95" s="71" t="s">
        <v>170</v>
      </c>
      <c r="S95" s="319" t="s">
        <v>1127</v>
      </c>
      <c r="T95" s="2"/>
      <c r="U95" s="2"/>
      <c r="V95" s="2"/>
      <c r="W95" s="2"/>
      <c r="X95" s="2"/>
      <c r="Y95" s="2"/>
      <c r="Z95" s="2"/>
    </row>
    <row r="96" spans="1:26" s="74" customFormat="1" outlineLevel="1">
      <c r="A96" s="73" t="s">
        <v>302</v>
      </c>
      <c r="B96" s="65" t="s">
        <v>969</v>
      </c>
      <c r="C96" s="220">
        <v>60012</v>
      </c>
      <c r="D96" s="216" t="s">
        <v>971</v>
      </c>
      <c r="E96" s="215"/>
      <c r="F96" s="186">
        <v>42795</v>
      </c>
      <c r="G96" s="69"/>
      <c r="H96" s="65"/>
      <c r="I96" s="231" t="s">
        <v>302</v>
      </c>
      <c r="J96" s="76" t="s">
        <v>1034</v>
      </c>
      <c r="K96" s="76" t="s">
        <v>1033</v>
      </c>
      <c r="L96" s="76" t="s">
        <v>297</v>
      </c>
      <c r="M96" s="187">
        <v>-20</v>
      </c>
      <c r="N96" s="65"/>
      <c r="O96" s="65"/>
      <c r="P96" s="65"/>
      <c r="Q96" s="73" t="s">
        <v>171</v>
      </c>
      <c r="R96" s="188">
        <v>-20</v>
      </c>
      <c r="S96" s="188">
        <v>-20</v>
      </c>
      <c r="T96" s="2"/>
      <c r="U96" s="2"/>
      <c r="V96" s="2"/>
      <c r="W96" s="2"/>
      <c r="X96" s="2"/>
      <c r="Y96" s="2"/>
      <c r="Z96" s="2"/>
    </row>
    <row r="97" spans="1:26" s="74" customFormat="1" outlineLevel="1">
      <c r="A97" s="73" t="s">
        <v>302</v>
      </c>
      <c r="B97" s="65" t="s">
        <v>969</v>
      </c>
      <c r="C97" s="220">
        <v>60039</v>
      </c>
      <c r="D97" s="216" t="s">
        <v>985</v>
      </c>
      <c r="E97" s="215"/>
      <c r="F97" s="186">
        <v>42795</v>
      </c>
      <c r="G97" s="69"/>
      <c r="H97" s="65"/>
      <c r="I97" s="231" t="s">
        <v>302</v>
      </c>
      <c r="J97" s="76" t="s">
        <v>1034</v>
      </c>
      <c r="K97" s="76" t="s">
        <v>1033</v>
      </c>
      <c r="L97" s="76" t="s">
        <v>297</v>
      </c>
      <c r="M97" s="187">
        <v>-57.49</v>
      </c>
      <c r="N97" s="65"/>
      <c r="O97" s="65"/>
      <c r="P97" s="65"/>
      <c r="Q97" s="73" t="s">
        <v>171</v>
      </c>
      <c r="R97" s="188">
        <v>-57.49</v>
      </c>
      <c r="S97" s="188">
        <v>-57.49</v>
      </c>
      <c r="T97" s="2"/>
      <c r="U97" s="2"/>
      <c r="V97" s="2"/>
      <c r="W97" s="2"/>
      <c r="X97" s="2"/>
      <c r="Y97" s="2"/>
      <c r="Z97" s="2"/>
    </row>
    <row r="98" spans="1:26" s="74" customFormat="1" outlineLevel="1">
      <c r="A98" s="73" t="s">
        <v>302</v>
      </c>
      <c r="B98" s="65" t="s">
        <v>969</v>
      </c>
      <c r="C98" s="220">
        <v>60028</v>
      </c>
      <c r="D98" s="216" t="s">
        <v>972</v>
      </c>
      <c r="E98" s="215"/>
      <c r="F98" s="186">
        <v>42795</v>
      </c>
      <c r="G98" s="69"/>
      <c r="H98" s="65"/>
      <c r="I98" s="231" t="s">
        <v>302</v>
      </c>
      <c r="J98" s="76" t="s">
        <v>1034</v>
      </c>
      <c r="K98" s="76" t="s">
        <v>1033</v>
      </c>
      <c r="L98" s="76" t="s">
        <v>297</v>
      </c>
      <c r="M98" s="187">
        <v>-35.979999999999997</v>
      </c>
      <c r="N98" s="65"/>
      <c r="O98" s="65"/>
      <c r="P98" s="65"/>
      <c r="Q98" s="73" t="s">
        <v>171</v>
      </c>
      <c r="R98" s="188">
        <v>-35.979999999999997</v>
      </c>
      <c r="S98" s="188">
        <v>-35.979999999999997</v>
      </c>
      <c r="T98" s="2"/>
      <c r="U98" s="2"/>
      <c r="V98" s="2"/>
      <c r="W98" s="2"/>
      <c r="X98" s="2"/>
      <c r="Y98" s="2"/>
      <c r="Z98" s="2"/>
    </row>
    <row r="99" spans="1:26" s="74" customFormat="1" outlineLevel="1">
      <c r="A99" s="73" t="s">
        <v>302</v>
      </c>
      <c r="B99" s="65" t="s">
        <v>969</v>
      </c>
      <c r="C99" s="220">
        <v>60015</v>
      </c>
      <c r="D99" s="216" t="s">
        <v>980</v>
      </c>
      <c r="E99" s="215"/>
      <c r="F99" s="186">
        <v>42797</v>
      </c>
      <c r="G99" s="69"/>
      <c r="H99" s="65"/>
      <c r="I99" s="231" t="s">
        <v>302</v>
      </c>
      <c r="J99" s="76" t="s">
        <v>1034</v>
      </c>
      <c r="K99" s="76" t="s">
        <v>1033</v>
      </c>
      <c r="L99" s="76" t="s">
        <v>297</v>
      </c>
      <c r="M99" s="187">
        <v>-1300</v>
      </c>
      <c r="N99" s="65"/>
      <c r="O99" s="65"/>
      <c r="P99" s="65"/>
      <c r="Q99" s="73" t="s">
        <v>171</v>
      </c>
      <c r="R99" s="188">
        <v>-1300</v>
      </c>
      <c r="S99" s="188">
        <v>-1300</v>
      </c>
      <c r="T99" s="2"/>
      <c r="U99" s="2"/>
      <c r="V99" s="2"/>
      <c r="W99" s="2"/>
      <c r="X99" s="2"/>
      <c r="Y99" s="2"/>
      <c r="Z99" s="2"/>
    </row>
    <row r="100" spans="1:26" s="74" customFormat="1" outlineLevel="1">
      <c r="A100" s="73" t="s">
        <v>302</v>
      </c>
      <c r="B100" s="65" t="s">
        <v>969</v>
      </c>
      <c r="C100" s="220">
        <v>60026</v>
      </c>
      <c r="D100" s="216" t="s">
        <v>982</v>
      </c>
      <c r="E100" s="215"/>
      <c r="F100" s="186">
        <v>42797</v>
      </c>
      <c r="G100" s="69"/>
      <c r="H100" s="65"/>
      <c r="I100" s="231" t="s">
        <v>302</v>
      </c>
      <c r="J100" s="76" t="s">
        <v>1034</v>
      </c>
      <c r="K100" s="76" t="s">
        <v>1033</v>
      </c>
      <c r="L100" s="76" t="s">
        <v>297</v>
      </c>
      <c r="M100" s="187">
        <v>-164.44</v>
      </c>
      <c r="N100" s="65"/>
      <c r="O100" s="65"/>
      <c r="P100" s="65"/>
      <c r="Q100" s="73" t="s">
        <v>171</v>
      </c>
      <c r="R100" s="188">
        <v>-164.44</v>
      </c>
      <c r="S100" s="188">
        <v>-164.44</v>
      </c>
      <c r="T100" s="2"/>
      <c r="U100" s="2"/>
      <c r="V100" s="2"/>
      <c r="W100" s="2"/>
      <c r="X100" s="2"/>
      <c r="Y100" s="2"/>
      <c r="Z100" s="2"/>
    </row>
    <row r="101" spans="1:26" s="74" customFormat="1" outlineLevel="1">
      <c r="A101" s="73" t="s">
        <v>302</v>
      </c>
      <c r="B101" s="65" t="s">
        <v>969</v>
      </c>
      <c r="C101" s="220">
        <v>60012</v>
      </c>
      <c r="D101" s="216" t="s">
        <v>971</v>
      </c>
      <c r="E101" s="215"/>
      <c r="F101" s="186">
        <v>42800</v>
      </c>
      <c r="G101" s="69"/>
      <c r="H101" s="65"/>
      <c r="I101" s="231" t="s">
        <v>302</v>
      </c>
      <c r="J101" s="76" t="s">
        <v>1034</v>
      </c>
      <c r="K101" s="76" t="s">
        <v>1033</v>
      </c>
      <c r="L101" s="76" t="s">
        <v>297</v>
      </c>
      <c r="M101" s="187">
        <v>-887.51</v>
      </c>
      <c r="N101" s="65"/>
      <c r="O101" s="65"/>
      <c r="P101" s="65"/>
      <c r="Q101" s="73" t="s">
        <v>171</v>
      </c>
      <c r="R101" s="188">
        <v>-887.51</v>
      </c>
      <c r="S101" s="188">
        <v>-887.51</v>
      </c>
      <c r="T101" s="2"/>
      <c r="U101" s="2"/>
      <c r="V101" s="2"/>
      <c r="W101" s="2"/>
      <c r="X101" s="2"/>
      <c r="Y101" s="2"/>
      <c r="Z101" s="2"/>
    </row>
    <row r="102" spans="1:26" s="74" customFormat="1" outlineLevel="1">
      <c r="A102" s="73" t="s">
        <v>302</v>
      </c>
      <c r="B102" s="65" t="s">
        <v>969</v>
      </c>
      <c r="C102" s="220">
        <v>60033</v>
      </c>
      <c r="D102" s="216" t="s">
        <v>970</v>
      </c>
      <c r="E102" s="215"/>
      <c r="F102" s="186">
        <v>42800</v>
      </c>
      <c r="G102" s="69"/>
      <c r="H102" s="65"/>
      <c r="I102" s="231" t="s">
        <v>302</v>
      </c>
      <c r="J102" s="76" t="s">
        <v>1034</v>
      </c>
      <c r="K102" s="76" t="s">
        <v>1033</v>
      </c>
      <c r="L102" s="76" t="s">
        <v>297</v>
      </c>
      <c r="M102" s="187">
        <v>-3118.03</v>
      </c>
      <c r="N102" s="65"/>
      <c r="O102" s="65"/>
      <c r="P102" s="65"/>
      <c r="Q102" s="73" t="s">
        <v>171</v>
      </c>
      <c r="R102" s="188">
        <v>-3118.03</v>
      </c>
      <c r="S102" s="188">
        <v>-3118.03</v>
      </c>
      <c r="T102" s="2"/>
      <c r="U102" s="2"/>
      <c r="V102" s="2"/>
      <c r="W102" s="2"/>
      <c r="X102" s="2"/>
      <c r="Y102" s="2"/>
      <c r="Z102" s="2"/>
    </row>
    <row r="103" spans="1:26" s="74" customFormat="1" outlineLevel="1">
      <c r="A103" s="73" t="s">
        <v>302</v>
      </c>
      <c r="B103" s="65" t="s">
        <v>969</v>
      </c>
      <c r="C103" s="220">
        <v>60042</v>
      </c>
      <c r="D103" s="216" t="s">
        <v>974</v>
      </c>
      <c r="E103" s="215"/>
      <c r="F103" s="186">
        <v>42800</v>
      </c>
      <c r="G103" s="69"/>
      <c r="H103" s="65"/>
      <c r="I103" s="231" t="s">
        <v>302</v>
      </c>
      <c r="J103" s="76" t="s">
        <v>1034</v>
      </c>
      <c r="K103" s="76" t="s">
        <v>1033</v>
      </c>
      <c r="L103" s="76" t="s">
        <v>297</v>
      </c>
      <c r="M103" s="187">
        <v>-1450.45</v>
      </c>
      <c r="N103" s="65"/>
      <c r="O103" s="65"/>
      <c r="P103" s="65"/>
      <c r="Q103" s="73" t="s">
        <v>171</v>
      </c>
      <c r="R103" s="188">
        <v>-1450.45</v>
      </c>
      <c r="S103" s="188">
        <v>-1450.45</v>
      </c>
      <c r="T103" s="2"/>
      <c r="U103" s="2"/>
      <c r="V103" s="2"/>
      <c r="W103" s="2"/>
      <c r="X103" s="2"/>
      <c r="Y103" s="2"/>
      <c r="Z103" s="2"/>
    </row>
    <row r="104" spans="1:26" s="74" customFormat="1" outlineLevel="1">
      <c r="A104" s="73" t="s">
        <v>302</v>
      </c>
      <c r="B104" s="65" t="s">
        <v>969</v>
      </c>
      <c r="C104" s="220">
        <v>60042</v>
      </c>
      <c r="D104" s="216" t="s">
        <v>974</v>
      </c>
      <c r="E104" s="215"/>
      <c r="F104" s="186">
        <v>42800</v>
      </c>
      <c r="G104" s="69"/>
      <c r="H104" s="65"/>
      <c r="I104" s="231" t="s">
        <v>302</v>
      </c>
      <c r="J104" s="76" t="s">
        <v>1034</v>
      </c>
      <c r="K104" s="76" t="s">
        <v>1033</v>
      </c>
      <c r="L104" s="76" t="s">
        <v>297</v>
      </c>
      <c r="M104" s="187">
        <v>-198.75</v>
      </c>
      <c r="N104" s="65"/>
      <c r="O104" s="65"/>
      <c r="P104" s="65"/>
      <c r="Q104" s="73" t="s">
        <v>171</v>
      </c>
      <c r="R104" s="188">
        <v>-198.75</v>
      </c>
      <c r="S104" s="188">
        <v>-198.75</v>
      </c>
      <c r="T104" s="2"/>
      <c r="U104" s="2"/>
      <c r="V104" s="2"/>
      <c r="W104" s="2"/>
      <c r="X104" s="2"/>
      <c r="Y104" s="2"/>
      <c r="Z104" s="2"/>
    </row>
    <row r="105" spans="1:26" s="74" customFormat="1" outlineLevel="1">
      <c r="A105" s="73" t="s">
        <v>302</v>
      </c>
      <c r="B105" s="65" t="s">
        <v>969</v>
      </c>
      <c r="C105" s="220">
        <v>60028</v>
      </c>
      <c r="D105" s="216" t="s">
        <v>972</v>
      </c>
      <c r="E105" s="215"/>
      <c r="F105" s="186">
        <v>42800</v>
      </c>
      <c r="G105" s="69"/>
      <c r="H105" s="65"/>
      <c r="I105" s="231" t="s">
        <v>302</v>
      </c>
      <c r="J105" s="76" t="s">
        <v>1034</v>
      </c>
      <c r="K105" s="76" t="s">
        <v>1033</v>
      </c>
      <c r="L105" s="76" t="s">
        <v>297</v>
      </c>
      <c r="M105" s="187">
        <v>-121.94</v>
      </c>
      <c r="N105" s="65"/>
      <c r="O105" s="65"/>
      <c r="P105" s="65"/>
      <c r="Q105" s="73" t="s">
        <v>171</v>
      </c>
      <c r="R105" s="188">
        <v>-121.94</v>
      </c>
      <c r="S105" s="188">
        <v>-121.94</v>
      </c>
      <c r="T105" s="2"/>
      <c r="U105" s="2"/>
      <c r="V105" s="2"/>
      <c r="W105" s="2"/>
      <c r="X105" s="2"/>
      <c r="Y105" s="2"/>
      <c r="Z105" s="2"/>
    </row>
    <row r="106" spans="1:26" s="74" customFormat="1" outlineLevel="1">
      <c r="A106" s="73" t="s">
        <v>302</v>
      </c>
      <c r="B106" s="65" t="s">
        <v>969</v>
      </c>
      <c r="C106" s="220">
        <v>60039</v>
      </c>
      <c r="D106" s="216" t="s">
        <v>985</v>
      </c>
      <c r="E106" s="215"/>
      <c r="F106" s="186">
        <v>42800</v>
      </c>
      <c r="G106" s="69"/>
      <c r="H106" s="65"/>
      <c r="I106" s="231" t="s">
        <v>302</v>
      </c>
      <c r="J106" s="76" t="s">
        <v>1034</v>
      </c>
      <c r="K106" s="76" t="s">
        <v>1033</v>
      </c>
      <c r="L106" s="76" t="s">
        <v>297</v>
      </c>
      <c r="M106" s="187">
        <v>-22.49</v>
      </c>
      <c r="N106" s="65"/>
      <c r="O106" s="65"/>
      <c r="P106" s="65"/>
      <c r="Q106" s="73" t="s">
        <v>171</v>
      </c>
      <c r="R106" s="188">
        <v>-22.49</v>
      </c>
      <c r="S106" s="188">
        <v>-22.49</v>
      </c>
      <c r="T106" s="2"/>
      <c r="U106" s="2"/>
      <c r="V106" s="2"/>
      <c r="W106" s="2"/>
      <c r="X106" s="2"/>
      <c r="Y106" s="2"/>
      <c r="Z106" s="2"/>
    </row>
    <row r="107" spans="1:26" s="74" customFormat="1" outlineLevel="1">
      <c r="A107" s="73" t="s">
        <v>302</v>
      </c>
      <c r="B107" s="65" t="s">
        <v>969</v>
      </c>
      <c r="C107" s="220">
        <v>60039</v>
      </c>
      <c r="D107" s="216" t="s">
        <v>985</v>
      </c>
      <c r="E107" s="215"/>
      <c r="F107" s="186">
        <v>42800</v>
      </c>
      <c r="G107" s="69"/>
      <c r="H107" s="65"/>
      <c r="I107" s="231" t="s">
        <v>302</v>
      </c>
      <c r="J107" s="76" t="s">
        <v>1034</v>
      </c>
      <c r="K107" s="76" t="s">
        <v>1033</v>
      </c>
      <c r="L107" s="76" t="s">
        <v>297</v>
      </c>
      <c r="M107" s="187">
        <v>-13.23</v>
      </c>
      <c r="N107" s="65"/>
      <c r="O107" s="65"/>
      <c r="P107" s="65"/>
      <c r="Q107" s="73" t="s">
        <v>171</v>
      </c>
      <c r="R107" s="188">
        <v>-13.23</v>
      </c>
      <c r="S107" s="188">
        <v>-13.23</v>
      </c>
      <c r="T107" s="2"/>
      <c r="U107" s="2"/>
      <c r="V107" s="2"/>
      <c r="W107" s="2"/>
      <c r="X107" s="2"/>
      <c r="Y107" s="2"/>
      <c r="Z107" s="2"/>
    </row>
    <row r="108" spans="1:26" s="74" customFormat="1" outlineLevel="1">
      <c r="A108" s="73" t="s">
        <v>302</v>
      </c>
      <c r="B108" s="65" t="s">
        <v>969</v>
      </c>
      <c r="C108" s="220">
        <v>60039</v>
      </c>
      <c r="D108" s="216" t="s">
        <v>985</v>
      </c>
      <c r="E108" s="215"/>
      <c r="F108" s="186">
        <v>42802</v>
      </c>
      <c r="G108" s="69"/>
      <c r="H108" s="65"/>
      <c r="I108" s="231" t="s">
        <v>302</v>
      </c>
      <c r="J108" s="76" t="s">
        <v>1034</v>
      </c>
      <c r="K108" s="76" t="s">
        <v>1033</v>
      </c>
      <c r="L108" s="76" t="s">
        <v>297</v>
      </c>
      <c r="M108" s="187">
        <v>-61.24</v>
      </c>
      <c r="N108" s="65"/>
      <c r="O108" s="65"/>
      <c r="P108" s="65"/>
      <c r="Q108" s="73" t="s">
        <v>171</v>
      </c>
      <c r="R108" s="188">
        <v>-61.24</v>
      </c>
      <c r="S108" s="188">
        <v>-61.24</v>
      </c>
      <c r="T108" s="2"/>
      <c r="U108" s="2"/>
      <c r="V108" s="2"/>
      <c r="W108" s="2"/>
      <c r="X108" s="2"/>
      <c r="Y108" s="2"/>
      <c r="Z108" s="2"/>
    </row>
    <row r="109" spans="1:26" s="74" customFormat="1" outlineLevel="1">
      <c r="A109" s="73" t="s">
        <v>302</v>
      </c>
      <c r="B109" s="65" t="s">
        <v>969</v>
      </c>
      <c r="C109" s="220">
        <v>60033</v>
      </c>
      <c r="D109" s="216" t="s">
        <v>970</v>
      </c>
      <c r="E109" s="215"/>
      <c r="F109" s="186">
        <v>42807</v>
      </c>
      <c r="G109" s="69"/>
      <c r="H109" s="65"/>
      <c r="I109" s="231" t="s">
        <v>302</v>
      </c>
      <c r="J109" s="76" t="s">
        <v>1034</v>
      </c>
      <c r="K109" s="76" t="s">
        <v>1033</v>
      </c>
      <c r="L109" s="76" t="s">
        <v>297</v>
      </c>
      <c r="M109" s="187">
        <v>-2500</v>
      </c>
      <c r="N109" s="65"/>
      <c r="O109" s="65"/>
      <c r="P109" s="65"/>
      <c r="Q109" s="73" t="s">
        <v>171</v>
      </c>
      <c r="R109" s="188">
        <v>-2500</v>
      </c>
      <c r="S109" s="188">
        <v>-2500</v>
      </c>
      <c r="T109" s="2"/>
      <c r="U109" s="2"/>
      <c r="V109" s="2"/>
      <c r="W109" s="2"/>
      <c r="X109" s="2"/>
      <c r="Y109" s="2"/>
      <c r="Z109" s="2"/>
    </row>
    <row r="110" spans="1:26" s="74" customFormat="1" outlineLevel="1">
      <c r="A110" s="73" t="s">
        <v>302</v>
      </c>
      <c r="B110" s="65" t="s">
        <v>969</v>
      </c>
      <c r="C110" s="220">
        <v>60042</v>
      </c>
      <c r="D110" s="216" t="s">
        <v>974</v>
      </c>
      <c r="E110" s="215"/>
      <c r="F110" s="186">
        <v>42815</v>
      </c>
      <c r="G110" s="69"/>
      <c r="H110" s="65"/>
      <c r="I110" s="231" t="s">
        <v>302</v>
      </c>
      <c r="J110" s="76" t="s">
        <v>1034</v>
      </c>
      <c r="K110" s="76" t="s">
        <v>1033</v>
      </c>
      <c r="L110" s="76" t="s">
        <v>297</v>
      </c>
      <c r="M110" s="187">
        <v>-111.28</v>
      </c>
      <c r="N110" s="65"/>
      <c r="O110" s="65"/>
      <c r="P110" s="65"/>
      <c r="Q110" s="73" t="s">
        <v>171</v>
      </c>
      <c r="R110" s="188">
        <v>-111.28</v>
      </c>
      <c r="S110" s="188">
        <v>-111.28</v>
      </c>
      <c r="T110" s="2"/>
      <c r="U110" s="2"/>
      <c r="V110" s="2"/>
      <c r="W110" s="2"/>
      <c r="X110" s="2"/>
      <c r="Y110" s="2"/>
      <c r="Z110" s="2"/>
    </row>
    <row r="111" spans="1:26" s="74" customFormat="1" outlineLevel="1">
      <c r="A111" s="73" t="s">
        <v>302</v>
      </c>
      <c r="B111" s="65" t="s">
        <v>969</v>
      </c>
      <c r="C111" s="220">
        <v>60012</v>
      </c>
      <c r="D111" s="216" t="s">
        <v>971</v>
      </c>
      <c r="E111" s="215"/>
      <c r="F111" s="186">
        <v>42824</v>
      </c>
      <c r="G111" s="69"/>
      <c r="H111" s="65"/>
      <c r="I111" s="231" t="s">
        <v>302</v>
      </c>
      <c r="J111" s="76" t="s">
        <v>1034</v>
      </c>
      <c r="K111" s="76" t="s">
        <v>1033</v>
      </c>
      <c r="L111" s="76" t="s">
        <v>297</v>
      </c>
      <c r="M111" s="187">
        <v>-13.1</v>
      </c>
      <c r="N111" s="65"/>
      <c r="O111" s="65"/>
      <c r="P111" s="65"/>
      <c r="Q111" s="73" t="s">
        <v>171</v>
      </c>
      <c r="R111" s="188">
        <v>-13.1</v>
      </c>
      <c r="S111" s="188">
        <v>-13.1</v>
      </c>
      <c r="T111" s="2"/>
      <c r="U111" s="2"/>
      <c r="V111" s="2"/>
      <c r="W111" s="2"/>
      <c r="X111" s="2"/>
      <c r="Y111" s="2"/>
      <c r="Z111" s="2"/>
    </row>
    <row r="112" spans="1:26" s="74" customFormat="1">
      <c r="A112" s="73"/>
      <c r="B112" s="65"/>
      <c r="C112" s="73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2"/>
      <c r="U112" s="2"/>
      <c r="V112" s="2"/>
      <c r="W112" s="2"/>
      <c r="X112" s="2"/>
      <c r="Y112" s="2"/>
      <c r="Z112" s="2"/>
    </row>
    <row r="113" spans="1:26" s="74" customFormat="1" ht="15.75" thickBot="1">
      <c r="A113" s="189"/>
      <c r="B113" s="65"/>
      <c r="C113" s="73"/>
      <c r="D113" s="65"/>
      <c r="E113" s="65"/>
      <c r="F113" s="65"/>
      <c r="G113" s="65"/>
      <c r="H113" s="65"/>
      <c r="I113" s="65"/>
      <c r="J113" s="65"/>
      <c r="K113" s="65"/>
      <c r="L113" s="65"/>
      <c r="M113" s="189"/>
      <c r="N113" s="189"/>
      <c r="O113" s="189"/>
      <c r="P113" s="189">
        <f>SUM(P96:P111)</f>
        <v>0</v>
      </c>
      <c r="Q113" s="189">
        <f>SUM(Q96:Q111)</f>
        <v>0</v>
      </c>
      <c r="R113" s="189">
        <f>SUM(R96:R111)</f>
        <v>-10075.93</v>
      </c>
      <c r="S113" s="189">
        <f>SUM(S96:S111)</f>
        <v>-10075.93</v>
      </c>
      <c r="T113" s="2"/>
      <c r="U113" s="2"/>
      <c r="V113" s="2"/>
      <c r="W113" s="2"/>
      <c r="X113" s="2"/>
      <c r="Y113" s="2"/>
      <c r="Z113" s="2"/>
    </row>
    <row r="114" spans="1:26" s="74" customFormat="1" ht="18" thickTop="1">
      <c r="A114" s="229" t="s">
        <v>984</v>
      </c>
      <c r="B114" s="8"/>
      <c r="C114" s="73"/>
      <c r="D114" s="65"/>
      <c r="E114" s="65"/>
      <c r="F114" s="65"/>
      <c r="G114" s="65"/>
      <c r="H114" s="65"/>
      <c r="I114" s="65"/>
      <c r="J114" s="65"/>
      <c r="K114" s="65"/>
      <c r="L114" s="65"/>
      <c r="M114" s="219"/>
      <c r="N114" s="219"/>
      <c r="O114" s="219"/>
      <c r="P114" s="219"/>
      <c r="Q114" s="219"/>
      <c r="R114" s="219"/>
      <c r="S114" s="219"/>
      <c r="T114" s="2"/>
      <c r="U114" s="2"/>
      <c r="V114" s="2"/>
      <c r="W114" s="2"/>
      <c r="X114" s="2"/>
      <c r="Y114" s="2"/>
      <c r="Z114" s="2"/>
    </row>
    <row r="115" spans="1:26" s="74" customFormat="1" ht="17.25">
      <c r="A115" s="222">
        <v>42826</v>
      </c>
      <c r="B115" s="8"/>
      <c r="C115" s="73"/>
      <c r="D115" s="65"/>
      <c r="E115" s="65"/>
      <c r="F115" s="65"/>
      <c r="G115" s="65"/>
      <c r="H115" s="65"/>
      <c r="I115" s="65"/>
      <c r="J115" s="65"/>
      <c r="K115" s="65"/>
      <c r="L115" s="65"/>
      <c r="M115" s="219"/>
      <c r="N115" s="219"/>
      <c r="O115" s="219"/>
      <c r="P115" s="219"/>
      <c r="Q115" s="219"/>
      <c r="R115" s="219"/>
      <c r="S115" s="219"/>
      <c r="T115" s="2"/>
      <c r="U115" s="2"/>
      <c r="V115" s="2"/>
      <c r="W115" s="2"/>
      <c r="X115" s="2"/>
      <c r="Y115" s="2"/>
      <c r="Z115" s="2"/>
    </row>
    <row r="116" spans="1:26" s="74" customFormat="1">
      <c r="A116" s="73"/>
      <c r="B116" s="65"/>
      <c r="C116" s="73"/>
      <c r="D116" s="65"/>
      <c r="E116" s="65"/>
      <c r="F116" s="65"/>
      <c r="G116" s="65"/>
      <c r="H116" s="65"/>
      <c r="I116" s="65"/>
      <c r="J116" s="65"/>
      <c r="K116" s="65"/>
      <c r="L116" s="65"/>
      <c r="M116" s="219"/>
      <c r="N116" s="219"/>
      <c r="O116" s="219"/>
      <c r="P116" s="219"/>
      <c r="Q116" s="219"/>
      <c r="R116" s="219"/>
      <c r="S116" s="219"/>
      <c r="T116" s="2"/>
      <c r="U116" s="2"/>
      <c r="V116" s="2"/>
      <c r="W116" s="2"/>
      <c r="X116" s="2"/>
      <c r="Y116" s="2"/>
      <c r="Z116" s="2"/>
    </row>
    <row r="117" spans="1:26" s="74" customFormat="1">
      <c r="A117" s="75"/>
      <c r="B117" s="2"/>
      <c r="C117" s="7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74" customFormat="1">
      <c r="A118" s="71" t="s">
        <v>135</v>
      </c>
      <c r="B118" s="71" t="s">
        <v>136</v>
      </c>
      <c r="C118" s="71" t="s">
        <v>158</v>
      </c>
      <c r="D118" s="71" t="s">
        <v>159</v>
      </c>
      <c r="E118" s="72" t="s">
        <v>242</v>
      </c>
      <c r="F118" s="71" t="s">
        <v>116</v>
      </c>
      <c r="G118" s="71" t="s">
        <v>160</v>
      </c>
      <c r="H118" s="71" t="s">
        <v>161</v>
      </c>
      <c r="I118" s="71" t="s">
        <v>162</v>
      </c>
      <c r="J118" s="71" t="s">
        <v>163</v>
      </c>
      <c r="K118" s="71" t="s">
        <v>1128</v>
      </c>
      <c r="L118" s="71" t="s">
        <v>164</v>
      </c>
      <c r="M118" s="71" t="s">
        <v>165</v>
      </c>
      <c r="N118" s="71" t="s">
        <v>166</v>
      </c>
      <c r="O118" s="71" t="s">
        <v>167</v>
      </c>
      <c r="P118" s="71" t="s">
        <v>168</v>
      </c>
      <c r="Q118" s="71" t="s">
        <v>169</v>
      </c>
      <c r="R118" s="71" t="s">
        <v>170</v>
      </c>
      <c r="S118" s="319" t="s">
        <v>1127</v>
      </c>
      <c r="T118" s="2"/>
      <c r="U118" s="2"/>
      <c r="V118" s="2"/>
      <c r="W118" s="2"/>
      <c r="X118" s="2"/>
      <c r="Y118" s="2"/>
      <c r="Z118" s="2"/>
    </row>
    <row r="119" spans="1:26" s="208" customFormat="1" outlineLevel="1">
      <c r="A119" s="73" t="s">
        <v>302</v>
      </c>
      <c r="B119" s="65" t="s">
        <v>969</v>
      </c>
      <c r="C119" s="220">
        <v>60012</v>
      </c>
      <c r="D119" s="216" t="s">
        <v>971</v>
      </c>
      <c r="E119" s="215"/>
      <c r="F119" s="186">
        <v>42828</v>
      </c>
      <c r="G119" s="69"/>
      <c r="H119" s="65"/>
      <c r="I119" s="231" t="s">
        <v>302</v>
      </c>
      <c r="J119" s="76" t="s">
        <v>1034</v>
      </c>
      <c r="K119" s="76" t="s">
        <v>1033</v>
      </c>
      <c r="L119" s="76" t="s">
        <v>297</v>
      </c>
      <c r="M119" s="187">
        <v>-20</v>
      </c>
      <c r="N119" s="65"/>
      <c r="O119" s="65"/>
      <c r="P119" s="65"/>
      <c r="Q119" s="73" t="s">
        <v>171</v>
      </c>
      <c r="R119" s="188">
        <v>-20</v>
      </c>
      <c r="S119" s="188">
        <v>-20</v>
      </c>
      <c r="T119" s="233"/>
      <c r="U119" s="233"/>
      <c r="V119" s="233"/>
      <c r="W119" s="233"/>
      <c r="X119" s="233"/>
      <c r="Y119" s="233"/>
      <c r="Z119" s="233"/>
    </row>
    <row r="120" spans="1:26" s="208" customFormat="1" outlineLevel="1">
      <c r="A120" s="73" t="s">
        <v>302</v>
      </c>
      <c r="B120" s="65" t="s">
        <v>969</v>
      </c>
      <c r="C120" s="220">
        <v>60028</v>
      </c>
      <c r="D120" s="216" t="s">
        <v>986</v>
      </c>
      <c r="E120" s="215"/>
      <c r="F120" s="186">
        <v>42828</v>
      </c>
      <c r="G120" s="69"/>
      <c r="H120" s="65"/>
      <c r="I120" s="231" t="s">
        <v>302</v>
      </c>
      <c r="J120" s="76" t="s">
        <v>1034</v>
      </c>
      <c r="K120" s="76" t="s">
        <v>1033</v>
      </c>
      <c r="L120" s="76" t="s">
        <v>297</v>
      </c>
      <c r="M120" s="187">
        <v>-25</v>
      </c>
      <c r="N120" s="65"/>
      <c r="O120" s="65"/>
      <c r="P120" s="65"/>
      <c r="Q120" s="73" t="s">
        <v>171</v>
      </c>
      <c r="R120" s="188">
        <v>-25</v>
      </c>
      <c r="S120" s="188">
        <v>-25</v>
      </c>
      <c r="T120" s="233"/>
      <c r="U120" s="233"/>
      <c r="V120" s="233"/>
      <c r="W120" s="233"/>
      <c r="X120" s="233"/>
      <c r="Y120" s="233"/>
      <c r="Z120" s="233"/>
    </row>
    <row r="121" spans="1:26" s="208" customFormat="1" outlineLevel="1">
      <c r="A121" s="73" t="s">
        <v>302</v>
      </c>
      <c r="B121" s="65" t="s">
        <v>969</v>
      </c>
      <c r="C121" s="220">
        <v>60015</v>
      </c>
      <c r="D121" s="216" t="s">
        <v>980</v>
      </c>
      <c r="E121" s="215"/>
      <c r="F121" s="186">
        <v>42829</v>
      </c>
      <c r="G121" s="69"/>
      <c r="H121" s="65"/>
      <c r="I121" s="231" t="s">
        <v>302</v>
      </c>
      <c r="J121" s="76" t="s">
        <v>1034</v>
      </c>
      <c r="K121" s="76" t="s">
        <v>1033</v>
      </c>
      <c r="L121" s="76" t="s">
        <v>297</v>
      </c>
      <c r="M121" s="187">
        <v>-1300</v>
      </c>
      <c r="N121" s="65"/>
      <c r="O121" s="65"/>
      <c r="P121" s="65"/>
      <c r="Q121" s="73" t="s">
        <v>171</v>
      </c>
      <c r="R121" s="188">
        <v>-1300</v>
      </c>
      <c r="S121" s="188">
        <v>-1300</v>
      </c>
      <c r="T121" s="233"/>
      <c r="U121" s="233"/>
      <c r="V121" s="233"/>
      <c r="W121" s="233"/>
      <c r="X121" s="233"/>
      <c r="Y121" s="233"/>
      <c r="Z121" s="233"/>
    </row>
    <row r="122" spans="1:26" s="208" customFormat="1" outlineLevel="1">
      <c r="A122" s="73" t="s">
        <v>302</v>
      </c>
      <c r="B122" s="65" t="s">
        <v>969</v>
      </c>
      <c r="C122" s="220">
        <v>60033</v>
      </c>
      <c r="D122" s="216" t="s">
        <v>970</v>
      </c>
      <c r="E122" s="215"/>
      <c r="F122" s="186">
        <v>42829</v>
      </c>
      <c r="G122" s="69"/>
      <c r="H122" s="65"/>
      <c r="I122" s="231" t="s">
        <v>302</v>
      </c>
      <c r="J122" s="76" t="s">
        <v>1034</v>
      </c>
      <c r="K122" s="76" t="s">
        <v>1033</v>
      </c>
      <c r="L122" s="76" t="s">
        <v>297</v>
      </c>
      <c r="M122" s="187">
        <v>-3112.67</v>
      </c>
      <c r="N122" s="65"/>
      <c r="O122" s="65"/>
      <c r="P122" s="65"/>
      <c r="Q122" s="73" t="s">
        <v>171</v>
      </c>
      <c r="R122" s="188">
        <v>-3112.67</v>
      </c>
      <c r="S122" s="188">
        <v>-3112.67</v>
      </c>
      <c r="T122" s="233"/>
      <c r="U122" s="233"/>
      <c r="V122" s="233"/>
      <c r="W122" s="233"/>
      <c r="X122" s="233"/>
      <c r="Y122" s="233"/>
      <c r="Z122" s="233"/>
    </row>
    <row r="123" spans="1:26" s="208" customFormat="1" outlineLevel="1">
      <c r="A123" s="73" t="s">
        <v>302</v>
      </c>
      <c r="B123" s="65" t="s">
        <v>969</v>
      </c>
      <c r="C123" s="220">
        <v>60012</v>
      </c>
      <c r="D123" s="216" t="s">
        <v>971</v>
      </c>
      <c r="E123" s="215"/>
      <c r="F123" s="186">
        <v>42830</v>
      </c>
      <c r="G123" s="69"/>
      <c r="H123" s="65"/>
      <c r="I123" s="231" t="s">
        <v>302</v>
      </c>
      <c r="J123" s="76" t="s">
        <v>1034</v>
      </c>
      <c r="K123" s="76" t="s">
        <v>1033</v>
      </c>
      <c r="L123" s="76" t="s">
        <v>297</v>
      </c>
      <c r="M123" s="187">
        <v>-1013.81</v>
      </c>
      <c r="N123" s="65"/>
      <c r="O123" s="65"/>
      <c r="P123" s="65"/>
      <c r="Q123" s="73" t="s">
        <v>171</v>
      </c>
      <c r="R123" s="188">
        <v>-1013.81</v>
      </c>
      <c r="S123" s="188">
        <v>-1013.81</v>
      </c>
      <c r="T123" s="233"/>
      <c r="U123" s="233"/>
      <c r="V123" s="233"/>
      <c r="W123" s="233"/>
      <c r="X123" s="233"/>
      <c r="Y123" s="233"/>
      <c r="Z123" s="233"/>
    </row>
    <row r="124" spans="1:26" s="208" customFormat="1" outlineLevel="1">
      <c r="A124" s="73" t="s">
        <v>302</v>
      </c>
      <c r="B124" s="65" t="s">
        <v>969</v>
      </c>
      <c r="C124" s="220">
        <v>60033</v>
      </c>
      <c r="D124" s="216" t="s">
        <v>970</v>
      </c>
      <c r="E124" s="215"/>
      <c r="F124" s="186">
        <v>42830</v>
      </c>
      <c r="G124" s="69"/>
      <c r="H124" s="65"/>
      <c r="I124" s="231" t="s">
        <v>302</v>
      </c>
      <c r="J124" s="76" t="s">
        <v>1034</v>
      </c>
      <c r="K124" s="76" t="s">
        <v>1033</v>
      </c>
      <c r="L124" s="76" t="s">
        <v>297</v>
      </c>
      <c r="M124" s="187">
        <v>-2500</v>
      </c>
      <c r="N124" s="65"/>
      <c r="O124" s="65"/>
      <c r="P124" s="65"/>
      <c r="Q124" s="73" t="s">
        <v>171</v>
      </c>
      <c r="R124" s="188">
        <v>-2500</v>
      </c>
      <c r="S124" s="188">
        <v>-2500</v>
      </c>
      <c r="T124" s="233"/>
      <c r="U124" s="233"/>
      <c r="V124" s="233"/>
      <c r="W124" s="233"/>
      <c r="X124" s="233"/>
      <c r="Y124" s="233"/>
      <c r="Z124" s="233"/>
    </row>
    <row r="125" spans="1:26" s="208" customFormat="1" outlineLevel="1">
      <c r="A125" s="73" t="s">
        <v>302</v>
      </c>
      <c r="B125" s="65" t="s">
        <v>969</v>
      </c>
      <c r="C125" s="220">
        <v>60027</v>
      </c>
      <c r="D125" s="216" t="s">
        <v>983</v>
      </c>
      <c r="E125" s="215"/>
      <c r="F125" s="186">
        <v>42830</v>
      </c>
      <c r="G125" s="69"/>
      <c r="H125" s="65"/>
      <c r="I125" s="231" t="s">
        <v>302</v>
      </c>
      <c r="J125" s="76" t="s">
        <v>1034</v>
      </c>
      <c r="K125" s="76" t="s">
        <v>1033</v>
      </c>
      <c r="L125" s="76" t="s">
        <v>297</v>
      </c>
      <c r="M125" s="187">
        <v>-155.04</v>
      </c>
      <c r="N125" s="65"/>
      <c r="O125" s="65"/>
      <c r="P125" s="65"/>
      <c r="Q125" s="73" t="s">
        <v>171</v>
      </c>
      <c r="R125" s="188">
        <v>-155.04</v>
      </c>
      <c r="S125" s="188">
        <v>-155.04</v>
      </c>
      <c r="T125" s="233"/>
      <c r="U125" s="233"/>
      <c r="V125" s="233"/>
      <c r="W125" s="233"/>
      <c r="X125" s="233"/>
      <c r="Y125" s="233"/>
      <c r="Z125" s="233"/>
    </row>
    <row r="126" spans="1:26" s="208" customFormat="1" outlineLevel="1">
      <c r="A126" s="73" t="s">
        <v>302</v>
      </c>
      <c r="B126" s="65" t="s">
        <v>969</v>
      </c>
      <c r="C126" s="220">
        <v>60039</v>
      </c>
      <c r="D126" s="216" t="s">
        <v>975</v>
      </c>
      <c r="E126" s="215"/>
      <c r="F126" s="186">
        <v>42830</v>
      </c>
      <c r="G126" s="69"/>
      <c r="H126" s="65"/>
      <c r="I126" s="231" t="s">
        <v>302</v>
      </c>
      <c r="J126" s="76" t="s">
        <v>1034</v>
      </c>
      <c r="K126" s="76" t="s">
        <v>1033</v>
      </c>
      <c r="L126" s="76" t="s">
        <v>297</v>
      </c>
      <c r="M126" s="187">
        <v>-74.61</v>
      </c>
      <c r="N126" s="65"/>
      <c r="O126" s="65"/>
      <c r="P126" s="65"/>
      <c r="Q126" s="73" t="s">
        <v>171</v>
      </c>
      <c r="R126" s="188">
        <v>-74.61</v>
      </c>
      <c r="S126" s="188">
        <v>-74.61</v>
      </c>
      <c r="T126" s="233"/>
      <c r="U126" s="233"/>
      <c r="V126" s="233"/>
      <c r="W126" s="233"/>
      <c r="X126" s="233"/>
      <c r="Y126" s="233"/>
      <c r="Z126" s="233"/>
    </row>
    <row r="127" spans="1:26" s="208" customFormat="1" outlineLevel="1">
      <c r="A127" s="73" t="s">
        <v>302</v>
      </c>
      <c r="B127" s="65" t="s">
        <v>969</v>
      </c>
      <c r="C127" s="220">
        <v>60028</v>
      </c>
      <c r="D127" s="216" t="s">
        <v>986</v>
      </c>
      <c r="E127" s="215"/>
      <c r="F127" s="186">
        <v>42835</v>
      </c>
      <c r="G127" s="69"/>
      <c r="H127" s="65"/>
      <c r="I127" s="231" t="s">
        <v>302</v>
      </c>
      <c r="J127" s="76" t="s">
        <v>1034</v>
      </c>
      <c r="K127" s="76" t="s">
        <v>1033</v>
      </c>
      <c r="L127" s="76" t="s">
        <v>297</v>
      </c>
      <c r="M127" s="187">
        <v>-109</v>
      </c>
      <c r="N127" s="65"/>
      <c r="O127" s="65"/>
      <c r="P127" s="65"/>
      <c r="Q127" s="73" t="s">
        <v>171</v>
      </c>
      <c r="R127" s="188">
        <v>-109</v>
      </c>
      <c r="S127" s="188">
        <v>-109</v>
      </c>
      <c r="T127" s="233"/>
      <c r="U127" s="233"/>
      <c r="V127" s="233"/>
      <c r="W127" s="233"/>
      <c r="X127" s="233"/>
      <c r="Y127" s="233"/>
      <c r="Z127" s="233"/>
    </row>
    <row r="128" spans="1:26" s="208" customFormat="1" outlineLevel="1">
      <c r="A128" s="73" t="s">
        <v>302</v>
      </c>
      <c r="B128" s="65" t="s">
        <v>969</v>
      </c>
      <c r="C128" s="220">
        <v>60027</v>
      </c>
      <c r="D128" s="216" t="s">
        <v>983</v>
      </c>
      <c r="E128" s="215"/>
      <c r="F128" s="186">
        <v>42835</v>
      </c>
      <c r="G128" s="69"/>
      <c r="H128" s="65"/>
      <c r="I128" s="231" t="s">
        <v>302</v>
      </c>
      <c r="J128" s="76" t="s">
        <v>1034</v>
      </c>
      <c r="K128" s="76" t="s">
        <v>1033</v>
      </c>
      <c r="L128" s="76" t="s">
        <v>297</v>
      </c>
      <c r="M128" s="187">
        <v>-62.23</v>
      </c>
      <c r="N128" s="65"/>
      <c r="O128" s="65"/>
      <c r="P128" s="65"/>
      <c r="Q128" s="73" t="s">
        <v>171</v>
      </c>
      <c r="R128" s="188">
        <v>-62.23</v>
      </c>
      <c r="S128" s="188">
        <v>-62.23</v>
      </c>
      <c r="T128" s="233"/>
      <c r="U128" s="233"/>
      <c r="V128" s="233"/>
      <c r="W128" s="233"/>
      <c r="X128" s="233"/>
      <c r="Y128" s="233"/>
      <c r="Z128" s="233"/>
    </row>
    <row r="129" spans="1:26" s="208" customFormat="1" outlineLevel="1">
      <c r="A129" s="73" t="s">
        <v>302</v>
      </c>
      <c r="B129" s="65" t="s">
        <v>969</v>
      </c>
      <c r="C129" s="220">
        <v>60028</v>
      </c>
      <c r="D129" s="216" t="s">
        <v>986</v>
      </c>
      <c r="E129" s="215"/>
      <c r="F129" s="186">
        <v>42835</v>
      </c>
      <c r="G129" s="69"/>
      <c r="H129" s="65"/>
      <c r="I129" s="231" t="s">
        <v>302</v>
      </c>
      <c r="J129" s="76" t="s">
        <v>1034</v>
      </c>
      <c r="K129" s="76" t="s">
        <v>1033</v>
      </c>
      <c r="L129" s="76" t="s">
        <v>297</v>
      </c>
      <c r="M129" s="187">
        <v>-52.47</v>
      </c>
      <c r="N129" s="65"/>
      <c r="O129" s="65"/>
      <c r="P129" s="65"/>
      <c r="Q129" s="73" t="s">
        <v>171</v>
      </c>
      <c r="R129" s="188">
        <v>-52.47</v>
      </c>
      <c r="S129" s="188">
        <v>-52.47</v>
      </c>
      <c r="T129" s="233"/>
      <c r="U129" s="233"/>
      <c r="V129" s="233"/>
      <c r="W129" s="233"/>
      <c r="X129" s="233"/>
      <c r="Y129" s="233"/>
      <c r="Z129" s="233"/>
    </row>
    <row r="130" spans="1:26" s="208" customFormat="1" outlineLevel="1">
      <c r="A130" s="73" t="s">
        <v>302</v>
      </c>
      <c r="B130" s="65" t="s">
        <v>969</v>
      </c>
      <c r="C130" s="220">
        <v>60025</v>
      </c>
      <c r="D130" s="216" t="s">
        <v>973</v>
      </c>
      <c r="E130" s="215"/>
      <c r="F130" s="186">
        <v>42836</v>
      </c>
      <c r="G130" s="69"/>
      <c r="H130" s="65"/>
      <c r="I130" s="231" t="s">
        <v>302</v>
      </c>
      <c r="J130" s="76" t="s">
        <v>1034</v>
      </c>
      <c r="K130" s="76" t="s">
        <v>1033</v>
      </c>
      <c r="L130" s="76" t="s">
        <v>297</v>
      </c>
      <c r="M130" s="187">
        <v>-57</v>
      </c>
      <c r="N130" s="65"/>
      <c r="O130" s="65"/>
      <c r="P130" s="65"/>
      <c r="Q130" s="73" t="s">
        <v>171</v>
      </c>
      <c r="R130" s="188">
        <v>-57</v>
      </c>
      <c r="S130" s="188">
        <v>-57</v>
      </c>
      <c r="T130" s="233"/>
      <c r="U130" s="233"/>
      <c r="V130" s="233"/>
      <c r="W130" s="233"/>
      <c r="X130" s="233"/>
      <c r="Y130" s="233"/>
      <c r="Z130" s="233"/>
    </row>
    <row r="131" spans="1:26" s="208" customFormat="1" outlineLevel="1">
      <c r="A131" s="73" t="s">
        <v>302</v>
      </c>
      <c r="B131" s="65" t="s">
        <v>969</v>
      </c>
      <c r="C131" s="220">
        <v>60042</v>
      </c>
      <c r="D131" s="216" t="s">
        <v>974</v>
      </c>
      <c r="E131" s="215"/>
      <c r="F131" s="186">
        <v>42838</v>
      </c>
      <c r="G131" s="69"/>
      <c r="H131" s="65"/>
      <c r="I131" s="231" t="s">
        <v>302</v>
      </c>
      <c r="J131" s="76" t="s">
        <v>1034</v>
      </c>
      <c r="K131" s="76" t="s">
        <v>1033</v>
      </c>
      <c r="L131" s="76" t="s">
        <v>297</v>
      </c>
      <c r="M131" s="187">
        <v>-838.65</v>
      </c>
      <c r="N131" s="65"/>
      <c r="O131" s="65"/>
      <c r="P131" s="65"/>
      <c r="Q131" s="73" t="s">
        <v>171</v>
      </c>
      <c r="R131" s="188">
        <v>-838.65</v>
      </c>
      <c r="S131" s="188">
        <v>-838.65</v>
      </c>
      <c r="T131" s="233"/>
      <c r="U131" s="233"/>
      <c r="V131" s="233"/>
      <c r="W131" s="233"/>
      <c r="X131" s="233"/>
      <c r="Y131" s="233"/>
      <c r="Z131" s="233"/>
    </row>
    <row r="132" spans="1:26" s="208" customFormat="1" outlineLevel="1">
      <c r="A132" s="73" t="s">
        <v>302</v>
      </c>
      <c r="B132" s="65" t="s">
        <v>969</v>
      </c>
      <c r="C132" s="220">
        <v>60022</v>
      </c>
      <c r="D132" s="216" t="s">
        <v>987</v>
      </c>
      <c r="E132" s="215"/>
      <c r="F132" s="186">
        <v>42839</v>
      </c>
      <c r="G132" s="69"/>
      <c r="H132" s="65"/>
      <c r="I132" s="231" t="s">
        <v>302</v>
      </c>
      <c r="J132" s="76" t="s">
        <v>1034</v>
      </c>
      <c r="K132" s="76" t="s">
        <v>1033</v>
      </c>
      <c r="L132" s="76" t="s">
        <v>297</v>
      </c>
      <c r="M132" s="187">
        <v>-150</v>
      </c>
      <c r="N132" s="65"/>
      <c r="O132" s="65"/>
      <c r="P132" s="65"/>
      <c r="Q132" s="73" t="s">
        <v>171</v>
      </c>
      <c r="R132" s="188">
        <v>-150</v>
      </c>
      <c r="S132" s="188">
        <v>-150</v>
      </c>
      <c r="T132" s="233"/>
      <c r="U132" s="233"/>
      <c r="V132" s="233"/>
      <c r="W132" s="233"/>
      <c r="X132" s="233"/>
      <c r="Y132" s="233"/>
      <c r="Z132" s="233"/>
    </row>
    <row r="133" spans="1:26" s="208" customFormat="1" outlineLevel="1">
      <c r="A133" s="73" t="s">
        <v>302</v>
      </c>
      <c r="B133" s="65" t="s">
        <v>969</v>
      </c>
      <c r="C133" s="220">
        <v>60026</v>
      </c>
      <c r="D133" s="216" t="s">
        <v>982</v>
      </c>
      <c r="E133" s="215"/>
      <c r="F133" s="186">
        <v>42839</v>
      </c>
      <c r="G133" s="69"/>
      <c r="H133" s="65"/>
      <c r="I133" s="231" t="s">
        <v>302</v>
      </c>
      <c r="J133" s="76" t="s">
        <v>1034</v>
      </c>
      <c r="K133" s="76" t="s">
        <v>1033</v>
      </c>
      <c r="L133" s="76" t="s">
        <v>297</v>
      </c>
      <c r="M133" s="187">
        <v>-51.6</v>
      </c>
      <c r="N133" s="65"/>
      <c r="O133" s="65"/>
      <c r="P133" s="65"/>
      <c r="Q133" s="73" t="s">
        <v>171</v>
      </c>
      <c r="R133" s="188">
        <v>-51.6</v>
      </c>
      <c r="S133" s="188">
        <v>-51.6</v>
      </c>
      <c r="T133" s="233"/>
      <c r="U133" s="233"/>
      <c r="V133" s="233"/>
      <c r="W133" s="233"/>
      <c r="X133" s="233"/>
      <c r="Y133" s="233"/>
      <c r="Z133" s="233"/>
    </row>
    <row r="134" spans="1:26" s="208" customFormat="1" outlineLevel="1">
      <c r="A134" s="73" t="s">
        <v>302</v>
      </c>
      <c r="B134" s="65" t="s">
        <v>969</v>
      </c>
      <c r="C134" s="220">
        <v>60026</v>
      </c>
      <c r="D134" s="216" t="s">
        <v>982</v>
      </c>
      <c r="E134" s="215"/>
      <c r="F134" s="186">
        <v>42839</v>
      </c>
      <c r="G134" s="69"/>
      <c r="H134" s="65"/>
      <c r="I134" s="231" t="s">
        <v>302</v>
      </c>
      <c r="J134" s="76" t="s">
        <v>1034</v>
      </c>
      <c r="K134" s="76" t="s">
        <v>1033</v>
      </c>
      <c r="L134" s="76" t="s">
        <v>297</v>
      </c>
      <c r="M134" s="187">
        <v>-196.88</v>
      </c>
      <c r="N134" s="65"/>
      <c r="O134" s="65"/>
      <c r="P134" s="65"/>
      <c r="Q134" s="73" t="s">
        <v>171</v>
      </c>
      <c r="R134" s="188">
        <v>-196.88</v>
      </c>
      <c r="S134" s="188">
        <v>-196.88</v>
      </c>
      <c r="T134" s="233"/>
      <c r="U134" s="233"/>
      <c r="V134" s="233"/>
      <c r="W134" s="233"/>
      <c r="X134" s="233"/>
      <c r="Y134" s="233"/>
      <c r="Z134" s="233"/>
    </row>
    <row r="135" spans="1:26" s="208" customFormat="1" outlineLevel="1">
      <c r="A135" s="73" t="s">
        <v>302</v>
      </c>
      <c r="B135" s="65" t="s">
        <v>969</v>
      </c>
      <c r="C135" s="220">
        <v>60039</v>
      </c>
      <c r="D135" s="216" t="s">
        <v>975</v>
      </c>
      <c r="E135" s="215"/>
      <c r="F135" s="186">
        <v>42842</v>
      </c>
      <c r="G135" s="69"/>
      <c r="H135" s="65"/>
      <c r="I135" s="231" t="s">
        <v>302</v>
      </c>
      <c r="J135" s="76" t="s">
        <v>1034</v>
      </c>
      <c r="K135" s="76" t="s">
        <v>1033</v>
      </c>
      <c r="L135" s="76" t="s">
        <v>297</v>
      </c>
      <c r="M135" s="187">
        <v>-9</v>
      </c>
      <c r="N135" s="65"/>
      <c r="O135" s="65"/>
      <c r="P135" s="65"/>
      <c r="Q135" s="73" t="s">
        <v>171</v>
      </c>
      <c r="R135" s="188">
        <v>-9</v>
      </c>
      <c r="S135" s="188">
        <v>-9</v>
      </c>
      <c r="T135" s="233"/>
      <c r="U135" s="233"/>
      <c r="V135" s="233"/>
      <c r="W135" s="233"/>
      <c r="X135" s="233"/>
      <c r="Y135" s="233"/>
      <c r="Z135" s="233"/>
    </row>
    <row r="136" spans="1:26" s="208" customFormat="1" outlineLevel="1">
      <c r="A136" s="73" t="s">
        <v>302</v>
      </c>
      <c r="B136" s="65" t="s">
        <v>969</v>
      </c>
      <c r="C136" s="220">
        <v>60028</v>
      </c>
      <c r="D136" s="216" t="s">
        <v>986</v>
      </c>
      <c r="E136" s="215"/>
      <c r="F136" s="186">
        <v>42842</v>
      </c>
      <c r="G136" s="69"/>
      <c r="H136" s="65"/>
      <c r="I136" s="231" t="s">
        <v>302</v>
      </c>
      <c r="J136" s="76" t="s">
        <v>1034</v>
      </c>
      <c r="K136" s="76" t="s">
        <v>1033</v>
      </c>
      <c r="L136" s="76" t="s">
        <v>297</v>
      </c>
      <c r="M136" s="187">
        <v>-65</v>
      </c>
      <c r="N136" s="65"/>
      <c r="O136" s="65"/>
      <c r="P136" s="65"/>
      <c r="Q136" s="73" t="s">
        <v>171</v>
      </c>
      <c r="R136" s="188">
        <v>-65</v>
      </c>
      <c r="S136" s="188">
        <v>-65</v>
      </c>
      <c r="T136" s="233"/>
      <c r="U136" s="233"/>
      <c r="V136" s="233"/>
      <c r="W136" s="233"/>
      <c r="X136" s="233"/>
      <c r="Y136" s="233"/>
      <c r="Z136" s="233"/>
    </row>
    <row r="137" spans="1:26" s="208" customFormat="1" outlineLevel="1">
      <c r="A137" s="73" t="s">
        <v>302</v>
      </c>
      <c r="B137" s="65" t="s">
        <v>969</v>
      </c>
      <c r="C137" s="220">
        <v>60028</v>
      </c>
      <c r="D137" s="216" t="s">
        <v>986</v>
      </c>
      <c r="E137" s="215"/>
      <c r="F137" s="186">
        <v>42842</v>
      </c>
      <c r="G137" s="69"/>
      <c r="H137" s="65"/>
      <c r="I137" s="231" t="s">
        <v>302</v>
      </c>
      <c r="J137" s="76" t="s">
        <v>1034</v>
      </c>
      <c r="K137" s="76" t="s">
        <v>1033</v>
      </c>
      <c r="L137" s="76" t="s">
        <v>297</v>
      </c>
      <c r="M137" s="187">
        <v>-29.65</v>
      </c>
      <c r="N137" s="65"/>
      <c r="O137" s="65"/>
      <c r="P137" s="65"/>
      <c r="Q137" s="73" t="s">
        <v>171</v>
      </c>
      <c r="R137" s="188">
        <v>-29.65</v>
      </c>
      <c r="S137" s="188">
        <v>-29.65</v>
      </c>
      <c r="T137" s="233"/>
      <c r="U137" s="233"/>
      <c r="V137" s="233"/>
      <c r="W137" s="233"/>
      <c r="X137" s="233"/>
      <c r="Y137" s="233"/>
      <c r="Z137" s="233"/>
    </row>
    <row r="138" spans="1:26" s="208" customFormat="1" outlineLevel="1">
      <c r="A138" s="73" t="s">
        <v>302</v>
      </c>
      <c r="B138" s="65" t="s">
        <v>969</v>
      </c>
      <c r="C138" s="220">
        <v>60039</v>
      </c>
      <c r="D138" s="216" t="s">
        <v>975</v>
      </c>
      <c r="E138" s="215"/>
      <c r="F138" s="186">
        <v>42842</v>
      </c>
      <c r="G138" s="69"/>
      <c r="H138" s="65"/>
      <c r="I138" s="231" t="s">
        <v>302</v>
      </c>
      <c r="J138" s="76" t="s">
        <v>1034</v>
      </c>
      <c r="K138" s="76" t="s">
        <v>1033</v>
      </c>
      <c r="L138" s="76" t="s">
        <v>297</v>
      </c>
      <c r="M138" s="187">
        <v>-72.180000000000007</v>
      </c>
      <c r="N138" s="65"/>
      <c r="O138" s="65"/>
      <c r="P138" s="65"/>
      <c r="Q138" s="73" t="s">
        <v>171</v>
      </c>
      <c r="R138" s="188">
        <v>-72.180000000000007</v>
      </c>
      <c r="S138" s="188">
        <v>-72.180000000000007</v>
      </c>
      <c r="T138" s="233"/>
      <c r="U138" s="233"/>
      <c r="V138" s="233"/>
      <c r="W138" s="233"/>
      <c r="X138" s="233"/>
      <c r="Y138" s="233"/>
      <c r="Z138" s="233"/>
    </row>
    <row r="139" spans="1:26" s="208" customFormat="1" outlineLevel="1">
      <c r="A139" s="73" t="s">
        <v>302</v>
      </c>
      <c r="B139" s="65" t="s">
        <v>969</v>
      </c>
      <c r="C139" s="220">
        <v>60042</v>
      </c>
      <c r="D139" s="216" t="s">
        <v>974</v>
      </c>
      <c r="E139" s="215"/>
      <c r="F139" s="186">
        <v>42843</v>
      </c>
      <c r="G139" s="69"/>
      <c r="H139" s="65"/>
      <c r="I139" s="231" t="s">
        <v>302</v>
      </c>
      <c r="J139" s="76" t="s">
        <v>1034</v>
      </c>
      <c r="K139" s="76" t="s">
        <v>1033</v>
      </c>
      <c r="L139" s="76" t="s">
        <v>297</v>
      </c>
      <c r="M139" s="187">
        <v>-111.28</v>
      </c>
      <c r="N139" s="65"/>
      <c r="O139" s="65"/>
      <c r="P139" s="65"/>
      <c r="Q139" s="73" t="s">
        <v>171</v>
      </c>
      <c r="R139" s="188">
        <v>-111.28</v>
      </c>
      <c r="S139" s="188">
        <v>-111.28</v>
      </c>
      <c r="T139" s="233"/>
      <c r="U139" s="233"/>
      <c r="V139" s="233"/>
      <c r="W139" s="233"/>
      <c r="X139" s="233"/>
      <c r="Y139" s="233"/>
      <c r="Z139" s="233"/>
    </row>
    <row r="140" spans="1:26" s="208" customFormat="1" outlineLevel="1">
      <c r="A140" s="73" t="s">
        <v>302</v>
      </c>
      <c r="B140" s="65" t="s">
        <v>969</v>
      </c>
      <c r="C140" s="220">
        <v>60025</v>
      </c>
      <c r="D140" s="216" t="s">
        <v>973</v>
      </c>
      <c r="E140" s="215"/>
      <c r="F140" s="186">
        <v>42843</v>
      </c>
      <c r="G140" s="69"/>
      <c r="H140" s="65"/>
      <c r="I140" s="231" t="s">
        <v>302</v>
      </c>
      <c r="J140" s="76" t="s">
        <v>1034</v>
      </c>
      <c r="K140" s="76" t="s">
        <v>1033</v>
      </c>
      <c r="L140" s="76" t="s">
        <v>297</v>
      </c>
      <c r="M140" s="187">
        <v>-56.36</v>
      </c>
      <c r="N140" s="65"/>
      <c r="O140" s="65"/>
      <c r="P140" s="65"/>
      <c r="Q140" s="73" t="s">
        <v>171</v>
      </c>
      <c r="R140" s="188">
        <v>-56.36</v>
      </c>
      <c r="S140" s="188">
        <v>-56.36</v>
      </c>
      <c r="T140" s="233"/>
      <c r="U140" s="233"/>
      <c r="V140" s="233"/>
      <c r="W140" s="233"/>
      <c r="X140" s="233"/>
      <c r="Y140" s="233"/>
      <c r="Z140" s="233"/>
    </row>
    <row r="141" spans="1:26" s="208" customFormat="1" outlineLevel="1">
      <c r="A141" s="73" t="s">
        <v>302</v>
      </c>
      <c r="B141" s="65" t="s">
        <v>969</v>
      </c>
      <c r="C141" s="220">
        <v>60027</v>
      </c>
      <c r="D141" s="216" t="s">
        <v>983</v>
      </c>
      <c r="E141" s="215"/>
      <c r="F141" s="186">
        <v>42843</v>
      </c>
      <c r="G141" s="69"/>
      <c r="H141" s="65"/>
      <c r="I141" s="231" t="s">
        <v>302</v>
      </c>
      <c r="J141" s="76" t="s">
        <v>1034</v>
      </c>
      <c r="K141" s="76" t="s">
        <v>1033</v>
      </c>
      <c r="L141" s="76" t="s">
        <v>297</v>
      </c>
      <c r="M141" s="187">
        <v>-150</v>
      </c>
      <c r="N141" s="65"/>
      <c r="O141" s="65"/>
      <c r="P141" s="65"/>
      <c r="Q141" s="73" t="s">
        <v>171</v>
      </c>
      <c r="R141" s="188">
        <v>-150</v>
      </c>
      <c r="S141" s="188">
        <v>-150</v>
      </c>
      <c r="T141" s="233"/>
      <c r="U141" s="233"/>
      <c r="V141" s="233"/>
      <c r="W141" s="233"/>
      <c r="X141" s="233"/>
      <c r="Y141" s="233"/>
      <c r="Z141" s="233"/>
    </row>
    <row r="142" spans="1:26" s="208" customFormat="1" outlineLevel="1">
      <c r="A142" s="73" t="s">
        <v>302</v>
      </c>
      <c r="B142" s="65" t="s">
        <v>969</v>
      </c>
      <c r="C142" s="220">
        <v>60037</v>
      </c>
      <c r="D142" s="216" t="s">
        <v>979</v>
      </c>
      <c r="E142" s="215"/>
      <c r="F142" s="186">
        <v>42843</v>
      </c>
      <c r="G142" s="69"/>
      <c r="H142" s="65"/>
      <c r="I142" s="231" t="s">
        <v>302</v>
      </c>
      <c r="J142" s="76" t="s">
        <v>1034</v>
      </c>
      <c r="K142" s="76" t="s">
        <v>1033</v>
      </c>
      <c r="L142" s="76" t="s">
        <v>297</v>
      </c>
      <c r="M142" s="187">
        <v>-154.97</v>
      </c>
      <c r="N142" s="65"/>
      <c r="O142" s="65"/>
      <c r="P142" s="65"/>
      <c r="Q142" s="73" t="s">
        <v>171</v>
      </c>
      <c r="R142" s="188">
        <v>-154.97</v>
      </c>
      <c r="S142" s="188">
        <v>-154.97</v>
      </c>
      <c r="T142" s="233"/>
      <c r="U142" s="233"/>
      <c r="V142" s="233"/>
      <c r="W142" s="233"/>
      <c r="X142" s="233"/>
      <c r="Y142" s="233"/>
      <c r="Z142" s="233"/>
    </row>
    <row r="143" spans="1:26" s="208" customFormat="1" outlineLevel="1">
      <c r="A143" s="73" t="s">
        <v>302</v>
      </c>
      <c r="B143" s="65" t="s">
        <v>969</v>
      </c>
      <c r="C143" s="220">
        <v>60012</v>
      </c>
      <c r="D143" s="216" t="s">
        <v>971</v>
      </c>
      <c r="E143" s="215"/>
      <c r="F143" s="186">
        <v>42844</v>
      </c>
      <c r="G143" s="69"/>
      <c r="H143" s="65"/>
      <c r="I143" s="231" t="s">
        <v>302</v>
      </c>
      <c r="J143" s="76" t="s">
        <v>1034</v>
      </c>
      <c r="K143" s="76" t="s">
        <v>1033</v>
      </c>
      <c r="L143" s="76" t="s">
        <v>297</v>
      </c>
      <c r="M143" s="187">
        <v>-93</v>
      </c>
      <c r="N143" s="65"/>
      <c r="O143" s="65"/>
      <c r="P143" s="65"/>
      <c r="Q143" s="73" t="s">
        <v>171</v>
      </c>
      <c r="R143" s="188">
        <v>-93</v>
      </c>
      <c r="S143" s="188">
        <v>-93</v>
      </c>
      <c r="T143" s="233"/>
      <c r="U143" s="233"/>
      <c r="V143" s="233"/>
      <c r="W143" s="233"/>
      <c r="X143" s="233"/>
      <c r="Y143" s="233"/>
      <c r="Z143" s="233"/>
    </row>
    <row r="144" spans="1:26" s="208" customFormat="1" outlineLevel="1">
      <c r="A144" s="73" t="s">
        <v>302</v>
      </c>
      <c r="B144" s="65" t="s">
        <v>969</v>
      </c>
      <c r="C144" s="220">
        <v>60028</v>
      </c>
      <c r="D144" s="216" t="s">
        <v>986</v>
      </c>
      <c r="E144" s="215"/>
      <c r="F144" s="186">
        <v>42845</v>
      </c>
      <c r="G144" s="69"/>
      <c r="H144" s="65"/>
      <c r="I144" s="231" t="s">
        <v>302</v>
      </c>
      <c r="J144" s="76" t="s">
        <v>1034</v>
      </c>
      <c r="K144" s="76" t="s">
        <v>1033</v>
      </c>
      <c r="L144" s="76" t="s">
        <v>297</v>
      </c>
      <c r="M144" s="187">
        <v>-11</v>
      </c>
      <c r="N144" s="65"/>
      <c r="O144" s="65"/>
      <c r="P144" s="65"/>
      <c r="Q144" s="73" t="s">
        <v>171</v>
      </c>
      <c r="R144" s="188">
        <v>-11</v>
      </c>
      <c r="S144" s="188">
        <v>-11</v>
      </c>
      <c r="T144" s="233"/>
      <c r="U144" s="233"/>
      <c r="V144" s="233"/>
      <c r="W144" s="233"/>
      <c r="X144" s="233"/>
      <c r="Y144" s="233"/>
      <c r="Z144" s="233"/>
    </row>
    <row r="145" spans="1:26" s="208" customFormat="1" outlineLevel="1">
      <c r="A145" s="73" t="s">
        <v>302</v>
      </c>
      <c r="B145" s="65" t="s">
        <v>969</v>
      </c>
      <c r="C145" s="220">
        <v>60025</v>
      </c>
      <c r="D145" s="216" t="s">
        <v>973</v>
      </c>
      <c r="E145" s="215"/>
      <c r="F145" s="186">
        <v>42845</v>
      </c>
      <c r="G145" s="69"/>
      <c r="H145" s="65"/>
      <c r="I145" s="231" t="s">
        <v>302</v>
      </c>
      <c r="J145" s="76" t="s">
        <v>1034</v>
      </c>
      <c r="K145" s="76" t="s">
        <v>1033</v>
      </c>
      <c r="L145" s="76" t="s">
        <v>297</v>
      </c>
      <c r="M145" s="187">
        <v>-20.05</v>
      </c>
      <c r="N145" s="65"/>
      <c r="O145" s="65"/>
      <c r="P145" s="65"/>
      <c r="Q145" s="73" t="s">
        <v>171</v>
      </c>
      <c r="R145" s="188">
        <v>-20.05</v>
      </c>
      <c r="S145" s="188">
        <v>-20.05</v>
      </c>
      <c r="T145" s="233"/>
      <c r="U145" s="233"/>
      <c r="V145" s="233"/>
      <c r="W145" s="233"/>
      <c r="X145" s="233"/>
      <c r="Y145" s="233"/>
      <c r="Z145" s="233"/>
    </row>
    <row r="146" spans="1:26" s="208" customFormat="1" outlineLevel="1">
      <c r="A146" s="73" t="s">
        <v>302</v>
      </c>
      <c r="B146" s="65" t="s">
        <v>969</v>
      </c>
      <c r="C146" s="220">
        <v>60025</v>
      </c>
      <c r="D146" s="216" t="s">
        <v>973</v>
      </c>
      <c r="E146" s="215"/>
      <c r="F146" s="186">
        <v>42846</v>
      </c>
      <c r="G146" s="69"/>
      <c r="H146" s="65"/>
      <c r="I146" s="231" t="s">
        <v>302</v>
      </c>
      <c r="J146" s="76" t="s">
        <v>1034</v>
      </c>
      <c r="K146" s="76" t="s">
        <v>1033</v>
      </c>
      <c r="L146" s="76" t="s">
        <v>297</v>
      </c>
      <c r="M146" s="187">
        <v>-45</v>
      </c>
      <c r="N146" s="65"/>
      <c r="O146" s="65"/>
      <c r="P146" s="65"/>
      <c r="Q146" s="73" t="s">
        <v>171</v>
      </c>
      <c r="R146" s="188">
        <v>-45</v>
      </c>
      <c r="S146" s="188">
        <v>-45</v>
      </c>
      <c r="T146" s="233"/>
      <c r="U146" s="233"/>
      <c r="V146" s="233"/>
      <c r="W146" s="233"/>
      <c r="X146" s="233"/>
      <c r="Y146" s="233"/>
      <c r="Z146" s="233"/>
    </row>
    <row r="147" spans="1:26" s="208" customFormat="1" outlineLevel="1">
      <c r="A147" s="73" t="s">
        <v>302</v>
      </c>
      <c r="B147" s="65" t="s">
        <v>969</v>
      </c>
      <c r="C147" s="220">
        <v>60027</v>
      </c>
      <c r="D147" s="216" t="s">
        <v>983</v>
      </c>
      <c r="E147" s="215"/>
      <c r="F147" s="186">
        <v>42849</v>
      </c>
      <c r="G147" s="69"/>
      <c r="H147" s="65"/>
      <c r="I147" s="231" t="s">
        <v>302</v>
      </c>
      <c r="J147" s="76" t="s">
        <v>1034</v>
      </c>
      <c r="K147" s="76" t="s">
        <v>1033</v>
      </c>
      <c r="L147" s="76" t="s">
        <v>297</v>
      </c>
      <c r="M147" s="187">
        <v>-700</v>
      </c>
      <c r="N147" s="65"/>
      <c r="O147" s="65"/>
      <c r="P147" s="65"/>
      <c r="Q147" s="73" t="s">
        <v>171</v>
      </c>
      <c r="R147" s="188">
        <v>-700</v>
      </c>
      <c r="S147" s="188">
        <v>-700</v>
      </c>
      <c r="T147" s="233"/>
      <c r="U147" s="233"/>
      <c r="V147" s="233"/>
      <c r="W147" s="233"/>
      <c r="X147" s="233"/>
      <c r="Y147" s="233"/>
      <c r="Z147" s="233"/>
    </row>
    <row r="148" spans="1:26" s="208" customFormat="1" outlineLevel="1">
      <c r="A148" s="73" t="s">
        <v>302</v>
      </c>
      <c r="B148" s="65" t="s">
        <v>969</v>
      </c>
      <c r="C148" s="220">
        <v>60028</v>
      </c>
      <c r="D148" s="216" t="s">
        <v>986</v>
      </c>
      <c r="E148" s="215"/>
      <c r="F148" s="186">
        <v>42849</v>
      </c>
      <c r="G148" s="69"/>
      <c r="H148" s="65"/>
      <c r="I148" s="231" t="s">
        <v>302</v>
      </c>
      <c r="J148" s="76" t="s">
        <v>1034</v>
      </c>
      <c r="K148" s="76" t="s">
        <v>1033</v>
      </c>
      <c r="L148" s="76" t="s">
        <v>297</v>
      </c>
      <c r="M148" s="187">
        <v>-38.14</v>
      </c>
      <c r="N148" s="65"/>
      <c r="O148" s="65"/>
      <c r="P148" s="65"/>
      <c r="Q148" s="73" t="s">
        <v>171</v>
      </c>
      <c r="R148" s="188">
        <v>-38.14</v>
      </c>
      <c r="S148" s="188">
        <v>-38.14</v>
      </c>
      <c r="T148" s="233"/>
      <c r="U148" s="233"/>
      <c r="V148" s="233"/>
      <c r="W148" s="233"/>
      <c r="X148" s="233"/>
      <c r="Y148" s="233"/>
      <c r="Z148" s="233"/>
    </row>
    <row r="149" spans="1:26" s="208" customFormat="1" outlineLevel="1">
      <c r="A149" s="73" t="s">
        <v>302</v>
      </c>
      <c r="B149" s="65" t="s">
        <v>969</v>
      </c>
      <c r="C149" s="220">
        <v>60025</v>
      </c>
      <c r="D149" s="216" t="s">
        <v>973</v>
      </c>
      <c r="E149" s="215"/>
      <c r="F149" s="186">
        <v>42849</v>
      </c>
      <c r="G149" s="69"/>
      <c r="H149" s="65"/>
      <c r="I149" s="231" t="s">
        <v>302</v>
      </c>
      <c r="J149" s="76" t="s">
        <v>1034</v>
      </c>
      <c r="K149" s="76" t="s">
        <v>1033</v>
      </c>
      <c r="L149" s="76" t="s">
        <v>297</v>
      </c>
      <c r="M149" s="187">
        <v>-35.9</v>
      </c>
      <c r="N149" s="65"/>
      <c r="O149" s="65"/>
      <c r="P149" s="65"/>
      <c r="Q149" s="73" t="s">
        <v>171</v>
      </c>
      <c r="R149" s="188">
        <v>-35.9</v>
      </c>
      <c r="S149" s="188">
        <v>-35.9</v>
      </c>
      <c r="T149" s="233"/>
      <c r="U149" s="233"/>
      <c r="V149" s="233"/>
      <c r="W149" s="233"/>
      <c r="X149" s="233"/>
      <c r="Y149" s="233"/>
      <c r="Z149" s="233"/>
    </row>
    <row r="150" spans="1:26" s="208" customFormat="1" outlineLevel="1">
      <c r="A150" s="73" t="s">
        <v>302</v>
      </c>
      <c r="B150" s="65" t="s">
        <v>969</v>
      </c>
      <c r="C150" s="220">
        <v>60037</v>
      </c>
      <c r="D150" s="216" t="s">
        <v>979</v>
      </c>
      <c r="E150" s="215"/>
      <c r="F150" s="186">
        <v>42849</v>
      </c>
      <c r="G150" s="69"/>
      <c r="H150" s="65"/>
      <c r="I150" s="231" t="s">
        <v>302</v>
      </c>
      <c r="J150" s="76" t="s">
        <v>1034</v>
      </c>
      <c r="K150" s="76" t="s">
        <v>1033</v>
      </c>
      <c r="L150" s="76" t="s">
        <v>297</v>
      </c>
      <c r="M150" s="187">
        <v>-46.86</v>
      </c>
      <c r="N150" s="65"/>
      <c r="O150" s="65"/>
      <c r="P150" s="65"/>
      <c r="Q150" s="73" t="s">
        <v>171</v>
      </c>
      <c r="R150" s="188">
        <v>-46.86</v>
      </c>
      <c r="S150" s="188">
        <v>-46.86</v>
      </c>
      <c r="T150" s="233"/>
      <c r="U150" s="233"/>
      <c r="V150" s="233"/>
      <c r="W150" s="233"/>
      <c r="X150" s="233"/>
      <c r="Y150" s="233"/>
      <c r="Z150" s="233"/>
    </row>
    <row r="151" spans="1:26" s="208" customFormat="1" outlineLevel="1">
      <c r="A151" s="73" t="s">
        <v>302</v>
      </c>
      <c r="B151" s="65" t="s">
        <v>969</v>
      </c>
      <c r="C151" s="220">
        <v>60037</v>
      </c>
      <c r="D151" s="216" t="s">
        <v>979</v>
      </c>
      <c r="E151" s="215"/>
      <c r="F151" s="186">
        <v>42849</v>
      </c>
      <c r="G151" s="69"/>
      <c r="H151" s="65"/>
      <c r="I151" s="231" t="s">
        <v>302</v>
      </c>
      <c r="J151" s="76" t="s">
        <v>1034</v>
      </c>
      <c r="K151" s="76" t="s">
        <v>1033</v>
      </c>
      <c r="L151" s="76" t="s">
        <v>297</v>
      </c>
      <c r="M151" s="187">
        <v>-11.79</v>
      </c>
      <c r="N151" s="65"/>
      <c r="O151" s="65"/>
      <c r="P151" s="65"/>
      <c r="Q151" s="73" t="s">
        <v>171</v>
      </c>
      <c r="R151" s="188">
        <v>-11.79</v>
      </c>
      <c r="S151" s="188">
        <v>-11.79</v>
      </c>
      <c r="T151" s="233"/>
      <c r="U151" s="233"/>
      <c r="V151" s="233"/>
      <c r="W151" s="233"/>
      <c r="X151" s="233"/>
      <c r="Y151" s="233"/>
      <c r="Z151" s="233"/>
    </row>
    <row r="152" spans="1:26" s="208" customFormat="1" outlineLevel="1">
      <c r="A152" s="73" t="s">
        <v>302</v>
      </c>
      <c r="B152" s="65" t="s">
        <v>969</v>
      </c>
      <c r="C152" s="220">
        <v>60025</v>
      </c>
      <c r="D152" s="216" t="s">
        <v>973</v>
      </c>
      <c r="E152" s="215"/>
      <c r="F152" s="186">
        <v>42849</v>
      </c>
      <c r="G152" s="69"/>
      <c r="H152" s="65"/>
      <c r="I152" s="231" t="s">
        <v>302</v>
      </c>
      <c r="J152" s="76" t="s">
        <v>1034</v>
      </c>
      <c r="K152" s="76" t="s">
        <v>1033</v>
      </c>
      <c r="L152" s="76" t="s">
        <v>297</v>
      </c>
      <c r="M152" s="187">
        <v>-50.8</v>
      </c>
      <c r="N152" s="65"/>
      <c r="O152" s="65"/>
      <c r="P152" s="65"/>
      <c r="Q152" s="73" t="s">
        <v>171</v>
      </c>
      <c r="R152" s="188">
        <v>-50.8</v>
      </c>
      <c r="S152" s="188">
        <v>-50.8</v>
      </c>
      <c r="T152" s="233"/>
      <c r="U152" s="233"/>
      <c r="V152" s="233"/>
      <c r="W152" s="233"/>
      <c r="X152" s="233"/>
      <c r="Y152" s="233"/>
      <c r="Z152" s="233"/>
    </row>
    <row r="153" spans="1:26" s="208" customFormat="1" outlineLevel="1">
      <c r="A153" s="73" t="s">
        <v>302</v>
      </c>
      <c r="B153" s="65" t="s">
        <v>969</v>
      </c>
      <c r="C153" s="220">
        <v>60039</v>
      </c>
      <c r="D153" s="216" t="s">
        <v>975</v>
      </c>
      <c r="E153" s="215"/>
      <c r="F153" s="186">
        <v>42849</v>
      </c>
      <c r="G153" s="69"/>
      <c r="H153" s="65"/>
      <c r="I153" s="231" t="s">
        <v>302</v>
      </c>
      <c r="J153" s="76" t="s">
        <v>1034</v>
      </c>
      <c r="K153" s="76" t="s">
        <v>1033</v>
      </c>
      <c r="L153" s="76" t="s">
        <v>297</v>
      </c>
      <c r="M153" s="187">
        <v>-75</v>
      </c>
      <c r="N153" s="65"/>
      <c r="O153" s="65"/>
      <c r="P153" s="65"/>
      <c r="Q153" s="73" t="s">
        <v>171</v>
      </c>
      <c r="R153" s="188">
        <v>-75</v>
      </c>
      <c r="S153" s="188">
        <v>-75</v>
      </c>
      <c r="T153" s="233"/>
      <c r="U153" s="233"/>
      <c r="V153" s="233"/>
      <c r="W153" s="233"/>
      <c r="X153" s="233"/>
      <c r="Y153" s="233"/>
      <c r="Z153" s="233"/>
    </row>
    <row r="154" spans="1:26" s="208" customFormat="1" outlineLevel="1">
      <c r="A154" s="73" t="s">
        <v>302</v>
      </c>
      <c r="B154" s="65" t="s">
        <v>969</v>
      </c>
      <c r="C154" s="220">
        <v>60015</v>
      </c>
      <c r="D154" s="216" t="s">
        <v>980</v>
      </c>
      <c r="E154" s="215"/>
      <c r="F154" s="186">
        <v>42850</v>
      </c>
      <c r="G154" s="69"/>
      <c r="H154" s="65"/>
      <c r="I154" s="231" t="s">
        <v>302</v>
      </c>
      <c r="J154" s="76" t="s">
        <v>1034</v>
      </c>
      <c r="K154" s="76" t="s">
        <v>1033</v>
      </c>
      <c r="L154" s="76" t="s">
        <v>297</v>
      </c>
      <c r="M154" s="187">
        <v>-700</v>
      </c>
      <c r="N154" s="65"/>
      <c r="O154" s="65"/>
      <c r="P154" s="65"/>
      <c r="Q154" s="73" t="s">
        <v>171</v>
      </c>
      <c r="R154" s="188">
        <v>-700</v>
      </c>
      <c r="S154" s="188">
        <v>-700</v>
      </c>
      <c r="T154" s="233"/>
      <c r="U154" s="233"/>
      <c r="V154" s="233"/>
      <c r="W154" s="233"/>
      <c r="X154" s="233"/>
      <c r="Y154" s="233"/>
      <c r="Z154" s="233"/>
    </row>
    <row r="155" spans="1:26" s="208" customFormat="1" outlineLevel="1">
      <c r="A155" s="73" t="s">
        <v>302</v>
      </c>
      <c r="B155" s="65" t="s">
        <v>969</v>
      </c>
      <c r="C155" s="220">
        <v>60028</v>
      </c>
      <c r="D155" s="216" t="s">
        <v>986</v>
      </c>
      <c r="E155" s="215"/>
      <c r="F155" s="186">
        <v>42850</v>
      </c>
      <c r="G155" s="69"/>
      <c r="H155" s="65"/>
      <c r="I155" s="231" t="s">
        <v>302</v>
      </c>
      <c r="J155" s="76" t="s">
        <v>1034</v>
      </c>
      <c r="K155" s="76" t="s">
        <v>1033</v>
      </c>
      <c r="L155" s="76" t="s">
        <v>297</v>
      </c>
      <c r="M155" s="187">
        <v>-22</v>
      </c>
      <c r="N155" s="65"/>
      <c r="O155" s="65"/>
      <c r="P155" s="65"/>
      <c r="Q155" s="73" t="s">
        <v>171</v>
      </c>
      <c r="R155" s="188">
        <v>-22</v>
      </c>
      <c r="S155" s="188">
        <v>-22</v>
      </c>
      <c r="T155" s="233"/>
      <c r="U155" s="233"/>
      <c r="V155" s="233"/>
      <c r="W155" s="233"/>
      <c r="X155" s="233"/>
      <c r="Y155" s="233"/>
      <c r="Z155" s="233"/>
    </row>
    <row r="156" spans="1:26" s="208" customFormat="1" outlineLevel="1">
      <c r="A156" s="73" t="s">
        <v>302</v>
      </c>
      <c r="B156" s="65" t="s">
        <v>969</v>
      </c>
      <c r="C156" s="220">
        <v>60028</v>
      </c>
      <c r="D156" s="216" t="s">
        <v>986</v>
      </c>
      <c r="E156" s="215"/>
      <c r="F156" s="186">
        <v>42852</v>
      </c>
      <c r="G156" s="69"/>
      <c r="H156" s="65"/>
      <c r="I156" s="231" t="s">
        <v>302</v>
      </c>
      <c r="J156" s="76" t="s">
        <v>1034</v>
      </c>
      <c r="K156" s="76" t="s">
        <v>1033</v>
      </c>
      <c r="L156" s="76" t="s">
        <v>297</v>
      </c>
      <c r="M156" s="187">
        <v>-65.540000000000006</v>
      </c>
      <c r="N156" s="65"/>
      <c r="O156" s="65"/>
      <c r="P156" s="65"/>
      <c r="Q156" s="73" t="s">
        <v>171</v>
      </c>
      <c r="R156" s="188">
        <v>-65.540000000000006</v>
      </c>
      <c r="S156" s="188">
        <v>-65.540000000000006</v>
      </c>
      <c r="T156" s="233"/>
      <c r="U156" s="233"/>
      <c r="V156" s="233"/>
      <c r="W156" s="233"/>
      <c r="X156" s="233"/>
      <c r="Y156" s="233"/>
      <c r="Z156" s="233"/>
    </row>
    <row r="157" spans="1:26" s="208" customFormat="1" ht="15.75" thickBot="1">
      <c r="A157" s="221"/>
      <c r="B157" s="217"/>
      <c r="C157" s="221"/>
      <c r="D157" s="217"/>
      <c r="E157" s="217"/>
      <c r="F157" s="217"/>
      <c r="G157" s="217"/>
      <c r="H157" s="217"/>
      <c r="I157" s="217"/>
      <c r="J157" s="217"/>
      <c r="K157" s="217"/>
      <c r="L157" s="217"/>
      <c r="M157" s="234"/>
      <c r="N157" s="234"/>
      <c r="O157" s="234"/>
      <c r="P157" s="234"/>
      <c r="Q157" s="234"/>
      <c r="R157" s="235">
        <f>SUM(R119:R156)</f>
        <v>-12282.479999999998</v>
      </c>
      <c r="S157" s="235">
        <f>SUM(S119:S156)</f>
        <v>-12282.479999999998</v>
      </c>
      <c r="T157" s="243"/>
      <c r="U157" s="233"/>
      <c r="V157" s="233"/>
      <c r="W157" s="233"/>
      <c r="X157" s="233"/>
      <c r="Y157" s="233"/>
      <c r="Z157" s="233"/>
    </row>
    <row r="158" spans="1:26" s="74" customFormat="1" ht="15.75" thickTop="1">
      <c r="A158" s="73"/>
      <c r="B158" s="65"/>
      <c r="C158" s="73"/>
      <c r="D158" s="65"/>
      <c r="E158" s="65"/>
      <c r="F158" s="65"/>
      <c r="G158" s="65"/>
      <c r="H158" s="65"/>
      <c r="I158" s="65"/>
      <c r="J158" s="65"/>
      <c r="K158" s="65"/>
      <c r="L158" s="65"/>
      <c r="M158" s="219"/>
      <c r="N158" s="219"/>
      <c r="O158" s="219"/>
      <c r="P158" s="219"/>
      <c r="Q158" s="219"/>
      <c r="R158" s="219"/>
      <c r="S158" s="219"/>
      <c r="T158" s="2"/>
      <c r="U158" s="2"/>
      <c r="V158" s="2"/>
      <c r="W158" s="2"/>
      <c r="X158" s="2"/>
      <c r="Y158" s="2"/>
      <c r="Z158" s="2"/>
    </row>
    <row r="159" spans="1:26" s="74" customFormat="1" ht="17.25">
      <c r="A159" s="229" t="s">
        <v>968</v>
      </c>
      <c r="B159" s="8"/>
      <c r="C159" s="73"/>
      <c r="D159" s="65"/>
      <c r="E159" s="65"/>
      <c r="F159" s="65"/>
      <c r="G159" s="65"/>
      <c r="H159" s="65"/>
      <c r="I159" s="65"/>
      <c r="J159" s="65"/>
      <c r="K159" s="65"/>
      <c r="L159" s="65"/>
      <c r="M159" s="219"/>
      <c r="N159" s="219"/>
      <c r="O159" s="219"/>
      <c r="P159" s="219"/>
      <c r="Q159" s="219"/>
      <c r="R159" s="219"/>
      <c r="S159" s="219"/>
      <c r="T159" s="2"/>
      <c r="U159" s="2"/>
      <c r="V159" s="2"/>
      <c r="W159" s="2"/>
      <c r="X159" s="2"/>
      <c r="Y159" s="2"/>
      <c r="Z159" s="2"/>
    </row>
    <row r="160" spans="1:26" s="74" customFormat="1" ht="17.25">
      <c r="A160" s="222">
        <v>42856</v>
      </c>
      <c r="B160" s="8"/>
      <c r="C160" s="73"/>
      <c r="D160" s="65"/>
      <c r="E160" s="65"/>
      <c r="F160" s="65"/>
      <c r="G160" s="65"/>
      <c r="H160" s="65"/>
      <c r="I160" s="65"/>
      <c r="J160" s="65"/>
      <c r="K160" s="65"/>
      <c r="L160" s="65"/>
      <c r="M160" s="219"/>
      <c r="N160" s="219"/>
      <c r="O160" s="219"/>
      <c r="P160" s="219"/>
      <c r="Q160" s="219"/>
      <c r="R160" s="219"/>
      <c r="S160" s="219"/>
      <c r="T160" s="2"/>
      <c r="U160" s="2"/>
      <c r="V160" s="2"/>
      <c r="W160" s="2"/>
      <c r="X160" s="2"/>
      <c r="Y160" s="2"/>
      <c r="Z160" s="2"/>
    </row>
    <row r="161" spans="1:26" s="74" customFormat="1">
      <c r="A161" s="73"/>
      <c r="B161" s="65"/>
      <c r="C161" s="73"/>
      <c r="D161" s="65"/>
      <c r="E161" s="65"/>
      <c r="F161" s="65"/>
      <c r="G161" s="65"/>
      <c r="H161" s="65"/>
      <c r="I161" s="65"/>
      <c r="J161" s="65"/>
      <c r="K161" s="65"/>
      <c r="L161" s="65"/>
      <c r="M161" s="219"/>
      <c r="N161" s="219"/>
      <c r="O161" s="219"/>
      <c r="P161" s="219"/>
      <c r="Q161" s="219"/>
      <c r="R161" s="219"/>
      <c r="S161" s="219"/>
      <c r="T161" s="2"/>
      <c r="U161" s="2"/>
      <c r="V161" s="2"/>
      <c r="W161" s="2"/>
      <c r="X161" s="2"/>
      <c r="Y161" s="2"/>
      <c r="Z161" s="2"/>
    </row>
    <row r="162" spans="1:26" s="74" customFormat="1">
      <c r="A162" s="71" t="s">
        <v>135</v>
      </c>
      <c r="B162" s="71" t="s">
        <v>136</v>
      </c>
      <c r="C162" s="71" t="s">
        <v>158</v>
      </c>
      <c r="D162" s="71" t="s">
        <v>159</v>
      </c>
      <c r="E162" s="72" t="s">
        <v>242</v>
      </c>
      <c r="F162" s="71" t="s">
        <v>116</v>
      </c>
      <c r="G162" s="71" t="s">
        <v>160</v>
      </c>
      <c r="H162" s="71" t="s">
        <v>161</v>
      </c>
      <c r="I162" s="71" t="s">
        <v>162</v>
      </c>
      <c r="J162" s="71" t="s">
        <v>163</v>
      </c>
      <c r="K162" s="71" t="s">
        <v>1128</v>
      </c>
      <c r="L162" s="71" t="s">
        <v>164</v>
      </c>
      <c r="M162" s="71" t="s">
        <v>165</v>
      </c>
      <c r="N162" s="71" t="s">
        <v>166</v>
      </c>
      <c r="O162" s="71" t="s">
        <v>167</v>
      </c>
      <c r="P162" s="71" t="s">
        <v>168</v>
      </c>
      <c r="Q162" s="71" t="s">
        <v>169</v>
      </c>
      <c r="R162" s="71" t="s">
        <v>170</v>
      </c>
      <c r="S162" s="319" t="s">
        <v>1127</v>
      </c>
      <c r="T162" s="2"/>
      <c r="U162" s="2"/>
      <c r="V162" s="2"/>
      <c r="W162" s="306"/>
      <c r="X162" s="307"/>
      <c r="Y162" s="306"/>
      <c r="Z162" s="306"/>
    </row>
    <row r="163" spans="1:26" s="74" customFormat="1" outlineLevel="1">
      <c r="A163" s="73" t="s">
        <v>302</v>
      </c>
      <c r="B163" s="65" t="s">
        <v>969</v>
      </c>
      <c r="C163" s="220">
        <v>60012</v>
      </c>
      <c r="D163" s="216" t="s">
        <v>971</v>
      </c>
      <c r="E163" s="215"/>
      <c r="F163" s="186">
        <v>42856</v>
      </c>
      <c r="G163" s="69"/>
      <c r="H163" s="65"/>
      <c r="I163" s="231" t="s">
        <v>302</v>
      </c>
      <c r="J163" s="76" t="s">
        <v>1034</v>
      </c>
      <c r="K163" s="76" t="s">
        <v>1033</v>
      </c>
      <c r="L163" s="76" t="s">
        <v>297</v>
      </c>
      <c r="M163" s="187">
        <v>-20</v>
      </c>
      <c r="N163" s="65"/>
      <c r="O163" s="65"/>
      <c r="P163" s="65"/>
      <c r="Q163" s="73" t="s">
        <v>171</v>
      </c>
      <c r="R163" s="188">
        <v>-20</v>
      </c>
      <c r="S163" s="188">
        <v>-20</v>
      </c>
      <c r="T163" s="2"/>
      <c r="U163" s="2"/>
      <c r="V163" s="2"/>
      <c r="W163" s="306"/>
      <c r="X163" s="259"/>
      <c r="Y163" s="259"/>
      <c r="Z163" s="308"/>
    </row>
    <row r="164" spans="1:26" s="74" customFormat="1" outlineLevel="1">
      <c r="A164" s="73" t="s">
        <v>302</v>
      </c>
      <c r="B164" s="65" t="s">
        <v>969</v>
      </c>
      <c r="C164" s="220">
        <v>60037</v>
      </c>
      <c r="D164" s="216" t="s">
        <v>979</v>
      </c>
      <c r="E164" s="215"/>
      <c r="F164" s="186">
        <v>42856</v>
      </c>
      <c r="G164" s="69"/>
      <c r="H164" s="65"/>
      <c r="I164" s="231" t="s">
        <v>302</v>
      </c>
      <c r="J164" s="76" t="s">
        <v>1034</v>
      </c>
      <c r="K164" s="76" t="s">
        <v>1033</v>
      </c>
      <c r="L164" s="76" t="s">
        <v>297</v>
      </c>
      <c r="M164" s="187">
        <v>-117.04</v>
      </c>
      <c r="N164" s="65"/>
      <c r="O164" s="65"/>
      <c r="P164" s="65"/>
      <c r="Q164" s="73" t="s">
        <v>171</v>
      </c>
      <c r="R164" s="188">
        <v>-117.04</v>
      </c>
      <c r="S164" s="188">
        <v>-117.04</v>
      </c>
      <c r="T164" s="2"/>
      <c r="U164" s="2"/>
      <c r="V164" s="2"/>
      <c r="W164" s="306"/>
      <c r="X164" s="259"/>
      <c r="Y164" s="259"/>
      <c r="Z164" s="308"/>
    </row>
    <row r="165" spans="1:26" s="74" customFormat="1" outlineLevel="1">
      <c r="A165" s="73" t="s">
        <v>302</v>
      </c>
      <c r="B165" s="65" t="s">
        <v>969</v>
      </c>
      <c r="C165" s="220">
        <v>60028</v>
      </c>
      <c r="D165" s="216" t="s">
        <v>972</v>
      </c>
      <c r="E165" s="215"/>
      <c r="F165" s="186">
        <v>42856</v>
      </c>
      <c r="G165" s="69"/>
      <c r="H165" s="65"/>
      <c r="I165" s="231" t="s">
        <v>302</v>
      </c>
      <c r="J165" s="76" t="s">
        <v>1034</v>
      </c>
      <c r="K165" s="76" t="s">
        <v>1033</v>
      </c>
      <c r="L165" s="76" t="s">
        <v>297</v>
      </c>
      <c r="M165" s="187">
        <v>-22</v>
      </c>
      <c r="N165" s="65"/>
      <c r="O165" s="65"/>
      <c r="P165" s="65"/>
      <c r="Q165" s="73" t="s">
        <v>171</v>
      </c>
      <c r="R165" s="188">
        <v>-22</v>
      </c>
      <c r="S165" s="188">
        <v>-22</v>
      </c>
      <c r="T165" s="2"/>
      <c r="U165" s="2"/>
      <c r="V165" s="2"/>
      <c r="W165" s="306"/>
      <c r="X165" s="259"/>
      <c r="Y165" s="259"/>
      <c r="Z165" s="308"/>
    </row>
    <row r="166" spans="1:26" s="74" customFormat="1" outlineLevel="1">
      <c r="A166" s="73" t="s">
        <v>302</v>
      </c>
      <c r="B166" s="65" t="s">
        <v>969</v>
      </c>
      <c r="C166" s="220">
        <v>60039</v>
      </c>
      <c r="D166" s="216" t="s">
        <v>985</v>
      </c>
      <c r="E166" s="215"/>
      <c r="F166" s="186">
        <v>42856</v>
      </c>
      <c r="G166" s="69"/>
      <c r="H166" s="65"/>
      <c r="I166" s="231" t="s">
        <v>302</v>
      </c>
      <c r="J166" s="76" t="s">
        <v>1034</v>
      </c>
      <c r="K166" s="76" t="s">
        <v>1033</v>
      </c>
      <c r="L166" s="76" t="s">
        <v>297</v>
      </c>
      <c r="M166" s="187">
        <v>-74.150000000000006</v>
      </c>
      <c r="N166" s="65"/>
      <c r="O166" s="65"/>
      <c r="P166" s="65"/>
      <c r="Q166" s="73" t="s">
        <v>171</v>
      </c>
      <c r="R166" s="188">
        <v>-74.150000000000006</v>
      </c>
      <c r="S166" s="188">
        <v>-74.150000000000006</v>
      </c>
      <c r="T166" s="2"/>
      <c r="U166" s="2"/>
      <c r="V166" s="2"/>
      <c r="W166" s="306"/>
      <c r="X166" s="309"/>
      <c r="Y166" s="309"/>
      <c r="Z166" s="197"/>
    </row>
    <row r="167" spans="1:26" s="74" customFormat="1" outlineLevel="1">
      <c r="A167" s="73" t="s">
        <v>302</v>
      </c>
      <c r="B167" s="65" t="s">
        <v>969</v>
      </c>
      <c r="C167" s="220">
        <v>60033</v>
      </c>
      <c r="D167" s="216" t="s">
        <v>988</v>
      </c>
      <c r="E167" s="215"/>
      <c r="F167" s="186">
        <v>42858</v>
      </c>
      <c r="G167" s="69"/>
      <c r="H167" s="65"/>
      <c r="I167" s="231" t="s">
        <v>302</v>
      </c>
      <c r="J167" s="76" t="s">
        <v>1034</v>
      </c>
      <c r="K167" s="76" t="s">
        <v>1033</v>
      </c>
      <c r="L167" s="76" t="s">
        <v>297</v>
      </c>
      <c r="M167" s="187">
        <v>-3109.12</v>
      </c>
      <c r="N167" s="65"/>
      <c r="O167" s="65"/>
      <c r="P167" s="65"/>
      <c r="Q167" s="73" t="s">
        <v>171</v>
      </c>
      <c r="R167" s="188">
        <v>-3109.12</v>
      </c>
      <c r="S167" s="188">
        <v>-3109.12</v>
      </c>
      <c r="T167" s="2"/>
      <c r="U167" s="2"/>
      <c r="V167" s="2"/>
      <c r="W167" s="2"/>
      <c r="X167" s="2"/>
      <c r="Y167" s="2"/>
      <c r="Z167" s="2"/>
    </row>
    <row r="168" spans="1:26" s="74" customFormat="1" outlineLevel="1">
      <c r="A168" s="73" t="s">
        <v>302</v>
      </c>
      <c r="B168" s="65" t="s">
        <v>969</v>
      </c>
      <c r="C168" s="220">
        <v>60015</v>
      </c>
      <c r="D168" s="216" t="s">
        <v>980</v>
      </c>
      <c r="E168" s="215"/>
      <c r="F168" s="186">
        <v>42858</v>
      </c>
      <c r="G168" s="69"/>
      <c r="H168" s="65"/>
      <c r="I168" s="231" t="s">
        <v>302</v>
      </c>
      <c r="J168" s="76" t="s">
        <v>1034</v>
      </c>
      <c r="K168" s="76" t="s">
        <v>1033</v>
      </c>
      <c r="L168" s="76" t="s">
        <v>297</v>
      </c>
      <c r="M168" s="187">
        <v>-1800</v>
      </c>
      <c r="N168" s="65"/>
      <c r="O168" s="65"/>
      <c r="P168" s="65"/>
      <c r="Q168" s="73" t="s">
        <v>171</v>
      </c>
      <c r="R168" s="188">
        <v>-1800</v>
      </c>
      <c r="S168" s="188">
        <v>-1800</v>
      </c>
      <c r="T168" s="2"/>
      <c r="U168" s="2"/>
      <c r="V168" s="2"/>
      <c r="W168" s="2"/>
      <c r="X168" s="2"/>
      <c r="Y168" s="2"/>
      <c r="Z168" s="2"/>
    </row>
    <row r="169" spans="1:26" s="74" customFormat="1" outlineLevel="1">
      <c r="A169" s="73" t="s">
        <v>302</v>
      </c>
      <c r="B169" s="65" t="s">
        <v>969</v>
      </c>
      <c r="C169" s="220">
        <v>60012</v>
      </c>
      <c r="D169" s="216" t="s">
        <v>971</v>
      </c>
      <c r="E169" s="215"/>
      <c r="F169" s="186">
        <v>42859</v>
      </c>
      <c r="G169" s="69"/>
      <c r="H169" s="65"/>
      <c r="I169" s="231" t="s">
        <v>302</v>
      </c>
      <c r="J169" s="76" t="s">
        <v>1034</v>
      </c>
      <c r="K169" s="76" t="s">
        <v>1033</v>
      </c>
      <c r="L169" s="76" t="s">
        <v>297</v>
      </c>
      <c r="M169" s="187">
        <v>-965.79</v>
      </c>
      <c r="N169" s="65"/>
      <c r="O169" s="65"/>
      <c r="P169" s="65"/>
      <c r="Q169" s="73" t="s">
        <v>171</v>
      </c>
      <c r="R169" s="188">
        <v>-965.79</v>
      </c>
      <c r="S169" s="188">
        <v>-965.79</v>
      </c>
      <c r="T169" s="2"/>
      <c r="U169" s="2"/>
      <c r="V169" s="2"/>
      <c r="W169" s="2"/>
      <c r="X169" s="2"/>
      <c r="Y169" s="2"/>
      <c r="Z169" s="2"/>
    </row>
    <row r="170" spans="1:26" s="74" customFormat="1" outlineLevel="1">
      <c r="A170" s="73" t="s">
        <v>302</v>
      </c>
      <c r="B170" s="65" t="s">
        <v>969</v>
      </c>
      <c r="C170" s="220">
        <v>60037</v>
      </c>
      <c r="D170" s="216" t="s">
        <v>979</v>
      </c>
      <c r="E170" s="215"/>
      <c r="F170" s="186">
        <v>42860</v>
      </c>
      <c r="G170" s="69"/>
      <c r="H170" s="65"/>
      <c r="I170" s="231" t="s">
        <v>302</v>
      </c>
      <c r="J170" s="76" t="s">
        <v>1034</v>
      </c>
      <c r="K170" s="76" t="s">
        <v>1033</v>
      </c>
      <c r="L170" s="76" t="s">
        <v>297</v>
      </c>
      <c r="M170" s="187">
        <v>-284.01</v>
      </c>
      <c r="N170" s="65"/>
      <c r="O170" s="65"/>
      <c r="P170" s="65"/>
      <c r="Q170" s="73" t="s">
        <v>171</v>
      </c>
      <c r="R170" s="188">
        <v>-284.01</v>
      </c>
      <c r="S170" s="188">
        <v>-284.01</v>
      </c>
      <c r="T170" s="2"/>
      <c r="U170" s="2"/>
      <c r="V170" s="2"/>
      <c r="W170" s="2"/>
      <c r="X170" s="2"/>
      <c r="Y170" s="2"/>
      <c r="Z170" s="2"/>
    </row>
    <row r="171" spans="1:26" s="74" customFormat="1" outlineLevel="1">
      <c r="A171" s="73" t="s">
        <v>302</v>
      </c>
      <c r="B171" s="65" t="s">
        <v>969</v>
      </c>
      <c r="C171" s="220">
        <v>60039</v>
      </c>
      <c r="D171" s="216" t="s">
        <v>985</v>
      </c>
      <c r="E171" s="215"/>
      <c r="F171" s="186">
        <v>42860</v>
      </c>
      <c r="G171" s="69"/>
      <c r="H171" s="65"/>
      <c r="I171" s="231" t="s">
        <v>302</v>
      </c>
      <c r="J171" s="76" t="s">
        <v>1034</v>
      </c>
      <c r="K171" s="76" t="s">
        <v>1033</v>
      </c>
      <c r="L171" s="76" t="s">
        <v>297</v>
      </c>
      <c r="M171" s="187">
        <v>-66.36</v>
      </c>
      <c r="N171" s="65"/>
      <c r="O171" s="65"/>
      <c r="P171" s="65"/>
      <c r="Q171" s="73" t="s">
        <v>171</v>
      </c>
      <c r="R171" s="188">
        <v>-66.36</v>
      </c>
      <c r="S171" s="188">
        <v>-66.36</v>
      </c>
      <c r="T171" s="2"/>
      <c r="U171" s="2"/>
      <c r="V171" s="2"/>
      <c r="W171" s="2"/>
      <c r="X171" s="2"/>
      <c r="Y171" s="2"/>
      <c r="Z171" s="2"/>
    </row>
    <row r="172" spans="1:26" s="74" customFormat="1" outlineLevel="1">
      <c r="A172" s="73" t="s">
        <v>302</v>
      </c>
      <c r="B172" s="65" t="s">
        <v>969</v>
      </c>
      <c r="C172" s="220">
        <v>60039</v>
      </c>
      <c r="D172" s="216" t="s">
        <v>985</v>
      </c>
      <c r="E172" s="215"/>
      <c r="F172" s="186">
        <v>42863</v>
      </c>
      <c r="G172" s="69"/>
      <c r="H172" s="65"/>
      <c r="I172" s="231" t="s">
        <v>302</v>
      </c>
      <c r="J172" s="76" t="s">
        <v>1034</v>
      </c>
      <c r="K172" s="76" t="s">
        <v>1033</v>
      </c>
      <c r="L172" s="76" t="s">
        <v>297</v>
      </c>
      <c r="M172" s="187">
        <v>-12.18</v>
      </c>
      <c r="N172" s="65"/>
      <c r="O172" s="65"/>
      <c r="P172" s="65"/>
      <c r="Q172" s="73" t="s">
        <v>171</v>
      </c>
      <c r="R172" s="188">
        <v>-12.18</v>
      </c>
      <c r="S172" s="188">
        <v>-12.18</v>
      </c>
      <c r="T172" s="2"/>
      <c r="U172" s="2"/>
      <c r="V172" s="2"/>
      <c r="W172" s="2"/>
      <c r="X172" s="2"/>
      <c r="Y172" s="2"/>
      <c r="Z172" s="2"/>
    </row>
    <row r="173" spans="1:26" s="74" customFormat="1" outlineLevel="1">
      <c r="A173" s="73" t="s">
        <v>302</v>
      </c>
      <c r="B173" s="65" t="s">
        <v>969</v>
      </c>
      <c r="C173" s="220">
        <v>60025</v>
      </c>
      <c r="D173" s="216" t="s">
        <v>973</v>
      </c>
      <c r="E173" s="215"/>
      <c r="F173" s="186">
        <v>42864</v>
      </c>
      <c r="G173" s="69"/>
      <c r="H173" s="65"/>
      <c r="I173" s="231" t="s">
        <v>302</v>
      </c>
      <c r="J173" s="76" t="s">
        <v>1034</v>
      </c>
      <c r="K173" s="76" t="s">
        <v>1033</v>
      </c>
      <c r="L173" s="76" t="s">
        <v>297</v>
      </c>
      <c r="M173" s="187">
        <v>-136.47999999999999</v>
      </c>
      <c r="N173" s="65"/>
      <c r="O173" s="65"/>
      <c r="P173" s="65"/>
      <c r="Q173" s="73" t="s">
        <v>171</v>
      </c>
      <c r="R173" s="188">
        <v>-136.47999999999999</v>
      </c>
      <c r="S173" s="188">
        <v>-136.47999999999999</v>
      </c>
      <c r="T173" s="2"/>
      <c r="U173" s="2"/>
      <c r="V173" s="2"/>
      <c r="W173" s="2"/>
      <c r="X173" s="2"/>
      <c r="Y173" s="2"/>
      <c r="Z173" s="2"/>
    </row>
    <row r="174" spans="1:26" s="74" customFormat="1" outlineLevel="1">
      <c r="A174" s="73" t="s">
        <v>302</v>
      </c>
      <c r="B174" s="65" t="s">
        <v>969</v>
      </c>
      <c r="C174" s="220">
        <v>60028</v>
      </c>
      <c r="D174" s="216" t="s">
        <v>972</v>
      </c>
      <c r="E174" s="215"/>
      <c r="F174" s="186">
        <v>42866</v>
      </c>
      <c r="G174" s="69"/>
      <c r="H174" s="65"/>
      <c r="I174" s="231" t="s">
        <v>302</v>
      </c>
      <c r="J174" s="76" t="s">
        <v>1034</v>
      </c>
      <c r="K174" s="76" t="s">
        <v>1033</v>
      </c>
      <c r="L174" s="76" t="s">
        <v>297</v>
      </c>
      <c r="M174" s="187">
        <v>-35.17</v>
      </c>
      <c r="N174" s="65"/>
      <c r="O174" s="65"/>
      <c r="P174" s="65"/>
      <c r="Q174" s="73" t="s">
        <v>171</v>
      </c>
      <c r="R174" s="188">
        <v>-35.17</v>
      </c>
      <c r="S174" s="188">
        <v>-35.17</v>
      </c>
      <c r="T174" s="2"/>
      <c r="U174" s="2"/>
      <c r="V174" s="2"/>
      <c r="W174" s="2"/>
      <c r="X174" s="2"/>
      <c r="Y174" s="2"/>
      <c r="Z174" s="2"/>
    </row>
    <row r="175" spans="1:26" s="74" customFormat="1" outlineLevel="1">
      <c r="A175" s="73" t="s">
        <v>302</v>
      </c>
      <c r="B175" s="65" t="s">
        <v>969</v>
      </c>
      <c r="C175" s="220">
        <v>60026</v>
      </c>
      <c r="D175" s="216" t="s">
        <v>982</v>
      </c>
      <c r="E175" s="215"/>
      <c r="F175" s="186">
        <v>42866</v>
      </c>
      <c r="G175" s="69"/>
      <c r="H175" s="65"/>
      <c r="I175" s="231" t="s">
        <v>302</v>
      </c>
      <c r="J175" s="76" t="s">
        <v>1034</v>
      </c>
      <c r="K175" s="76" t="s">
        <v>1033</v>
      </c>
      <c r="L175" s="76" t="s">
        <v>297</v>
      </c>
      <c r="M175" s="187">
        <v>-298.76</v>
      </c>
      <c r="N175" s="65"/>
      <c r="O175" s="65"/>
      <c r="P175" s="65"/>
      <c r="Q175" s="73" t="s">
        <v>171</v>
      </c>
      <c r="R175" s="188">
        <v>-298.76</v>
      </c>
      <c r="S175" s="188">
        <v>-298.76</v>
      </c>
      <c r="T175" s="2"/>
      <c r="U175" s="2"/>
      <c r="V175" s="2"/>
      <c r="W175" s="2"/>
      <c r="X175" s="2"/>
      <c r="Y175" s="2"/>
      <c r="Z175" s="2"/>
    </row>
    <row r="176" spans="1:26" s="74" customFormat="1" outlineLevel="1">
      <c r="A176" s="73" t="s">
        <v>302</v>
      </c>
      <c r="B176" s="65" t="s">
        <v>969</v>
      </c>
      <c r="C176" s="220">
        <v>60033</v>
      </c>
      <c r="D176" s="216" t="s">
        <v>988</v>
      </c>
      <c r="E176" s="215"/>
      <c r="F176" s="186">
        <v>42867</v>
      </c>
      <c r="G176" s="69"/>
      <c r="H176" s="65"/>
      <c r="I176" s="231" t="s">
        <v>302</v>
      </c>
      <c r="J176" s="76" t="s">
        <v>1034</v>
      </c>
      <c r="K176" s="76" t="s">
        <v>1033</v>
      </c>
      <c r="L176" s="76" t="s">
        <v>297</v>
      </c>
      <c r="M176" s="187">
        <v>-2500</v>
      </c>
      <c r="N176" s="65"/>
      <c r="O176" s="65"/>
      <c r="P176" s="65"/>
      <c r="Q176" s="73" t="s">
        <v>171</v>
      </c>
      <c r="R176" s="188">
        <v>-2500</v>
      </c>
      <c r="S176" s="188">
        <v>-2500</v>
      </c>
      <c r="T176" s="2"/>
      <c r="U176" s="2"/>
      <c r="V176" s="2"/>
      <c r="W176" s="2"/>
      <c r="X176" s="2"/>
      <c r="Y176" s="2"/>
      <c r="Z176" s="2"/>
    </row>
    <row r="177" spans="1:26" s="74" customFormat="1" outlineLevel="1">
      <c r="A177" s="73" t="s">
        <v>302</v>
      </c>
      <c r="B177" s="65" t="s">
        <v>969</v>
      </c>
      <c r="C177" s="220">
        <v>60028</v>
      </c>
      <c r="D177" s="216" t="s">
        <v>972</v>
      </c>
      <c r="E177" s="215"/>
      <c r="F177" s="186">
        <v>42867</v>
      </c>
      <c r="G177" s="69"/>
      <c r="H177" s="65"/>
      <c r="I177" s="231" t="s">
        <v>302</v>
      </c>
      <c r="J177" s="76" t="s">
        <v>1034</v>
      </c>
      <c r="K177" s="76" t="s">
        <v>1033</v>
      </c>
      <c r="L177" s="76" t="s">
        <v>297</v>
      </c>
      <c r="M177" s="187">
        <v>-6.68</v>
      </c>
      <c r="N177" s="65"/>
      <c r="O177" s="65"/>
      <c r="P177" s="65"/>
      <c r="Q177" s="73" t="s">
        <v>171</v>
      </c>
      <c r="R177" s="188">
        <v>-6.68</v>
      </c>
      <c r="S177" s="188">
        <v>-6.68</v>
      </c>
      <c r="T177" s="2"/>
      <c r="U177" s="2"/>
      <c r="V177" s="2"/>
      <c r="W177" s="2"/>
      <c r="X177" s="2"/>
      <c r="Y177" s="2"/>
      <c r="Z177" s="2"/>
    </row>
    <row r="178" spans="1:26" s="74" customFormat="1" outlineLevel="1">
      <c r="A178" s="73" t="s">
        <v>302</v>
      </c>
      <c r="B178" s="65" t="s">
        <v>969</v>
      </c>
      <c r="C178" s="220">
        <v>60027</v>
      </c>
      <c r="D178" s="216" t="s">
        <v>989</v>
      </c>
      <c r="E178" s="215"/>
      <c r="F178" s="186">
        <v>42870</v>
      </c>
      <c r="G178" s="69"/>
      <c r="H178" s="65"/>
      <c r="I178" s="231" t="s">
        <v>302</v>
      </c>
      <c r="J178" s="76" t="s">
        <v>1034</v>
      </c>
      <c r="K178" s="76" t="s">
        <v>1033</v>
      </c>
      <c r="L178" s="76" t="s">
        <v>297</v>
      </c>
      <c r="M178" s="187">
        <v>-1000</v>
      </c>
      <c r="N178" s="65"/>
      <c r="O178" s="65"/>
      <c r="P178" s="65"/>
      <c r="Q178" s="73" t="s">
        <v>171</v>
      </c>
      <c r="R178" s="188">
        <v>-1000</v>
      </c>
      <c r="S178" s="188">
        <v>-1000</v>
      </c>
      <c r="T178" s="2"/>
      <c r="U178" s="2"/>
      <c r="V178" s="2"/>
      <c r="W178" s="2"/>
      <c r="X178" s="2"/>
      <c r="Y178" s="2"/>
      <c r="Z178" s="2"/>
    </row>
    <row r="179" spans="1:26" s="74" customFormat="1" outlineLevel="1">
      <c r="A179" s="73" t="s">
        <v>302</v>
      </c>
      <c r="B179" s="65" t="s">
        <v>969</v>
      </c>
      <c r="C179" s="220">
        <v>60028</v>
      </c>
      <c r="D179" s="216" t="s">
        <v>972</v>
      </c>
      <c r="E179" s="215"/>
      <c r="F179" s="186">
        <v>42870</v>
      </c>
      <c r="G179" s="69"/>
      <c r="H179" s="65"/>
      <c r="I179" s="231" t="s">
        <v>302</v>
      </c>
      <c r="J179" s="76" t="s">
        <v>1034</v>
      </c>
      <c r="K179" s="76" t="s">
        <v>1033</v>
      </c>
      <c r="L179" s="76" t="s">
        <v>297</v>
      </c>
      <c r="M179" s="187">
        <v>-12</v>
      </c>
      <c r="N179" s="65"/>
      <c r="O179" s="65"/>
      <c r="P179" s="65"/>
      <c r="Q179" s="73" t="s">
        <v>171</v>
      </c>
      <c r="R179" s="188">
        <v>-12</v>
      </c>
      <c r="S179" s="188">
        <v>-12</v>
      </c>
      <c r="T179" s="2"/>
      <c r="U179" s="2"/>
      <c r="V179" s="2"/>
      <c r="W179" s="2"/>
      <c r="X179" s="2"/>
      <c r="Y179" s="2"/>
      <c r="Z179" s="2"/>
    </row>
    <row r="180" spans="1:26" s="74" customFormat="1" outlineLevel="1">
      <c r="A180" s="73" t="s">
        <v>302</v>
      </c>
      <c r="B180" s="65" t="s">
        <v>969</v>
      </c>
      <c r="C180" s="220">
        <v>60028</v>
      </c>
      <c r="D180" s="216" t="s">
        <v>972</v>
      </c>
      <c r="E180" s="215"/>
      <c r="F180" s="186">
        <v>42870</v>
      </c>
      <c r="G180" s="69"/>
      <c r="H180" s="65"/>
      <c r="I180" s="231" t="s">
        <v>302</v>
      </c>
      <c r="J180" s="76" t="s">
        <v>1034</v>
      </c>
      <c r="K180" s="76" t="s">
        <v>1033</v>
      </c>
      <c r="L180" s="76" t="s">
        <v>297</v>
      </c>
      <c r="M180" s="187">
        <v>-40.909999999999997</v>
      </c>
      <c r="N180" s="65"/>
      <c r="O180" s="65"/>
      <c r="P180" s="65"/>
      <c r="Q180" s="73" t="s">
        <v>171</v>
      </c>
      <c r="R180" s="188">
        <v>-40.909999999999997</v>
      </c>
      <c r="S180" s="188">
        <v>-40.909999999999997</v>
      </c>
      <c r="T180" s="2"/>
      <c r="U180" s="2"/>
      <c r="V180" s="2"/>
      <c r="W180" s="2"/>
      <c r="X180" s="2"/>
      <c r="Y180" s="2"/>
      <c r="Z180" s="2"/>
    </row>
    <row r="181" spans="1:26" s="74" customFormat="1" outlineLevel="1">
      <c r="A181" s="73" t="s">
        <v>302</v>
      </c>
      <c r="B181" s="65" t="s">
        <v>969</v>
      </c>
      <c r="C181" s="220">
        <v>60025</v>
      </c>
      <c r="D181" s="216" t="s">
        <v>973</v>
      </c>
      <c r="E181" s="215"/>
      <c r="F181" s="186">
        <v>42870</v>
      </c>
      <c r="G181" s="69"/>
      <c r="H181" s="65"/>
      <c r="I181" s="231" t="s">
        <v>302</v>
      </c>
      <c r="J181" s="76" t="s">
        <v>1034</v>
      </c>
      <c r="K181" s="76" t="s">
        <v>1033</v>
      </c>
      <c r="L181" s="76" t="s">
        <v>297</v>
      </c>
      <c r="M181" s="187">
        <v>-121.1</v>
      </c>
      <c r="N181" s="65"/>
      <c r="O181" s="65"/>
      <c r="P181" s="65"/>
      <c r="Q181" s="73" t="s">
        <v>171</v>
      </c>
      <c r="R181" s="188">
        <v>-121.1</v>
      </c>
      <c r="S181" s="188">
        <v>-121.1</v>
      </c>
      <c r="T181" s="2"/>
      <c r="U181" s="2"/>
      <c r="V181" s="2"/>
      <c r="W181" s="2"/>
      <c r="X181" s="2"/>
      <c r="Y181" s="2"/>
      <c r="Z181" s="2"/>
    </row>
    <row r="182" spans="1:26" s="74" customFormat="1" outlineLevel="1">
      <c r="A182" s="73" t="s">
        <v>302</v>
      </c>
      <c r="B182" s="65" t="s">
        <v>969</v>
      </c>
      <c r="C182" s="220">
        <v>60039</v>
      </c>
      <c r="D182" s="216" t="s">
        <v>985</v>
      </c>
      <c r="E182" s="215"/>
      <c r="F182" s="186">
        <v>42870</v>
      </c>
      <c r="G182" s="69"/>
      <c r="H182" s="65"/>
      <c r="I182" s="231" t="s">
        <v>302</v>
      </c>
      <c r="J182" s="76" t="s">
        <v>1034</v>
      </c>
      <c r="K182" s="76" t="s">
        <v>1033</v>
      </c>
      <c r="L182" s="76" t="s">
        <v>297</v>
      </c>
      <c r="M182" s="187">
        <v>-72.58</v>
      </c>
      <c r="N182" s="65"/>
      <c r="O182" s="65"/>
      <c r="P182" s="65"/>
      <c r="Q182" s="73" t="s">
        <v>171</v>
      </c>
      <c r="R182" s="188">
        <v>-72.58</v>
      </c>
      <c r="S182" s="188">
        <v>-72.58</v>
      </c>
      <c r="T182" s="2"/>
      <c r="U182" s="2"/>
      <c r="V182" s="2"/>
      <c r="W182" s="2"/>
      <c r="X182" s="2"/>
      <c r="Y182" s="2"/>
      <c r="Z182" s="2"/>
    </row>
    <row r="183" spans="1:26" s="74" customFormat="1" outlineLevel="1">
      <c r="A183" s="73" t="s">
        <v>302</v>
      </c>
      <c r="B183" s="65" t="s">
        <v>969</v>
      </c>
      <c r="C183" s="220">
        <v>60028</v>
      </c>
      <c r="D183" s="216" t="s">
        <v>972</v>
      </c>
      <c r="E183" s="215"/>
      <c r="F183" s="186">
        <v>42871</v>
      </c>
      <c r="G183" s="69"/>
      <c r="H183" s="65"/>
      <c r="I183" s="231" t="s">
        <v>302</v>
      </c>
      <c r="J183" s="76" t="s">
        <v>1034</v>
      </c>
      <c r="K183" s="76" t="s">
        <v>1033</v>
      </c>
      <c r="L183" s="76" t="s">
        <v>297</v>
      </c>
      <c r="M183" s="187">
        <v>-27</v>
      </c>
      <c r="N183" s="65"/>
      <c r="O183" s="65"/>
      <c r="P183" s="65"/>
      <c r="Q183" s="73" t="s">
        <v>171</v>
      </c>
      <c r="R183" s="188">
        <v>-27</v>
      </c>
      <c r="S183" s="188">
        <v>-27</v>
      </c>
      <c r="T183" s="2"/>
      <c r="U183" s="2"/>
      <c r="V183" s="2"/>
      <c r="W183" s="2"/>
      <c r="X183" s="2"/>
      <c r="Y183" s="2"/>
      <c r="Z183" s="2"/>
    </row>
    <row r="184" spans="1:26" s="74" customFormat="1" outlineLevel="1">
      <c r="A184" s="73" t="s">
        <v>302</v>
      </c>
      <c r="B184" s="65" t="s">
        <v>969</v>
      </c>
      <c r="C184" s="220">
        <v>60028</v>
      </c>
      <c r="D184" s="216" t="s">
        <v>972</v>
      </c>
      <c r="E184" s="215"/>
      <c r="F184" s="186">
        <v>42871</v>
      </c>
      <c r="G184" s="69"/>
      <c r="H184" s="65"/>
      <c r="I184" s="231" t="s">
        <v>302</v>
      </c>
      <c r="J184" s="76" t="s">
        <v>1034</v>
      </c>
      <c r="K184" s="76" t="s">
        <v>1033</v>
      </c>
      <c r="L184" s="76" t="s">
        <v>297</v>
      </c>
      <c r="M184" s="187">
        <v>-34.950000000000003</v>
      </c>
      <c r="N184" s="65"/>
      <c r="O184" s="65"/>
      <c r="P184" s="65"/>
      <c r="Q184" s="73" t="s">
        <v>171</v>
      </c>
      <c r="R184" s="188">
        <v>-34.950000000000003</v>
      </c>
      <c r="S184" s="188">
        <v>-34.950000000000003</v>
      </c>
      <c r="T184" s="2"/>
      <c r="U184" s="2"/>
      <c r="V184" s="2"/>
      <c r="W184" s="2"/>
      <c r="X184" s="2"/>
      <c r="Y184" s="2"/>
      <c r="Z184" s="2"/>
    </row>
    <row r="185" spans="1:26" s="74" customFormat="1" outlineLevel="1">
      <c r="A185" s="73" t="s">
        <v>302</v>
      </c>
      <c r="B185" s="65" t="s">
        <v>969</v>
      </c>
      <c r="C185" s="220">
        <v>60036</v>
      </c>
      <c r="D185" s="216" t="s">
        <v>990</v>
      </c>
      <c r="E185" s="215"/>
      <c r="F185" s="186">
        <v>42872</v>
      </c>
      <c r="G185" s="69"/>
      <c r="H185" s="65"/>
      <c r="I185" s="231" t="s">
        <v>302</v>
      </c>
      <c r="J185" s="76" t="s">
        <v>1034</v>
      </c>
      <c r="K185" s="76" t="s">
        <v>1033</v>
      </c>
      <c r="L185" s="76" t="s">
        <v>297</v>
      </c>
      <c r="M185" s="187">
        <v>-23.75</v>
      </c>
      <c r="N185" s="65"/>
      <c r="O185" s="65"/>
      <c r="P185" s="65"/>
      <c r="Q185" s="73" t="s">
        <v>171</v>
      </c>
      <c r="R185" s="188">
        <v>-23.75</v>
      </c>
      <c r="S185" s="188">
        <v>-23.75</v>
      </c>
      <c r="T185" s="2"/>
      <c r="U185" s="2"/>
      <c r="V185" s="2"/>
      <c r="W185" s="2"/>
      <c r="X185" s="2"/>
      <c r="Y185" s="2"/>
      <c r="Z185" s="2"/>
    </row>
    <row r="186" spans="1:26" s="74" customFormat="1" outlineLevel="1">
      <c r="A186" s="73" t="s">
        <v>302</v>
      </c>
      <c r="B186" s="65" t="s">
        <v>969</v>
      </c>
      <c r="C186" s="220">
        <v>60026</v>
      </c>
      <c r="D186" s="216" t="s">
        <v>982</v>
      </c>
      <c r="E186" s="215"/>
      <c r="F186" s="186">
        <v>42873</v>
      </c>
      <c r="G186" s="69"/>
      <c r="H186" s="65"/>
      <c r="I186" s="231" t="s">
        <v>302</v>
      </c>
      <c r="J186" s="76" t="s">
        <v>1034</v>
      </c>
      <c r="K186" s="76" t="s">
        <v>1033</v>
      </c>
      <c r="L186" s="76" t="s">
        <v>297</v>
      </c>
      <c r="M186" s="187">
        <v>-20.82</v>
      </c>
      <c r="N186" s="65"/>
      <c r="O186" s="65"/>
      <c r="P186" s="65"/>
      <c r="Q186" s="73" t="s">
        <v>171</v>
      </c>
      <c r="R186" s="188">
        <v>-20.82</v>
      </c>
      <c r="S186" s="188">
        <v>-20.82</v>
      </c>
      <c r="T186" s="2"/>
      <c r="U186" s="2"/>
      <c r="V186" s="2"/>
      <c r="W186" s="2"/>
      <c r="X186" s="2"/>
      <c r="Y186" s="2"/>
      <c r="Z186" s="2"/>
    </row>
    <row r="187" spans="1:26" s="74" customFormat="1" outlineLevel="1">
      <c r="A187" s="73" t="s">
        <v>302</v>
      </c>
      <c r="B187" s="65" t="s">
        <v>969</v>
      </c>
      <c r="C187" s="220">
        <v>60026</v>
      </c>
      <c r="D187" s="216" t="s">
        <v>982</v>
      </c>
      <c r="E187" s="215"/>
      <c r="F187" s="186">
        <v>42873</v>
      </c>
      <c r="G187" s="69"/>
      <c r="H187" s="65"/>
      <c r="I187" s="231" t="s">
        <v>302</v>
      </c>
      <c r="J187" s="76" t="s">
        <v>1034</v>
      </c>
      <c r="K187" s="76" t="s">
        <v>1033</v>
      </c>
      <c r="L187" s="76" t="s">
        <v>297</v>
      </c>
      <c r="M187" s="187">
        <v>-66.760000000000005</v>
      </c>
      <c r="N187" s="65"/>
      <c r="O187" s="65"/>
      <c r="P187" s="65"/>
      <c r="Q187" s="73" t="s">
        <v>171</v>
      </c>
      <c r="R187" s="188">
        <v>-66.760000000000005</v>
      </c>
      <c r="S187" s="188">
        <v>-66.760000000000005</v>
      </c>
      <c r="T187" s="2"/>
      <c r="U187" s="2"/>
      <c r="V187" s="2"/>
      <c r="W187" s="2"/>
      <c r="X187" s="2"/>
      <c r="Y187" s="2"/>
      <c r="Z187" s="2"/>
    </row>
    <row r="188" spans="1:26" s="74" customFormat="1" outlineLevel="1">
      <c r="A188" s="73" t="s">
        <v>302</v>
      </c>
      <c r="B188" s="65" t="s">
        <v>969</v>
      </c>
      <c r="C188" s="220">
        <v>60042</v>
      </c>
      <c r="D188" s="216" t="s">
        <v>974</v>
      </c>
      <c r="E188" s="215"/>
      <c r="F188" s="186">
        <v>42873</v>
      </c>
      <c r="G188" s="69"/>
      <c r="H188" s="65"/>
      <c r="I188" s="231" t="s">
        <v>302</v>
      </c>
      <c r="J188" s="76" t="s">
        <v>1034</v>
      </c>
      <c r="K188" s="76" t="s">
        <v>1033</v>
      </c>
      <c r="L188" s="76" t="s">
        <v>297</v>
      </c>
      <c r="M188" s="187">
        <v>-1449.1</v>
      </c>
      <c r="N188" s="65"/>
      <c r="O188" s="65"/>
      <c r="P188" s="65"/>
      <c r="Q188" s="73" t="s">
        <v>171</v>
      </c>
      <c r="R188" s="188">
        <v>-1449.1</v>
      </c>
      <c r="S188" s="188">
        <v>-1449.1</v>
      </c>
      <c r="T188" s="2"/>
      <c r="U188" s="2"/>
      <c r="V188" s="2"/>
      <c r="W188" s="2"/>
      <c r="X188" s="2"/>
      <c r="Y188" s="2"/>
      <c r="Z188" s="2"/>
    </row>
    <row r="189" spans="1:26" s="74" customFormat="1" outlineLevel="1">
      <c r="A189" s="73" t="s">
        <v>302</v>
      </c>
      <c r="B189" s="65" t="s">
        <v>969</v>
      </c>
      <c r="C189" s="220">
        <v>60015</v>
      </c>
      <c r="D189" s="216" t="s">
        <v>980</v>
      </c>
      <c r="E189" s="215"/>
      <c r="F189" s="186">
        <v>42873</v>
      </c>
      <c r="G189" s="69"/>
      <c r="H189" s="65"/>
      <c r="I189" s="231" t="s">
        <v>302</v>
      </c>
      <c r="J189" s="76" t="s">
        <v>1034</v>
      </c>
      <c r="K189" s="76" t="s">
        <v>1033</v>
      </c>
      <c r="L189" s="76" t="s">
        <v>297</v>
      </c>
      <c r="M189" s="187">
        <v>-20</v>
      </c>
      <c r="N189" s="65"/>
      <c r="O189" s="65"/>
      <c r="P189" s="65"/>
      <c r="Q189" s="73" t="s">
        <v>171</v>
      </c>
      <c r="R189" s="188">
        <v>-20</v>
      </c>
      <c r="S189" s="188">
        <v>-20</v>
      </c>
      <c r="T189" s="2"/>
      <c r="U189" s="2"/>
      <c r="V189" s="2"/>
      <c r="W189" s="2"/>
      <c r="X189" s="2"/>
      <c r="Y189" s="2"/>
      <c r="Z189" s="2"/>
    </row>
    <row r="190" spans="1:26" s="74" customFormat="1" outlineLevel="1">
      <c r="A190" s="73" t="s">
        <v>302</v>
      </c>
      <c r="B190" s="65" t="s">
        <v>969</v>
      </c>
      <c r="C190" s="220">
        <v>60042</v>
      </c>
      <c r="D190" s="216" t="s">
        <v>974</v>
      </c>
      <c r="E190" s="215"/>
      <c r="F190" s="186">
        <v>42874</v>
      </c>
      <c r="G190" s="69"/>
      <c r="H190" s="65"/>
      <c r="I190" s="231" t="s">
        <v>302</v>
      </c>
      <c r="J190" s="76" t="s">
        <v>1034</v>
      </c>
      <c r="K190" s="76" t="s">
        <v>1033</v>
      </c>
      <c r="L190" s="76" t="s">
        <v>297</v>
      </c>
      <c r="M190" s="187">
        <v>-115.91</v>
      </c>
      <c r="N190" s="65"/>
      <c r="O190" s="65"/>
      <c r="P190" s="65"/>
      <c r="Q190" s="73" t="s">
        <v>171</v>
      </c>
      <c r="R190" s="188">
        <v>-115.91</v>
      </c>
      <c r="S190" s="188">
        <v>-115.91</v>
      </c>
      <c r="T190" s="2"/>
      <c r="U190" s="2"/>
      <c r="V190" s="2"/>
      <c r="W190" s="2"/>
      <c r="X190" s="2"/>
      <c r="Y190" s="2"/>
      <c r="Z190" s="2"/>
    </row>
    <row r="191" spans="1:26" s="74" customFormat="1" outlineLevel="1">
      <c r="A191" s="73" t="s">
        <v>302</v>
      </c>
      <c r="B191" s="65" t="s">
        <v>969</v>
      </c>
      <c r="C191" s="220">
        <v>60042</v>
      </c>
      <c r="D191" s="216" t="s">
        <v>974</v>
      </c>
      <c r="E191" s="215"/>
      <c r="F191" s="186">
        <v>42874</v>
      </c>
      <c r="G191" s="69"/>
      <c r="H191" s="65"/>
      <c r="I191" s="231" t="s">
        <v>302</v>
      </c>
      <c r="J191" s="76" t="s">
        <v>1034</v>
      </c>
      <c r="K191" s="76" t="s">
        <v>1033</v>
      </c>
      <c r="L191" s="76" t="s">
        <v>297</v>
      </c>
      <c r="M191" s="187">
        <v>-111.28</v>
      </c>
      <c r="N191" s="65"/>
      <c r="O191" s="65"/>
      <c r="P191" s="65"/>
      <c r="Q191" s="73" t="s">
        <v>171</v>
      </c>
      <c r="R191" s="188">
        <v>-111.28</v>
      </c>
      <c r="S191" s="188">
        <v>-111.28</v>
      </c>
      <c r="T191" s="2"/>
      <c r="U191" s="2"/>
      <c r="V191" s="2"/>
      <c r="W191" s="2"/>
      <c r="X191" s="2"/>
      <c r="Y191" s="2"/>
      <c r="Z191" s="2"/>
    </row>
    <row r="192" spans="1:26" s="74" customFormat="1" outlineLevel="1">
      <c r="A192" s="73" t="s">
        <v>302</v>
      </c>
      <c r="B192" s="65" t="s">
        <v>969</v>
      </c>
      <c r="C192" s="220">
        <v>60028</v>
      </c>
      <c r="D192" s="216" t="s">
        <v>972</v>
      </c>
      <c r="E192" s="215"/>
      <c r="F192" s="186">
        <v>42877</v>
      </c>
      <c r="G192" s="69"/>
      <c r="H192" s="65"/>
      <c r="I192" s="231" t="s">
        <v>302</v>
      </c>
      <c r="J192" s="76" t="s">
        <v>1034</v>
      </c>
      <c r="K192" s="76" t="s">
        <v>1033</v>
      </c>
      <c r="L192" s="76" t="s">
        <v>297</v>
      </c>
      <c r="M192" s="187">
        <v>-33</v>
      </c>
      <c r="N192" s="65"/>
      <c r="O192" s="65"/>
      <c r="P192" s="65"/>
      <c r="Q192" s="73" t="s">
        <v>171</v>
      </c>
      <c r="R192" s="188">
        <v>-33</v>
      </c>
      <c r="S192" s="188">
        <v>-33</v>
      </c>
      <c r="T192" s="2"/>
      <c r="U192" s="2"/>
      <c r="V192" s="2"/>
      <c r="W192" s="2"/>
      <c r="X192" s="2"/>
      <c r="Y192" s="2"/>
      <c r="Z192" s="2"/>
    </row>
    <row r="193" spans="1:26" s="74" customFormat="1" outlineLevel="1">
      <c r="A193" s="73" t="s">
        <v>302</v>
      </c>
      <c r="B193" s="65" t="s">
        <v>969</v>
      </c>
      <c r="C193" s="220">
        <v>60028</v>
      </c>
      <c r="D193" s="216" t="s">
        <v>972</v>
      </c>
      <c r="E193" s="215"/>
      <c r="F193" s="186">
        <v>42877</v>
      </c>
      <c r="G193" s="69"/>
      <c r="H193" s="65"/>
      <c r="I193" s="231" t="s">
        <v>302</v>
      </c>
      <c r="J193" s="76" t="s">
        <v>1034</v>
      </c>
      <c r="K193" s="76" t="s">
        <v>1033</v>
      </c>
      <c r="L193" s="76" t="s">
        <v>297</v>
      </c>
      <c r="M193" s="187">
        <v>-3.18</v>
      </c>
      <c r="N193" s="65"/>
      <c r="O193" s="65"/>
      <c r="P193" s="65"/>
      <c r="Q193" s="73" t="s">
        <v>171</v>
      </c>
      <c r="R193" s="188">
        <v>-3.18</v>
      </c>
      <c r="S193" s="188">
        <v>-3.18</v>
      </c>
      <c r="T193" s="2"/>
      <c r="U193" s="2"/>
      <c r="V193" s="2"/>
      <c r="W193" s="2"/>
      <c r="X193" s="2"/>
      <c r="Y193" s="2"/>
      <c r="Z193" s="2"/>
    </row>
    <row r="194" spans="1:26" s="74" customFormat="1" outlineLevel="1">
      <c r="A194" s="73" t="s">
        <v>302</v>
      </c>
      <c r="B194" s="65" t="s">
        <v>969</v>
      </c>
      <c r="C194" s="220">
        <v>60028</v>
      </c>
      <c r="D194" s="216" t="s">
        <v>972</v>
      </c>
      <c r="E194" s="215"/>
      <c r="F194" s="186">
        <v>42877</v>
      </c>
      <c r="G194" s="69"/>
      <c r="H194" s="65"/>
      <c r="I194" s="231" t="s">
        <v>302</v>
      </c>
      <c r="J194" s="76" t="s">
        <v>1034</v>
      </c>
      <c r="K194" s="76" t="s">
        <v>1033</v>
      </c>
      <c r="L194" s="76" t="s">
        <v>297</v>
      </c>
      <c r="M194" s="187">
        <v>-25.11</v>
      </c>
      <c r="N194" s="65"/>
      <c r="O194" s="65"/>
      <c r="P194" s="65"/>
      <c r="Q194" s="73" t="s">
        <v>171</v>
      </c>
      <c r="R194" s="188">
        <v>-25.11</v>
      </c>
      <c r="S194" s="188">
        <v>-25.11</v>
      </c>
      <c r="T194" s="2"/>
      <c r="U194" s="2"/>
      <c r="V194" s="2"/>
      <c r="W194" s="2"/>
      <c r="X194" s="2"/>
      <c r="Y194" s="2"/>
      <c r="Z194" s="2"/>
    </row>
    <row r="195" spans="1:26" s="74" customFormat="1" outlineLevel="1">
      <c r="A195" s="73" t="s">
        <v>302</v>
      </c>
      <c r="B195" s="65" t="s">
        <v>969</v>
      </c>
      <c r="C195" s="220">
        <v>60039</v>
      </c>
      <c r="D195" s="216" t="s">
        <v>985</v>
      </c>
      <c r="E195" s="215"/>
      <c r="F195" s="186">
        <v>42877</v>
      </c>
      <c r="G195" s="69"/>
      <c r="H195" s="65"/>
      <c r="I195" s="231" t="s">
        <v>302</v>
      </c>
      <c r="J195" s="76" t="s">
        <v>1034</v>
      </c>
      <c r="K195" s="76" t="s">
        <v>1033</v>
      </c>
      <c r="L195" s="76" t="s">
        <v>297</v>
      </c>
      <c r="M195" s="187">
        <v>-73.87</v>
      </c>
      <c r="N195" s="65"/>
      <c r="O195" s="65"/>
      <c r="P195" s="65"/>
      <c r="Q195" s="73" t="s">
        <v>171</v>
      </c>
      <c r="R195" s="188">
        <v>-73.87</v>
      </c>
      <c r="S195" s="188">
        <v>-73.87</v>
      </c>
      <c r="T195" s="2"/>
      <c r="U195" s="2"/>
      <c r="V195" s="2"/>
      <c r="W195" s="2"/>
      <c r="X195" s="2"/>
      <c r="Y195" s="2"/>
      <c r="Z195" s="2"/>
    </row>
    <row r="196" spans="1:26" s="74" customFormat="1" outlineLevel="1">
      <c r="A196" s="73" t="s">
        <v>302</v>
      </c>
      <c r="B196" s="65" t="s">
        <v>969</v>
      </c>
      <c r="C196" s="220">
        <v>60025</v>
      </c>
      <c r="D196" s="216" t="s">
        <v>973</v>
      </c>
      <c r="E196" s="215"/>
      <c r="F196" s="186">
        <v>42878</v>
      </c>
      <c r="G196" s="69"/>
      <c r="H196" s="65"/>
      <c r="I196" s="231" t="s">
        <v>302</v>
      </c>
      <c r="J196" s="76" t="s">
        <v>1034</v>
      </c>
      <c r="K196" s="76" t="s">
        <v>1033</v>
      </c>
      <c r="L196" s="76" t="s">
        <v>297</v>
      </c>
      <c r="M196" s="187">
        <v>-17.87</v>
      </c>
      <c r="N196" s="65"/>
      <c r="O196" s="65"/>
      <c r="P196" s="65"/>
      <c r="Q196" s="73" t="s">
        <v>171</v>
      </c>
      <c r="R196" s="188">
        <v>-17.87</v>
      </c>
      <c r="S196" s="188">
        <v>-17.87</v>
      </c>
      <c r="T196" s="2"/>
      <c r="U196" s="2"/>
      <c r="V196" s="2"/>
      <c r="W196" s="2"/>
      <c r="X196" s="2"/>
      <c r="Y196" s="2"/>
      <c r="Z196" s="2"/>
    </row>
    <row r="197" spans="1:26" s="74" customFormat="1" outlineLevel="1">
      <c r="A197" s="73" t="s">
        <v>302</v>
      </c>
      <c r="B197" s="65" t="s">
        <v>969</v>
      </c>
      <c r="C197" s="220">
        <v>60014</v>
      </c>
      <c r="D197" s="216" t="s">
        <v>991</v>
      </c>
      <c r="E197" s="215"/>
      <c r="F197" s="186">
        <v>42880</v>
      </c>
      <c r="G197" s="69"/>
      <c r="H197" s="65"/>
      <c r="I197" s="231" t="s">
        <v>302</v>
      </c>
      <c r="J197" s="76" t="s">
        <v>1034</v>
      </c>
      <c r="K197" s="76" t="s">
        <v>1033</v>
      </c>
      <c r="L197" s="76" t="s">
        <v>297</v>
      </c>
      <c r="M197" s="187">
        <v>-180</v>
      </c>
      <c r="N197" s="65"/>
      <c r="O197" s="65"/>
      <c r="P197" s="65"/>
      <c r="Q197" s="73" t="s">
        <v>171</v>
      </c>
      <c r="R197" s="188">
        <v>-180</v>
      </c>
      <c r="S197" s="188">
        <v>-180</v>
      </c>
      <c r="T197" s="2"/>
      <c r="U197" s="2"/>
      <c r="V197" s="2"/>
      <c r="W197" s="2"/>
      <c r="X197" s="2"/>
      <c r="Y197" s="2"/>
      <c r="Z197" s="2"/>
    </row>
    <row r="198" spans="1:26" s="74" customFormat="1" outlineLevel="1">
      <c r="A198" s="73" t="s">
        <v>302</v>
      </c>
      <c r="B198" s="65" t="s">
        <v>969</v>
      </c>
      <c r="C198" s="220">
        <v>60028</v>
      </c>
      <c r="D198" s="216" t="s">
        <v>972</v>
      </c>
      <c r="E198" s="215"/>
      <c r="F198" s="186">
        <v>42885</v>
      </c>
      <c r="G198" s="69"/>
      <c r="H198" s="65"/>
      <c r="I198" s="231" t="s">
        <v>302</v>
      </c>
      <c r="J198" s="76" t="s">
        <v>1034</v>
      </c>
      <c r="K198" s="76" t="s">
        <v>1033</v>
      </c>
      <c r="L198" s="76" t="s">
        <v>297</v>
      </c>
      <c r="M198" s="187">
        <v>-24.85</v>
      </c>
      <c r="N198" s="65"/>
      <c r="O198" s="65"/>
      <c r="P198" s="65"/>
      <c r="Q198" s="73" t="s">
        <v>171</v>
      </c>
      <c r="R198" s="188">
        <v>-24.85</v>
      </c>
      <c r="S198" s="188">
        <v>-24.85</v>
      </c>
      <c r="T198" s="2"/>
      <c r="U198" s="2"/>
      <c r="V198" s="2"/>
      <c r="W198" s="2"/>
      <c r="X198" s="2"/>
      <c r="Y198" s="2"/>
      <c r="Z198" s="2"/>
    </row>
    <row r="199" spans="1:26" s="74" customFormat="1" outlineLevel="1">
      <c r="A199" s="73" t="s">
        <v>302</v>
      </c>
      <c r="B199" s="65" t="s">
        <v>969</v>
      </c>
      <c r="C199" s="220">
        <v>60039</v>
      </c>
      <c r="D199" s="216" t="s">
        <v>985</v>
      </c>
      <c r="E199" s="215"/>
      <c r="F199" s="186">
        <v>42885</v>
      </c>
      <c r="G199" s="69"/>
      <c r="H199" s="65"/>
      <c r="I199" s="231" t="s">
        <v>302</v>
      </c>
      <c r="J199" s="76" t="s">
        <v>1034</v>
      </c>
      <c r="K199" s="76" t="s">
        <v>1033</v>
      </c>
      <c r="L199" s="76" t="s">
        <v>297</v>
      </c>
      <c r="M199" s="187">
        <v>-80.38</v>
      </c>
      <c r="N199" s="65"/>
      <c r="O199" s="65"/>
      <c r="P199" s="65"/>
      <c r="Q199" s="73" t="s">
        <v>171</v>
      </c>
      <c r="R199" s="188">
        <v>-80.38</v>
      </c>
      <c r="S199" s="188">
        <v>-80.38</v>
      </c>
      <c r="T199" s="2"/>
      <c r="U199" s="2"/>
      <c r="V199" s="2"/>
      <c r="W199" s="2"/>
      <c r="X199" s="2"/>
      <c r="Y199" s="2"/>
      <c r="Z199" s="2"/>
    </row>
    <row r="200" spans="1:26" s="74" customFormat="1" outlineLevel="1">
      <c r="A200" s="73" t="s">
        <v>302</v>
      </c>
      <c r="B200" s="65" t="s">
        <v>969</v>
      </c>
      <c r="C200" s="220">
        <v>60025</v>
      </c>
      <c r="D200" s="216" t="s">
        <v>973</v>
      </c>
      <c r="E200" s="215"/>
      <c r="F200" s="186">
        <v>42885</v>
      </c>
      <c r="G200" s="69"/>
      <c r="H200" s="65"/>
      <c r="I200" s="231" t="s">
        <v>302</v>
      </c>
      <c r="J200" s="76" t="s">
        <v>1034</v>
      </c>
      <c r="K200" s="76" t="s">
        <v>1033</v>
      </c>
      <c r="L200" s="76" t="s">
        <v>297</v>
      </c>
      <c r="M200" s="187">
        <v>-20.420000000000002</v>
      </c>
      <c r="N200" s="65"/>
      <c r="O200" s="65"/>
      <c r="P200" s="65"/>
      <c r="Q200" s="73" t="s">
        <v>171</v>
      </c>
      <c r="R200" s="188">
        <v>-20.420000000000002</v>
      </c>
      <c r="S200" s="188">
        <v>-20.420000000000002</v>
      </c>
      <c r="T200" s="2"/>
      <c r="U200" s="2"/>
      <c r="V200" s="2"/>
      <c r="W200" s="2"/>
      <c r="X200" s="2"/>
      <c r="Y200" s="2"/>
      <c r="Z200" s="2"/>
    </row>
    <row r="201" spans="1:26" s="74" customFormat="1" outlineLevel="1">
      <c r="A201" s="73" t="s">
        <v>302</v>
      </c>
      <c r="B201" s="65" t="s">
        <v>969</v>
      </c>
      <c r="C201" s="220">
        <v>60028</v>
      </c>
      <c r="D201" s="216" t="s">
        <v>972</v>
      </c>
      <c r="E201" s="215"/>
      <c r="F201" s="186">
        <v>42886</v>
      </c>
      <c r="G201" s="69"/>
      <c r="H201" s="65"/>
      <c r="I201" s="231" t="s">
        <v>302</v>
      </c>
      <c r="J201" s="76" t="s">
        <v>1034</v>
      </c>
      <c r="K201" s="76" t="s">
        <v>1033</v>
      </c>
      <c r="L201" s="76" t="s">
        <v>297</v>
      </c>
      <c r="M201" s="187">
        <v>-14.19</v>
      </c>
      <c r="N201" s="65"/>
      <c r="O201" s="65"/>
      <c r="P201" s="65"/>
      <c r="Q201" s="73" t="s">
        <v>171</v>
      </c>
      <c r="R201" s="188">
        <v>-14.19</v>
      </c>
      <c r="S201" s="188">
        <v>-14.19</v>
      </c>
      <c r="T201" s="2"/>
      <c r="U201" s="2"/>
      <c r="V201" s="2"/>
      <c r="W201" s="2"/>
      <c r="X201" s="2"/>
      <c r="Y201" s="2"/>
      <c r="Z201" s="2"/>
    </row>
    <row r="202" spans="1:26" s="208" customFormat="1">
      <c r="A202" s="232"/>
      <c r="B202" s="232"/>
      <c r="C202" s="232"/>
      <c r="D202" s="232" t="s">
        <v>992</v>
      </c>
      <c r="E202" s="232"/>
      <c r="F202" s="232"/>
      <c r="G202" s="232"/>
      <c r="H202" s="232"/>
      <c r="I202" s="232"/>
      <c r="J202" s="232"/>
      <c r="K202" s="232"/>
      <c r="L202" s="232"/>
      <c r="M202" s="232"/>
      <c r="N202" s="232"/>
      <c r="O202" s="232"/>
      <c r="P202" s="232"/>
      <c r="Q202" s="232"/>
      <c r="R202" s="232"/>
      <c r="S202" s="232"/>
      <c r="T202" s="233"/>
      <c r="U202" s="233"/>
      <c r="V202" s="233"/>
      <c r="W202" s="233"/>
      <c r="X202" s="233"/>
      <c r="Y202" s="233"/>
      <c r="Z202" s="233"/>
    </row>
    <row r="203" spans="1:26" s="208" customFormat="1" ht="15.75" thickBot="1">
      <c r="A203" s="232"/>
      <c r="B203" s="232"/>
      <c r="C203" s="232"/>
      <c r="D203" s="232"/>
      <c r="E203" s="232"/>
      <c r="F203" s="232"/>
      <c r="G203" s="232"/>
      <c r="H203" s="232"/>
      <c r="I203" s="232"/>
      <c r="J203" s="232"/>
      <c r="K203" s="232"/>
      <c r="L203" s="232"/>
      <c r="M203" s="234"/>
      <c r="N203" s="234"/>
      <c r="O203" s="234"/>
      <c r="P203" s="234"/>
      <c r="Q203" s="235">
        <f>SUM(Q163:Q202)</f>
        <v>0</v>
      </c>
      <c r="R203" s="235">
        <f>SUM(R163:R202)</f>
        <v>-13036.770000000004</v>
      </c>
      <c r="S203" s="235">
        <f>SUM(S163:S202)</f>
        <v>-13036.770000000004</v>
      </c>
      <c r="T203" s="243"/>
      <c r="U203" s="245"/>
      <c r="V203" s="233"/>
      <c r="W203" s="233"/>
      <c r="X203" s="233"/>
      <c r="Y203" s="233"/>
      <c r="Z203" s="233"/>
    </row>
    <row r="204" spans="1:26" s="208" customFormat="1" ht="15.75" thickTop="1">
      <c r="A204" s="232"/>
      <c r="B204" s="232"/>
      <c r="C204" s="232"/>
      <c r="D204" s="232"/>
      <c r="E204" s="232"/>
      <c r="F204" s="232"/>
      <c r="G204" s="232"/>
      <c r="H204" s="232"/>
      <c r="I204" s="232"/>
      <c r="J204" s="232"/>
      <c r="K204" s="232"/>
      <c r="L204" s="232"/>
      <c r="M204" s="232"/>
      <c r="N204" s="232"/>
      <c r="O204" s="232"/>
      <c r="P204" s="232"/>
      <c r="Q204" s="232"/>
      <c r="R204" s="232"/>
      <c r="S204" s="232"/>
      <c r="T204" s="233"/>
      <c r="U204" s="244"/>
      <c r="V204" s="233"/>
      <c r="W204" s="233"/>
      <c r="X204" s="233"/>
      <c r="Y204" s="233"/>
      <c r="Z204" s="233"/>
    </row>
    <row r="205" spans="1:26" s="208" customFormat="1" ht="17.25">
      <c r="A205" s="229" t="s">
        <v>968</v>
      </c>
      <c r="B205" s="8"/>
      <c r="C205" s="232"/>
      <c r="D205" s="232"/>
      <c r="E205" s="232"/>
      <c r="F205" s="232"/>
      <c r="G205" s="232"/>
      <c r="H205" s="232"/>
      <c r="I205" s="232"/>
      <c r="J205" s="232"/>
      <c r="K205" s="232"/>
      <c r="L205" s="232"/>
      <c r="M205" s="232"/>
      <c r="N205" s="232"/>
      <c r="O205" s="232"/>
      <c r="P205" s="232"/>
      <c r="Q205" s="232"/>
      <c r="R205" s="232"/>
      <c r="S205" s="232"/>
      <c r="T205" s="233"/>
      <c r="U205" s="233"/>
      <c r="V205" s="233"/>
      <c r="W205" s="233"/>
      <c r="X205" s="233"/>
      <c r="Y205" s="233"/>
      <c r="Z205" s="233"/>
    </row>
    <row r="206" spans="1:26" s="208" customFormat="1" ht="17.25">
      <c r="A206" s="222">
        <v>42887</v>
      </c>
      <c r="B206" s="8"/>
      <c r="C206" s="232"/>
      <c r="D206" s="232"/>
      <c r="E206" s="232"/>
      <c r="F206" s="232"/>
      <c r="G206" s="232"/>
      <c r="H206" s="232"/>
      <c r="I206" s="232"/>
      <c r="J206" s="232"/>
      <c r="K206" s="232"/>
      <c r="L206" s="232"/>
      <c r="M206" s="232"/>
      <c r="N206" s="232"/>
      <c r="O206" s="232"/>
      <c r="P206" s="232"/>
      <c r="Q206" s="232"/>
      <c r="R206" s="232"/>
      <c r="S206" s="232"/>
      <c r="T206" s="233"/>
      <c r="U206" s="233"/>
      <c r="V206" s="233"/>
      <c r="W206" s="233"/>
      <c r="X206" s="233"/>
      <c r="Y206" s="233"/>
      <c r="Z206" s="233"/>
    </row>
    <row r="207" spans="1:26" s="208" customFormat="1">
      <c r="A207" s="232"/>
      <c r="B207" s="232"/>
      <c r="C207" s="232"/>
      <c r="D207" s="232"/>
      <c r="E207" s="232"/>
      <c r="F207" s="232"/>
      <c r="G207" s="232"/>
      <c r="H207" s="232"/>
      <c r="I207" s="232"/>
      <c r="J207" s="232"/>
      <c r="K207" s="232"/>
      <c r="L207" s="232"/>
      <c r="M207" s="232"/>
      <c r="N207" s="232"/>
      <c r="O207" s="232"/>
      <c r="P207" s="232"/>
      <c r="Q207" s="232"/>
      <c r="R207" s="232"/>
      <c r="S207" s="232"/>
      <c r="T207" s="233"/>
      <c r="U207" s="233"/>
      <c r="V207" s="233"/>
      <c r="W207" s="233"/>
      <c r="X207" s="233"/>
      <c r="Y207" s="233"/>
      <c r="Z207" s="233"/>
    </row>
    <row r="208" spans="1:26" s="208" customFormat="1">
      <c r="A208" s="71" t="s">
        <v>135</v>
      </c>
      <c r="B208" s="71" t="s">
        <v>136</v>
      </c>
      <c r="C208" s="71" t="s">
        <v>158</v>
      </c>
      <c r="D208" s="71" t="s">
        <v>159</v>
      </c>
      <c r="E208" s="72" t="s">
        <v>242</v>
      </c>
      <c r="F208" s="71" t="s">
        <v>116</v>
      </c>
      <c r="G208" s="71" t="s">
        <v>160</v>
      </c>
      <c r="H208" s="71" t="s">
        <v>161</v>
      </c>
      <c r="I208" s="71" t="s">
        <v>162</v>
      </c>
      <c r="J208" s="71" t="s">
        <v>163</v>
      </c>
      <c r="K208" s="71" t="s">
        <v>1128</v>
      </c>
      <c r="L208" s="71" t="s">
        <v>164</v>
      </c>
      <c r="M208" s="71" t="s">
        <v>165</v>
      </c>
      <c r="N208" s="71" t="s">
        <v>166</v>
      </c>
      <c r="O208" s="71" t="s">
        <v>167</v>
      </c>
      <c r="P208" s="71" t="s">
        <v>168</v>
      </c>
      <c r="Q208" s="71" t="s">
        <v>169</v>
      </c>
      <c r="R208" s="71" t="s">
        <v>170</v>
      </c>
      <c r="S208" s="319" t="s">
        <v>1127</v>
      </c>
      <c r="T208" s="233"/>
      <c r="U208" s="233"/>
      <c r="V208" s="233"/>
      <c r="W208" s="233"/>
      <c r="X208" s="233"/>
      <c r="Y208" s="233"/>
      <c r="Z208" s="233"/>
    </row>
    <row r="209" spans="1:26" s="74" customFormat="1" outlineLevel="1">
      <c r="A209" s="73" t="s">
        <v>302</v>
      </c>
      <c r="B209" s="65" t="s">
        <v>969</v>
      </c>
      <c r="C209" s="220">
        <v>60012</v>
      </c>
      <c r="D209" s="216" t="s">
        <v>971</v>
      </c>
      <c r="E209" s="215"/>
      <c r="F209" s="186">
        <v>42887</v>
      </c>
      <c r="G209" s="69"/>
      <c r="H209" s="65"/>
      <c r="I209" s="231" t="s">
        <v>302</v>
      </c>
      <c r="J209" s="76" t="s">
        <v>1034</v>
      </c>
      <c r="K209" s="76" t="s">
        <v>1033</v>
      </c>
      <c r="L209" s="76" t="s">
        <v>297</v>
      </c>
      <c r="M209" s="187">
        <v>-20</v>
      </c>
      <c r="N209" s="65"/>
      <c r="O209" s="65"/>
      <c r="P209" s="65"/>
      <c r="Q209" s="73" t="s">
        <v>171</v>
      </c>
      <c r="R209" s="188">
        <v>-20</v>
      </c>
      <c r="S209" s="188">
        <v>-20</v>
      </c>
      <c r="T209" s="2"/>
      <c r="U209" s="2"/>
      <c r="V209" s="2"/>
      <c r="W209" s="2"/>
      <c r="X209" s="2"/>
      <c r="Y209" s="2"/>
      <c r="Z209" s="2"/>
    </row>
    <row r="210" spans="1:26" s="74" customFormat="1" outlineLevel="1">
      <c r="A210" s="73" t="s">
        <v>302</v>
      </c>
      <c r="B210" s="65" t="s">
        <v>969</v>
      </c>
      <c r="C210" s="220">
        <v>60028</v>
      </c>
      <c r="D210" s="216" t="s">
        <v>972</v>
      </c>
      <c r="E210" s="215"/>
      <c r="F210" s="186">
        <v>42888</v>
      </c>
      <c r="G210" s="69"/>
      <c r="H210" s="65"/>
      <c r="I210" s="231" t="s">
        <v>302</v>
      </c>
      <c r="J210" s="76" t="s">
        <v>1034</v>
      </c>
      <c r="K210" s="76" t="s">
        <v>1033</v>
      </c>
      <c r="L210" s="76" t="s">
        <v>297</v>
      </c>
      <c r="M210" s="187">
        <v>-21.34</v>
      </c>
      <c r="N210" s="65"/>
      <c r="O210" s="65"/>
      <c r="P210" s="65"/>
      <c r="Q210" s="73" t="s">
        <v>171</v>
      </c>
      <c r="R210" s="188">
        <v>-21.34</v>
      </c>
      <c r="S210" s="188">
        <v>-21.34</v>
      </c>
      <c r="T210" s="2"/>
      <c r="U210" s="2"/>
      <c r="V210" s="2"/>
      <c r="W210" s="2"/>
      <c r="X210" s="2"/>
      <c r="Y210" s="2"/>
      <c r="Z210" s="2"/>
    </row>
    <row r="211" spans="1:26" s="74" customFormat="1" outlineLevel="1">
      <c r="A211" s="73" t="s">
        <v>302</v>
      </c>
      <c r="B211" s="65" t="s">
        <v>969</v>
      </c>
      <c r="C211" s="220">
        <v>60033</v>
      </c>
      <c r="D211" s="216" t="s">
        <v>970</v>
      </c>
      <c r="E211" s="215"/>
      <c r="F211" s="186">
        <v>42891</v>
      </c>
      <c r="G211" s="69"/>
      <c r="H211" s="65"/>
      <c r="I211" s="231" t="s">
        <v>302</v>
      </c>
      <c r="J211" s="76" t="s">
        <v>1034</v>
      </c>
      <c r="K211" s="76" t="s">
        <v>1033</v>
      </c>
      <c r="L211" s="76" t="s">
        <v>297</v>
      </c>
      <c r="M211" s="187">
        <v>-3110.34</v>
      </c>
      <c r="N211" s="65"/>
      <c r="O211" s="65"/>
      <c r="P211" s="65"/>
      <c r="Q211" s="73" t="s">
        <v>171</v>
      </c>
      <c r="R211" s="188">
        <v>-3110.34</v>
      </c>
      <c r="S211" s="188">
        <v>-3110.34</v>
      </c>
      <c r="T211" s="2"/>
      <c r="U211" s="2"/>
      <c r="V211" s="2"/>
      <c r="W211" s="2"/>
      <c r="X211" s="2"/>
      <c r="Y211" s="2"/>
      <c r="Z211" s="2"/>
    </row>
    <row r="212" spans="1:26" s="74" customFormat="1" outlineLevel="1">
      <c r="A212" s="73" t="s">
        <v>302</v>
      </c>
      <c r="B212" s="65" t="s">
        <v>969</v>
      </c>
      <c r="C212" s="220">
        <v>60033</v>
      </c>
      <c r="D212" s="216" t="s">
        <v>970</v>
      </c>
      <c r="E212" s="215"/>
      <c r="F212" s="186">
        <v>42891</v>
      </c>
      <c r="G212" s="69"/>
      <c r="H212" s="65"/>
      <c r="I212" s="231" t="s">
        <v>302</v>
      </c>
      <c r="J212" s="76" t="s">
        <v>1034</v>
      </c>
      <c r="K212" s="76" t="s">
        <v>1033</v>
      </c>
      <c r="L212" s="76" t="s">
        <v>297</v>
      </c>
      <c r="M212" s="187">
        <v>-2500</v>
      </c>
      <c r="N212" s="65"/>
      <c r="O212" s="65"/>
      <c r="P212" s="65"/>
      <c r="Q212" s="73" t="s">
        <v>171</v>
      </c>
      <c r="R212" s="188">
        <v>-2500</v>
      </c>
      <c r="S212" s="188">
        <v>-2500</v>
      </c>
      <c r="T212" s="2"/>
      <c r="U212" s="2"/>
      <c r="V212" s="2"/>
      <c r="W212" s="2"/>
      <c r="X212" s="2"/>
      <c r="Y212" s="2"/>
      <c r="Z212" s="2"/>
    </row>
    <row r="213" spans="1:26" s="74" customFormat="1" outlineLevel="1">
      <c r="A213" s="73" t="s">
        <v>302</v>
      </c>
      <c r="B213" s="65" t="s">
        <v>969</v>
      </c>
      <c r="C213" s="220">
        <v>60027</v>
      </c>
      <c r="D213" s="216" t="s">
        <v>983</v>
      </c>
      <c r="E213" s="215"/>
      <c r="F213" s="186">
        <v>42891</v>
      </c>
      <c r="G213" s="69"/>
      <c r="H213" s="65"/>
      <c r="I213" s="231" t="s">
        <v>302</v>
      </c>
      <c r="J213" s="76" t="s">
        <v>1034</v>
      </c>
      <c r="K213" s="76" t="s">
        <v>1033</v>
      </c>
      <c r="L213" s="76" t="s">
        <v>297</v>
      </c>
      <c r="M213" s="187">
        <v>-55.13</v>
      </c>
      <c r="N213" s="65"/>
      <c r="O213" s="65"/>
      <c r="P213" s="65"/>
      <c r="Q213" s="73" t="s">
        <v>171</v>
      </c>
      <c r="R213" s="188">
        <v>-55.13</v>
      </c>
      <c r="S213" s="188">
        <v>-55.13</v>
      </c>
      <c r="T213" s="2"/>
      <c r="U213" s="2"/>
      <c r="V213" s="2"/>
      <c r="W213" s="2"/>
      <c r="X213" s="2"/>
      <c r="Y213" s="2"/>
      <c r="Z213" s="2"/>
    </row>
    <row r="214" spans="1:26" s="74" customFormat="1" outlineLevel="1">
      <c r="A214" s="73" t="s">
        <v>302</v>
      </c>
      <c r="B214" s="65" t="s">
        <v>969</v>
      </c>
      <c r="C214" s="220">
        <v>60042</v>
      </c>
      <c r="D214" s="216" t="s">
        <v>974</v>
      </c>
      <c r="E214" s="215"/>
      <c r="F214" s="186">
        <v>42891</v>
      </c>
      <c r="G214" s="69"/>
      <c r="H214" s="65"/>
      <c r="I214" s="231" t="s">
        <v>302</v>
      </c>
      <c r="J214" s="76" t="s">
        <v>1034</v>
      </c>
      <c r="K214" s="76" t="s">
        <v>1033</v>
      </c>
      <c r="L214" s="76" t="s">
        <v>297</v>
      </c>
      <c r="M214" s="187">
        <v>-261.33</v>
      </c>
      <c r="N214" s="65"/>
      <c r="O214" s="65"/>
      <c r="P214" s="65"/>
      <c r="Q214" s="73" t="s">
        <v>171</v>
      </c>
      <c r="R214" s="188">
        <v>-261.33</v>
      </c>
      <c r="S214" s="188">
        <v>-261.33</v>
      </c>
      <c r="T214" s="2"/>
      <c r="U214" s="2"/>
      <c r="V214" s="2"/>
      <c r="W214" s="2"/>
      <c r="X214" s="2"/>
      <c r="Y214" s="2"/>
      <c r="Z214" s="2"/>
    </row>
    <row r="215" spans="1:26" s="74" customFormat="1" outlineLevel="1">
      <c r="A215" s="73" t="s">
        <v>302</v>
      </c>
      <c r="B215" s="65" t="s">
        <v>969</v>
      </c>
      <c r="C215" s="220">
        <v>60012</v>
      </c>
      <c r="D215" s="216" t="s">
        <v>971</v>
      </c>
      <c r="E215" s="215"/>
      <c r="F215" s="186">
        <v>42892</v>
      </c>
      <c r="G215" s="69"/>
      <c r="H215" s="65"/>
      <c r="I215" s="231" t="s">
        <v>302</v>
      </c>
      <c r="J215" s="76" t="s">
        <v>1034</v>
      </c>
      <c r="K215" s="76" t="s">
        <v>1033</v>
      </c>
      <c r="L215" s="76" t="s">
        <v>297</v>
      </c>
      <c r="M215" s="187">
        <v>-922.83</v>
      </c>
      <c r="N215" s="65"/>
      <c r="O215" s="65"/>
      <c r="P215" s="65"/>
      <c r="Q215" s="73" t="s">
        <v>171</v>
      </c>
      <c r="R215" s="188">
        <v>-922.83</v>
      </c>
      <c r="S215" s="188">
        <v>-922.83</v>
      </c>
      <c r="T215" s="2"/>
      <c r="U215" s="2"/>
      <c r="V215" s="2"/>
      <c r="W215" s="2"/>
      <c r="X215" s="2"/>
      <c r="Y215" s="2"/>
      <c r="Z215" s="2"/>
    </row>
    <row r="216" spans="1:26" s="74" customFormat="1" outlineLevel="1">
      <c r="A216" s="73" t="s">
        <v>302</v>
      </c>
      <c r="B216" s="65" t="s">
        <v>969</v>
      </c>
      <c r="C216" s="220">
        <v>60028</v>
      </c>
      <c r="D216" s="216" t="s">
        <v>972</v>
      </c>
      <c r="E216" s="215"/>
      <c r="F216" s="186">
        <v>42892</v>
      </c>
      <c r="G216" s="69"/>
      <c r="H216" s="65"/>
      <c r="I216" s="231" t="s">
        <v>302</v>
      </c>
      <c r="J216" s="76" t="s">
        <v>1034</v>
      </c>
      <c r="K216" s="76" t="s">
        <v>1033</v>
      </c>
      <c r="L216" s="76" t="s">
        <v>297</v>
      </c>
      <c r="M216" s="187">
        <v>-256.73</v>
      </c>
      <c r="N216" s="65"/>
      <c r="O216" s="65"/>
      <c r="P216" s="65"/>
      <c r="Q216" s="73" t="s">
        <v>171</v>
      </c>
      <c r="R216" s="188">
        <v>-256.73</v>
      </c>
      <c r="S216" s="188">
        <v>-256.73</v>
      </c>
      <c r="T216" s="2"/>
      <c r="U216" s="2"/>
      <c r="V216" s="2"/>
      <c r="W216" s="2"/>
      <c r="X216" s="2"/>
      <c r="Y216" s="2"/>
      <c r="Z216" s="2"/>
    </row>
    <row r="217" spans="1:26" s="74" customFormat="1" outlineLevel="1">
      <c r="A217" s="73" t="s">
        <v>302</v>
      </c>
      <c r="B217" s="65" t="s">
        <v>969</v>
      </c>
      <c r="C217" s="220">
        <v>60042</v>
      </c>
      <c r="D217" s="216" t="s">
        <v>974</v>
      </c>
      <c r="E217" s="215"/>
      <c r="F217" s="186">
        <v>42893</v>
      </c>
      <c r="G217" s="69"/>
      <c r="H217" s="65"/>
      <c r="I217" s="231" t="s">
        <v>302</v>
      </c>
      <c r="J217" s="76" t="s">
        <v>1034</v>
      </c>
      <c r="K217" s="76" t="s">
        <v>1033</v>
      </c>
      <c r="L217" s="76" t="s">
        <v>297</v>
      </c>
      <c r="M217" s="187">
        <v>-834.26</v>
      </c>
      <c r="N217" s="65"/>
      <c r="O217" s="65"/>
      <c r="P217" s="65"/>
      <c r="Q217" s="73" t="s">
        <v>171</v>
      </c>
      <c r="R217" s="188">
        <v>-834.26</v>
      </c>
      <c r="S217" s="188">
        <v>-834.26</v>
      </c>
      <c r="T217" s="2"/>
      <c r="U217" s="2"/>
      <c r="V217" s="2"/>
      <c r="W217" s="2"/>
      <c r="X217" s="2"/>
      <c r="Y217" s="2"/>
      <c r="Z217" s="2"/>
    </row>
    <row r="218" spans="1:26" s="74" customFormat="1" outlineLevel="1">
      <c r="A218" s="73" t="s">
        <v>302</v>
      </c>
      <c r="B218" s="65" t="s">
        <v>969</v>
      </c>
      <c r="C218" s="220">
        <v>60039</v>
      </c>
      <c r="D218" s="216" t="s">
        <v>975</v>
      </c>
      <c r="E218" s="215"/>
      <c r="F218" s="186">
        <v>42893</v>
      </c>
      <c r="G218" s="69"/>
      <c r="H218" s="65"/>
      <c r="I218" s="231" t="s">
        <v>302</v>
      </c>
      <c r="J218" s="76" t="s">
        <v>1034</v>
      </c>
      <c r="K218" s="76" t="s">
        <v>1033</v>
      </c>
      <c r="L218" s="76" t="s">
        <v>297</v>
      </c>
      <c r="M218" s="187">
        <v>-75</v>
      </c>
      <c r="N218" s="65"/>
      <c r="O218" s="65"/>
      <c r="P218" s="65"/>
      <c r="Q218" s="73" t="s">
        <v>171</v>
      </c>
      <c r="R218" s="188">
        <v>-75</v>
      </c>
      <c r="S218" s="188">
        <v>-75</v>
      </c>
      <c r="T218" s="2"/>
      <c r="U218" s="2"/>
      <c r="V218" s="2"/>
      <c r="W218" s="2"/>
      <c r="X218" s="2"/>
      <c r="Y218" s="2"/>
      <c r="Z218" s="2"/>
    </row>
    <row r="219" spans="1:26" s="74" customFormat="1" outlineLevel="1">
      <c r="A219" s="73" t="s">
        <v>302</v>
      </c>
      <c r="B219" s="65" t="s">
        <v>969</v>
      </c>
      <c r="C219" s="220">
        <v>60015</v>
      </c>
      <c r="D219" s="216" t="s">
        <v>980</v>
      </c>
      <c r="E219" s="215"/>
      <c r="F219" s="186">
        <v>42894</v>
      </c>
      <c r="G219" s="69"/>
      <c r="H219" s="65"/>
      <c r="I219" s="231" t="s">
        <v>302</v>
      </c>
      <c r="J219" s="76" t="s">
        <v>1034</v>
      </c>
      <c r="K219" s="76" t="s">
        <v>1033</v>
      </c>
      <c r="L219" s="76" t="s">
        <v>297</v>
      </c>
      <c r="M219" s="187">
        <v>-100</v>
      </c>
      <c r="N219" s="65"/>
      <c r="O219" s="65"/>
      <c r="P219" s="65"/>
      <c r="Q219" s="73" t="s">
        <v>171</v>
      </c>
      <c r="R219" s="188">
        <v>-100</v>
      </c>
      <c r="S219" s="188">
        <v>-100</v>
      </c>
      <c r="T219" s="2"/>
      <c r="U219" s="2"/>
      <c r="V219" s="2"/>
      <c r="W219" s="2"/>
      <c r="X219" s="2"/>
      <c r="Y219" s="2"/>
      <c r="Z219" s="2"/>
    </row>
    <row r="220" spans="1:26" s="74" customFormat="1" outlineLevel="1">
      <c r="A220" s="73" t="s">
        <v>302</v>
      </c>
      <c r="B220" s="65" t="s">
        <v>969</v>
      </c>
      <c r="C220" s="220">
        <v>60042</v>
      </c>
      <c r="D220" s="216" t="s">
        <v>974</v>
      </c>
      <c r="E220" s="215"/>
      <c r="F220" s="186">
        <v>42898</v>
      </c>
      <c r="G220" s="69"/>
      <c r="H220" s="65"/>
      <c r="I220" s="231" t="s">
        <v>302</v>
      </c>
      <c r="J220" s="76" t="s">
        <v>1034</v>
      </c>
      <c r="K220" s="76" t="s">
        <v>1033</v>
      </c>
      <c r="L220" s="76" t="s">
        <v>297</v>
      </c>
      <c r="M220" s="187">
        <v>-84.91</v>
      </c>
      <c r="N220" s="65"/>
      <c r="O220" s="65"/>
      <c r="P220" s="65"/>
      <c r="Q220" s="73" t="s">
        <v>171</v>
      </c>
      <c r="R220" s="188">
        <v>-84.91</v>
      </c>
      <c r="S220" s="188">
        <v>-84.91</v>
      </c>
      <c r="T220" s="2"/>
      <c r="U220" s="2"/>
      <c r="V220" s="2"/>
      <c r="W220" s="2"/>
      <c r="X220" s="2"/>
      <c r="Y220" s="2"/>
      <c r="Z220" s="2"/>
    </row>
    <row r="221" spans="1:26" s="74" customFormat="1" outlineLevel="1">
      <c r="A221" s="73" t="s">
        <v>302</v>
      </c>
      <c r="B221" s="65" t="s">
        <v>969</v>
      </c>
      <c r="C221" s="220">
        <v>60039</v>
      </c>
      <c r="D221" s="216" t="s">
        <v>975</v>
      </c>
      <c r="E221" s="215"/>
      <c r="F221" s="186">
        <v>42898</v>
      </c>
      <c r="G221" s="69"/>
      <c r="H221" s="65"/>
      <c r="I221" s="231" t="s">
        <v>302</v>
      </c>
      <c r="J221" s="76" t="s">
        <v>1034</v>
      </c>
      <c r="K221" s="76" t="s">
        <v>1033</v>
      </c>
      <c r="L221" s="76" t="s">
        <v>297</v>
      </c>
      <c r="M221" s="187">
        <v>-48.25</v>
      </c>
      <c r="N221" s="65"/>
      <c r="O221" s="65"/>
      <c r="P221" s="65"/>
      <c r="Q221" s="73" t="s">
        <v>171</v>
      </c>
      <c r="R221" s="188">
        <v>-48.25</v>
      </c>
      <c r="S221" s="188">
        <v>-48.25</v>
      </c>
      <c r="T221" s="2"/>
      <c r="U221" s="2"/>
      <c r="V221" s="2"/>
      <c r="W221" s="2"/>
      <c r="X221" s="2"/>
      <c r="Y221" s="2"/>
      <c r="Z221" s="2"/>
    </row>
    <row r="222" spans="1:26" s="74" customFormat="1" outlineLevel="1">
      <c r="A222" s="73" t="s">
        <v>302</v>
      </c>
      <c r="B222" s="65" t="s">
        <v>969</v>
      </c>
      <c r="C222" s="220">
        <v>60039</v>
      </c>
      <c r="D222" s="216" t="s">
        <v>975</v>
      </c>
      <c r="E222" s="215"/>
      <c r="F222" s="186">
        <v>42905</v>
      </c>
      <c r="G222" s="69"/>
      <c r="H222" s="65"/>
      <c r="I222" s="231" t="s">
        <v>302</v>
      </c>
      <c r="J222" s="76" t="s">
        <v>1034</v>
      </c>
      <c r="K222" s="76" t="s">
        <v>1033</v>
      </c>
      <c r="L222" s="76" t="s">
        <v>297</v>
      </c>
      <c r="M222" s="187">
        <v>-19</v>
      </c>
      <c r="N222" s="65"/>
      <c r="O222" s="65"/>
      <c r="P222" s="65"/>
      <c r="Q222" s="73" t="s">
        <v>171</v>
      </c>
      <c r="R222" s="188">
        <v>-19</v>
      </c>
      <c r="S222" s="188">
        <v>-19</v>
      </c>
      <c r="T222" s="2"/>
      <c r="U222" s="2"/>
      <c r="V222" s="2"/>
      <c r="W222" s="2"/>
      <c r="X222" s="2"/>
      <c r="Y222" s="2"/>
      <c r="Z222" s="2"/>
    </row>
    <row r="223" spans="1:26" s="74" customFormat="1" outlineLevel="1">
      <c r="A223" s="73" t="s">
        <v>302</v>
      </c>
      <c r="B223" s="65" t="s">
        <v>969</v>
      </c>
      <c r="C223" s="220">
        <v>60039</v>
      </c>
      <c r="D223" s="216" t="s">
        <v>975</v>
      </c>
      <c r="E223" s="215"/>
      <c r="F223" s="186">
        <v>42905</v>
      </c>
      <c r="G223" s="69"/>
      <c r="H223" s="65"/>
      <c r="I223" s="231" t="s">
        <v>302</v>
      </c>
      <c r="J223" s="76" t="s">
        <v>1034</v>
      </c>
      <c r="K223" s="76" t="s">
        <v>1033</v>
      </c>
      <c r="L223" s="76" t="s">
        <v>297</v>
      </c>
      <c r="M223" s="187">
        <v>-74.239999999999995</v>
      </c>
      <c r="N223" s="65"/>
      <c r="O223" s="65"/>
      <c r="P223" s="65"/>
      <c r="Q223" s="73" t="s">
        <v>171</v>
      </c>
      <c r="R223" s="188">
        <v>-74.239999999999995</v>
      </c>
      <c r="S223" s="188">
        <v>-74.239999999999995</v>
      </c>
      <c r="T223" s="2"/>
      <c r="U223" s="2"/>
      <c r="V223" s="2"/>
      <c r="W223" s="2"/>
      <c r="X223" s="2"/>
      <c r="Y223" s="2"/>
      <c r="Z223" s="2"/>
    </row>
    <row r="224" spans="1:26" s="74" customFormat="1" outlineLevel="1">
      <c r="A224" s="73" t="s">
        <v>302</v>
      </c>
      <c r="B224" s="65" t="s">
        <v>969</v>
      </c>
      <c r="C224" s="220">
        <v>60042</v>
      </c>
      <c r="D224" s="216" t="s">
        <v>974</v>
      </c>
      <c r="E224" s="215"/>
      <c r="F224" s="186">
        <v>42906</v>
      </c>
      <c r="G224" s="69"/>
      <c r="H224" s="65"/>
      <c r="I224" s="231" t="s">
        <v>302</v>
      </c>
      <c r="J224" s="76" t="s">
        <v>1034</v>
      </c>
      <c r="K224" s="76" t="s">
        <v>1033</v>
      </c>
      <c r="L224" s="76" t="s">
        <v>297</v>
      </c>
      <c r="M224" s="187">
        <v>-111.28</v>
      </c>
      <c r="N224" s="65"/>
      <c r="O224" s="65"/>
      <c r="P224" s="65"/>
      <c r="Q224" s="73" t="s">
        <v>171</v>
      </c>
      <c r="R224" s="188">
        <v>-111.28</v>
      </c>
      <c r="S224" s="188">
        <v>-111.28</v>
      </c>
      <c r="T224" s="2"/>
      <c r="U224" s="2"/>
      <c r="V224" s="2"/>
      <c r="W224" s="2"/>
      <c r="X224" s="2"/>
      <c r="Y224" s="2"/>
      <c r="Z224" s="2"/>
    </row>
    <row r="225" spans="1:26" s="74" customFormat="1" outlineLevel="1">
      <c r="A225" s="73" t="s">
        <v>302</v>
      </c>
      <c r="B225" s="65" t="s">
        <v>969</v>
      </c>
      <c r="C225" s="220">
        <v>60028</v>
      </c>
      <c r="D225" s="216" t="s">
        <v>972</v>
      </c>
      <c r="E225" s="215"/>
      <c r="F225" s="186">
        <v>42909</v>
      </c>
      <c r="G225" s="69"/>
      <c r="H225" s="65"/>
      <c r="I225" s="231" t="s">
        <v>302</v>
      </c>
      <c r="J225" s="76" t="s">
        <v>1034</v>
      </c>
      <c r="K225" s="76" t="s">
        <v>1033</v>
      </c>
      <c r="L225" s="76" t="s">
        <v>297</v>
      </c>
      <c r="M225" s="187">
        <v>-40</v>
      </c>
      <c r="N225" s="65"/>
      <c r="O225" s="65"/>
      <c r="P225" s="65"/>
      <c r="Q225" s="73" t="s">
        <v>171</v>
      </c>
      <c r="R225" s="188">
        <v>-40</v>
      </c>
      <c r="S225" s="188">
        <v>-40</v>
      </c>
      <c r="T225" s="2"/>
      <c r="U225" s="2"/>
      <c r="V225" s="2"/>
      <c r="W225" s="2"/>
      <c r="X225" s="2"/>
      <c r="Y225" s="2"/>
      <c r="Z225" s="2"/>
    </row>
    <row r="226" spans="1:26" s="74" customFormat="1" outlineLevel="1">
      <c r="A226" s="73" t="s">
        <v>302</v>
      </c>
      <c r="B226" s="65" t="s">
        <v>969</v>
      </c>
      <c r="C226" s="220">
        <v>60028</v>
      </c>
      <c r="D226" s="216" t="s">
        <v>972</v>
      </c>
      <c r="E226" s="215"/>
      <c r="F226" s="186">
        <v>42912</v>
      </c>
      <c r="G226" s="69"/>
      <c r="H226" s="65"/>
      <c r="I226" s="231" t="s">
        <v>302</v>
      </c>
      <c r="J226" s="76" t="s">
        <v>1034</v>
      </c>
      <c r="K226" s="76" t="s">
        <v>1033</v>
      </c>
      <c r="L226" s="76" t="s">
        <v>297</v>
      </c>
      <c r="M226" s="187">
        <v>-81.48</v>
      </c>
      <c r="N226" s="65"/>
      <c r="O226" s="65"/>
      <c r="P226" s="65"/>
      <c r="Q226" s="73" t="s">
        <v>171</v>
      </c>
      <c r="R226" s="188">
        <v>-81.48</v>
      </c>
      <c r="S226" s="188">
        <v>-81.48</v>
      </c>
      <c r="T226" s="2"/>
      <c r="U226" s="2"/>
      <c r="V226" s="2"/>
      <c r="W226" s="2"/>
      <c r="X226" s="2"/>
      <c r="Y226" s="2"/>
      <c r="Z226" s="2"/>
    </row>
    <row r="227" spans="1:26" s="74" customFormat="1" outlineLevel="1">
      <c r="A227" s="73" t="s">
        <v>302</v>
      </c>
      <c r="B227" s="65" t="s">
        <v>969</v>
      </c>
      <c r="C227" s="220">
        <v>60025</v>
      </c>
      <c r="D227" s="216" t="s">
        <v>973</v>
      </c>
      <c r="E227" s="215"/>
      <c r="F227" s="186">
        <v>42912</v>
      </c>
      <c r="G227" s="69"/>
      <c r="H227" s="65"/>
      <c r="I227" s="231" t="s">
        <v>302</v>
      </c>
      <c r="J227" s="76" t="s">
        <v>1034</v>
      </c>
      <c r="K227" s="76" t="s">
        <v>1033</v>
      </c>
      <c r="L227" s="76" t="s">
        <v>297</v>
      </c>
      <c r="M227" s="187">
        <v>-42</v>
      </c>
      <c r="N227" s="65"/>
      <c r="O227" s="65"/>
      <c r="P227" s="65"/>
      <c r="Q227" s="73" t="s">
        <v>171</v>
      </c>
      <c r="R227" s="188">
        <v>-42</v>
      </c>
      <c r="S227" s="188">
        <v>-42</v>
      </c>
      <c r="T227" s="2"/>
      <c r="U227" s="2"/>
      <c r="V227" s="2"/>
      <c r="W227" s="2"/>
      <c r="X227" s="2"/>
      <c r="Y227" s="2"/>
      <c r="Z227" s="2"/>
    </row>
    <row r="228" spans="1:26" s="74" customFormat="1" outlineLevel="1">
      <c r="A228" s="73" t="s">
        <v>302</v>
      </c>
      <c r="B228" s="65" t="s">
        <v>969</v>
      </c>
      <c r="C228" s="220">
        <v>60039</v>
      </c>
      <c r="D228" s="216" t="s">
        <v>975</v>
      </c>
      <c r="E228" s="215"/>
      <c r="F228" s="186">
        <v>42912</v>
      </c>
      <c r="G228" s="69"/>
      <c r="H228" s="65"/>
      <c r="I228" s="231" t="s">
        <v>302</v>
      </c>
      <c r="J228" s="76" t="s">
        <v>1034</v>
      </c>
      <c r="K228" s="76" t="s">
        <v>1033</v>
      </c>
      <c r="L228" s="76" t="s">
        <v>297</v>
      </c>
      <c r="M228" s="187">
        <v>-56.39</v>
      </c>
      <c r="N228" s="65"/>
      <c r="O228" s="65"/>
      <c r="P228" s="65"/>
      <c r="Q228" s="73" t="s">
        <v>171</v>
      </c>
      <c r="R228" s="188">
        <v>-56.39</v>
      </c>
      <c r="S228" s="188">
        <v>-56.39</v>
      </c>
      <c r="T228" s="2"/>
      <c r="U228" s="2"/>
      <c r="V228" s="2"/>
      <c r="W228" s="2"/>
      <c r="X228" s="2"/>
      <c r="Y228" s="2"/>
      <c r="Z228" s="2"/>
    </row>
    <row r="229" spans="1:26" s="74" customFormat="1" outlineLevel="1">
      <c r="A229" s="73" t="s">
        <v>302</v>
      </c>
      <c r="B229" s="65" t="s">
        <v>969</v>
      </c>
      <c r="C229" s="220">
        <v>60039</v>
      </c>
      <c r="D229" s="216" t="s">
        <v>975</v>
      </c>
      <c r="E229" s="215"/>
      <c r="F229" s="186">
        <v>42912</v>
      </c>
      <c r="G229" s="69"/>
      <c r="H229" s="65"/>
      <c r="I229" s="231" t="s">
        <v>302</v>
      </c>
      <c r="J229" s="76" t="s">
        <v>1034</v>
      </c>
      <c r="K229" s="76" t="s">
        <v>1033</v>
      </c>
      <c r="L229" s="76" t="s">
        <v>297</v>
      </c>
      <c r="M229" s="187">
        <v>-27.99</v>
      </c>
      <c r="N229" s="65"/>
      <c r="O229" s="65"/>
      <c r="P229" s="65"/>
      <c r="Q229" s="73" t="s">
        <v>171</v>
      </c>
      <c r="R229" s="188">
        <v>-27.99</v>
      </c>
      <c r="S229" s="188">
        <v>-27.99</v>
      </c>
      <c r="T229" s="2"/>
      <c r="U229" s="2"/>
      <c r="V229" s="2"/>
      <c r="W229" s="2"/>
      <c r="X229" s="2"/>
      <c r="Y229" s="2"/>
      <c r="Z229" s="2"/>
    </row>
    <row r="230" spans="1:26" s="74" customFormat="1" outlineLevel="1">
      <c r="A230" s="73" t="s">
        <v>302</v>
      </c>
      <c r="B230" s="65" t="s">
        <v>969</v>
      </c>
      <c r="C230" s="220">
        <v>60025</v>
      </c>
      <c r="D230" s="216" t="s">
        <v>973</v>
      </c>
      <c r="E230" s="215"/>
      <c r="F230" s="186">
        <v>42912</v>
      </c>
      <c r="G230" s="69"/>
      <c r="H230" s="65"/>
      <c r="I230" s="231" t="s">
        <v>302</v>
      </c>
      <c r="J230" s="76" t="s">
        <v>1034</v>
      </c>
      <c r="K230" s="76" t="s">
        <v>1033</v>
      </c>
      <c r="L230" s="76" t="s">
        <v>297</v>
      </c>
      <c r="M230" s="187">
        <v>-70.27</v>
      </c>
      <c r="N230" s="65"/>
      <c r="O230" s="65"/>
      <c r="P230" s="65"/>
      <c r="Q230" s="73" t="s">
        <v>171</v>
      </c>
      <c r="R230" s="188">
        <v>-70.27</v>
      </c>
      <c r="S230" s="188">
        <v>-70.27</v>
      </c>
      <c r="T230" s="2"/>
      <c r="U230" s="2"/>
      <c r="V230" s="2"/>
      <c r="W230" s="2"/>
      <c r="X230" s="2"/>
      <c r="Y230" s="2"/>
      <c r="Z230" s="2"/>
    </row>
    <row r="231" spans="1:26" s="74" customFormat="1" outlineLevel="1">
      <c r="A231" s="73" t="s">
        <v>302</v>
      </c>
      <c r="B231" s="65" t="s">
        <v>969</v>
      </c>
      <c r="C231" s="220">
        <v>60028</v>
      </c>
      <c r="D231" s="216" t="s">
        <v>972</v>
      </c>
      <c r="E231" s="215"/>
      <c r="F231" s="186">
        <v>42914</v>
      </c>
      <c r="G231" s="69"/>
      <c r="H231" s="65"/>
      <c r="I231" s="231" t="s">
        <v>302</v>
      </c>
      <c r="J231" s="76" t="s">
        <v>1034</v>
      </c>
      <c r="K231" s="76" t="s">
        <v>1033</v>
      </c>
      <c r="L231" s="76" t="s">
        <v>297</v>
      </c>
      <c r="M231" s="187">
        <v>-103.31</v>
      </c>
      <c r="N231" s="65"/>
      <c r="O231" s="65"/>
      <c r="P231" s="65"/>
      <c r="Q231" s="73" t="s">
        <v>171</v>
      </c>
      <c r="R231" s="188">
        <v>-103.31</v>
      </c>
      <c r="S231" s="188">
        <v>-103.31</v>
      </c>
      <c r="T231" s="2"/>
      <c r="U231" s="2"/>
      <c r="V231" s="2"/>
      <c r="W231" s="2"/>
      <c r="X231" s="2"/>
      <c r="Y231" s="2"/>
      <c r="Z231" s="2"/>
    </row>
    <row r="232" spans="1:26" s="74" customFormat="1" outlineLevel="1">
      <c r="A232" s="73" t="s">
        <v>302</v>
      </c>
      <c r="B232" s="65" t="s">
        <v>969</v>
      </c>
      <c r="C232" s="220">
        <v>60028</v>
      </c>
      <c r="D232" s="216" t="s">
        <v>972</v>
      </c>
      <c r="E232" s="215"/>
      <c r="F232" s="186">
        <v>42915</v>
      </c>
      <c r="G232" s="69"/>
      <c r="H232" s="65"/>
      <c r="I232" s="231" t="s">
        <v>302</v>
      </c>
      <c r="J232" s="76" t="s">
        <v>1034</v>
      </c>
      <c r="K232" s="76" t="s">
        <v>1033</v>
      </c>
      <c r="L232" s="76" t="s">
        <v>297</v>
      </c>
      <c r="M232" s="187">
        <v>-73.27</v>
      </c>
      <c r="N232" s="65"/>
      <c r="O232" s="65"/>
      <c r="P232" s="65"/>
      <c r="Q232" s="73" t="s">
        <v>171</v>
      </c>
      <c r="R232" s="188">
        <v>-73.27</v>
      </c>
      <c r="S232" s="188">
        <v>-73.27</v>
      </c>
      <c r="T232" s="2"/>
      <c r="U232" s="2"/>
      <c r="V232" s="2"/>
      <c r="W232" s="2"/>
      <c r="X232" s="2"/>
      <c r="Y232" s="2"/>
      <c r="Z232" s="2"/>
    </row>
    <row r="233" spans="1:26">
      <c r="A233" s="236"/>
      <c r="B233" s="236"/>
      <c r="C233" s="236"/>
      <c r="D233" s="236"/>
      <c r="E233" s="236"/>
      <c r="F233" s="236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7"/>
      <c r="U233" s="237"/>
      <c r="V233" s="237"/>
      <c r="W233" s="237"/>
      <c r="X233" s="237"/>
      <c r="Y233" s="237"/>
      <c r="Z233" s="237"/>
    </row>
    <row r="234" spans="1:26" ht="15.75" thickBot="1">
      <c r="A234" s="236"/>
      <c r="B234" s="236"/>
      <c r="C234" s="236"/>
      <c r="D234" s="236"/>
      <c r="E234" s="236"/>
      <c r="F234" s="236"/>
      <c r="G234" s="236"/>
      <c r="H234" s="236"/>
      <c r="I234" s="236"/>
      <c r="J234" s="236"/>
      <c r="K234" s="236"/>
      <c r="L234" s="236"/>
      <c r="M234" s="234"/>
      <c r="N234" s="234"/>
      <c r="O234" s="234"/>
      <c r="P234" s="234"/>
      <c r="Q234" s="235">
        <f>SUM(Q209:Q232)</f>
        <v>0</v>
      </c>
      <c r="R234" s="235">
        <f>SUM(R209:R232)</f>
        <v>-8989.35</v>
      </c>
      <c r="S234" s="235">
        <f>SUM(S209:S232)</f>
        <v>-8989.35</v>
      </c>
      <c r="T234" s="237"/>
      <c r="U234" s="237"/>
      <c r="V234" s="237"/>
      <c r="W234" s="237"/>
      <c r="X234" s="237"/>
      <c r="Y234" s="237"/>
      <c r="Z234" s="237"/>
    </row>
    <row r="235" spans="1:26" ht="15.75" thickTop="1">
      <c r="A235" s="236"/>
      <c r="B235" s="236"/>
      <c r="C235" s="236"/>
      <c r="D235" s="236"/>
      <c r="E235" s="236"/>
      <c r="F235" s="236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7"/>
      <c r="U235" s="237"/>
      <c r="V235" s="237"/>
      <c r="W235" s="237"/>
      <c r="X235" s="237"/>
      <c r="Y235" s="237"/>
      <c r="Z235" s="237"/>
    </row>
    <row r="236" spans="1:26" s="208" customFormat="1" ht="17.25">
      <c r="A236" s="229" t="s">
        <v>968</v>
      </c>
      <c r="B236" s="8"/>
      <c r="C236" s="232"/>
      <c r="D236" s="232"/>
      <c r="E236" s="232"/>
      <c r="F236" s="232"/>
      <c r="G236" s="232"/>
      <c r="H236" s="232"/>
      <c r="I236" s="232"/>
      <c r="J236" s="232"/>
      <c r="K236" s="232"/>
      <c r="L236" s="232"/>
      <c r="M236" s="232"/>
      <c r="N236" s="232"/>
      <c r="O236" s="232"/>
      <c r="P236" s="232"/>
      <c r="Q236" s="232"/>
      <c r="R236" s="232"/>
      <c r="S236" s="232"/>
      <c r="T236" s="233"/>
      <c r="U236" s="233"/>
      <c r="V236" s="233"/>
      <c r="W236" s="233"/>
      <c r="X236" s="233"/>
      <c r="Y236" s="233"/>
      <c r="Z236" s="233"/>
    </row>
    <row r="237" spans="1:26" s="208" customFormat="1" ht="17.25">
      <c r="A237" s="222">
        <v>42917</v>
      </c>
      <c r="B237" s="8"/>
      <c r="C237" s="232"/>
      <c r="D237" s="232"/>
      <c r="E237" s="232"/>
      <c r="F237" s="232"/>
      <c r="G237" s="232"/>
      <c r="H237" s="232"/>
      <c r="I237" s="232"/>
      <c r="J237" s="232"/>
      <c r="K237" s="232"/>
      <c r="L237" s="232"/>
      <c r="M237" s="232"/>
      <c r="N237" s="232"/>
      <c r="O237" s="232"/>
      <c r="P237" s="232"/>
      <c r="Q237" s="232"/>
      <c r="R237" s="232"/>
      <c r="S237" s="232"/>
      <c r="T237" s="233"/>
      <c r="U237" s="233"/>
      <c r="V237" s="233"/>
      <c r="W237" s="233"/>
      <c r="X237" s="233"/>
      <c r="Y237" s="233"/>
      <c r="Z237" s="233"/>
    </row>
    <row r="238" spans="1:26" s="208" customFormat="1">
      <c r="A238" s="232"/>
      <c r="B238" s="232"/>
      <c r="C238" s="232"/>
      <c r="D238" s="232"/>
      <c r="E238" s="232"/>
      <c r="F238" s="232"/>
      <c r="G238" s="232"/>
      <c r="H238" s="232"/>
      <c r="I238" s="232"/>
      <c r="J238" s="232"/>
      <c r="K238" s="232"/>
      <c r="L238" s="232"/>
      <c r="M238" s="232"/>
      <c r="N238" s="232"/>
      <c r="O238" s="232"/>
      <c r="P238" s="232"/>
      <c r="Q238" s="232"/>
      <c r="R238" s="232"/>
      <c r="S238" s="232"/>
      <c r="T238" s="233"/>
      <c r="U238" s="233"/>
      <c r="V238" s="233"/>
      <c r="W238" s="233"/>
      <c r="X238" s="233"/>
      <c r="Y238" s="233"/>
      <c r="Z238" s="233"/>
    </row>
    <row r="239" spans="1:26" s="208" customFormat="1">
      <c r="A239" s="71" t="s">
        <v>135</v>
      </c>
      <c r="B239" s="71" t="s">
        <v>136</v>
      </c>
      <c r="C239" s="71" t="s">
        <v>158</v>
      </c>
      <c r="D239" s="71" t="s">
        <v>159</v>
      </c>
      <c r="E239" s="72" t="s">
        <v>242</v>
      </c>
      <c r="F239" s="71" t="s">
        <v>116</v>
      </c>
      <c r="G239" s="71" t="s">
        <v>160</v>
      </c>
      <c r="H239" s="71" t="s">
        <v>161</v>
      </c>
      <c r="I239" s="71" t="s">
        <v>162</v>
      </c>
      <c r="J239" s="71" t="s">
        <v>163</v>
      </c>
      <c r="K239" s="71" t="s">
        <v>1128</v>
      </c>
      <c r="L239" s="71" t="s">
        <v>164</v>
      </c>
      <c r="M239" s="71" t="s">
        <v>165</v>
      </c>
      <c r="N239" s="71" t="s">
        <v>166</v>
      </c>
      <c r="O239" s="71" t="s">
        <v>167</v>
      </c>
      <c r="P239" s="71" t="s">
        <v>168</v>
      </c>
      <c r="Q239" s="71" t="s">
        <v>169</v>
      </c>
      <c r="R239" s="71" t="s">
        <v>170</v>
      </c>
      <c r="S239" s="319" t="s">
        <v>1127</v>
      </c>
      <c r="T239" s="233"/>
      <c r="U239" s="233"/>
      <c r="V239" s="233"/>
      <c r="W239" s="233"/>
      <c r="X239" s="233"/>
      <c r="Y239" s="233"/>
      <c r="Z239" s="233"/>
    </row>
    <row r="240" spans="1:26" s="74" customFormat="1" outlineLevel="1">
      <c r="A240" s="73" t="s">
        <v>302</v>
      </c>
      <c r="B240" s="65" t="s">
        <v>969</v>
      </c>
      <c r="C240" s="220">
        <v>60033</v>
      </c>
      <c r="D240" s="216" t="s">
        <v>970</v>
      </c>
      <c r="E240" s="215"/>
      <c r="F240" s="186">
        <v>42919</v>
      </c>
      <c r="G240" s="69"/>
      <c r="H240" s="65"/>
      <c r="I240" s="231" t="s">
        <v>302</v>
      </c>
      <c r="J240" s="76" t="s">
        <v>1035</v>
      </c>
      <c r="K240" s="76" t="s">
        <v>1033</v>
      </c>
      <c r="L240" s="76" t="s">
        <v>297</v>
      </c>
      <c r="M240" s="187">
        <v>-2500</v>
      </c>
      <c r="N240" s="65"/>
      <c r="O240" s="65"/>
      <c r="P240" s="65"/>
      <c r="Q240" s="73" t="s">
        <v>171</v>
      </c>
      <c r="R240" s="188">
        <v>-2500</v>
      </c>
      <c r="S240" s="188">
        <v>-2500</v>
      </c>
      <c r="T240" s="2"/>
      <c r="U240" s="2"/>
      <c r="V240" s="2"/>
      <c r="W240" s="2"/>
      <c r="X240" s="2"/>
      <c r="Y240" s="2"/>
      <c r="Z240" s="2"/>
    </row>
    <row r="241" spans="1:26" s="74" customFormat="1" outlineLevel="1">
      <c r="A241" s="73" t="s">
        <v>302</v>
      </c>
      <c r="B241" s="65" t="s">
        <v>969</v>
      </c>
      <c r="C241" s="220">
        <v>60012</v>
      </c>
      <c r="D241" s="216" t="s">
        <v>971</v>
      </c>
      <c r="E241" s="215"/>
      <c r="F241" s="186">
        <v>42919</v>
      </c>
      <c r="G241" s="69"/>
      <c r="H241" s="65"/>
      <c r="I241" s="231" t="s">
        <v>302</v>
      </c>
      <c r="J241" s="76" t="s">
        <v>1035</v>
      </c>
      <c r="K241" s="76" t="s">
        <v>1033</v>
      </c>
      <c r="L241" s="76" t="s">
        <v>297</v>
      </c>
      <c r="M241" s="187">
        <v>-20</v>
      </c>
      <c r="N241" s="65"/>
      <c r="O241" s="65"/>
      <c r="P241" s="65"/>
      <c r="Q241" s="73" t="s">
        <v>171</v>
      </c>
      <c r="R241" s="188">
        <v>-20</v>
      </c>
      <c r="S241" s="188">
        <v>-20</v>
      </c>
      <c r="T241" s="2"/>
      <c r="U241" s="2"/>
      <c r="V241" s="2"/>
      <c r="W241" s="2"/>
      <c r="X241" s="2"/>
      <c r="Y241" s="2"/>
      <c r="Z241" s="2"/>
    </row>
    <row r="242" spans="1:26" s="74" customFormat="1" outlineLevel="1">
      <c r="A242" s="73" t="s">
        <v>302</v>
      </c>
      <c r="B242" s="65" t="s">
        <v>969</v>
      </c>
      <c r="C242" s="220">
        <v>60042</v>
      </c>
      <c r="D242" s="216" t="s">
        <v>974</v>
      </c>
      <c r="E242" s="215"/>
      <c r="F242" s="186">
        <v>42919</v>
      </c>
      <c r="G242" s="69"/>
      <c r="H242" s="65"/>
      <c r="I242" s="231" t="s">
        <v>302</v>
      </c>
      <c r="J242" s="76" t="s">
        <v>1035</v>
      </c>
      <c r="K242" s="76" t="s">
        <v>1033</v>
      </c>
      <c r="L242" s="76" t="s">
        <v>297</v>
      </c>
      <c r="M242" s="187">
        <v>-192.68</v>
      </c>
      <c r="N242" s="65"/>
      <c r="O242" s="65"/>
      <c r="P242" s="65"/>
      <c r="Q242" s="73" t="s">
        <v>171</v>
      </c>
      <c r="R242" s="188">
        <v>-192.68</v>
      </c>
      <c r="S242" s="188">
        <v>-192.68</v>
      </c>
      <c r="T242" s="2"/>
      <c r="U242" s="2"/>
      <c r="V242" s="2"/>
      <c r="W242" s="2"/>
      <c r="X242" s="2"/>
      <c r="Y242" s="2"/>
      <c r="Z242" s="2"/>
    </row>
    <row r="243" spans="1:26" s="74" customFormat="1" outlineLevel="1">
      <c r="A243" s="73" t="s">
        <v>302</v>
      </c>
      <c r="B243" s="65" t="s">
        <v>969</v>
      </c>
      <c r="C243" s="220">
        <v>60039</v>
      </c>
      <c r="D243" s="216" t="s">
        <v>975</v>
      </c>
      <c r="E243" s="215"/>
      <c r="F243" s="186">
        <v>42919</v>
      </c>
      <c r="G243" s="69"/>
      <c r="H243" s="65"/>
      <c r="I243" s="231" t="s">
        <v>302</v>
      </c>
      <c r="J243" s="76" t="s">
        <v>1035</v>
      </c>
      <c r="K243" s="76" t="s">
        <v>1033</v>
      </c>
      <c r="L243" s="76" t="s">
        <v>297</v>
      </c>
      <c r="M243" s="187">
        <v>-69.209999999999994</v>
      </c>
      <c r="N243" s="65"/>
      <c r="O243" s="65"/>
      <c r="P243" s="65"/>
      <c r="Q243" s="73" t="s">
        <v>171</v>
      </c>
      <c r="R243" s="188">
        <v>-69.209999999999994</v>
      </c>
      <c r="S243" s="188">
        <v>-69.209999999999994</v>
      </c>
      <c r="T243" s="2"/>
      <c r="U243" s="2"/>
      <c r="V243" s="2"/>
      <c r="W243" s="2"/>
      <c r="X243" s="2"/>
      <c r="Y243" s="2"/>
      <c r="Z243" s="2"/>
    </row>
    <row r="244" spans="1:26" s="74" customFormat="1" outlineLevel="1">
      <c r="A244" s="73" t="s">
        <v>302</v>
      </c>
      <c r="B244" s="65" t="s">
        <v>969</v>
      </c>
      <c r="C244" s="220">
        <v>60015</v>
      </c>
      <c r="D244" s="216" t="s">
        <v>993</v>
      </c>
      <c r="E244" s="215"/>
      <c r="F244" s="186">
        <v>42921</v>
      </c>
      <c r="G244" s="69"/>
      <c r="H244" s="65"/>
      <c r="I244" s="231" t="s">
        <v>302</v>
      </c>
      <c r="J244" s="76" t="s">
        <v>1035</v>
      </c>
      <c r="K244" s="76" t="s">
        <v>1033</v>
      </c>
      <c r="L244" s="76" t="s">
        <v>297</v>
      </c>
      <c r="M244" s="187">
        <v>-1346</v>
      </c>
      <c r="N244" s="65"/>
      <c r="O244" s="65"/>
      <c r="P244" s="65"/>
      <c r="Q244" s="73" t="s">
        <v>171</v>
      </c>
      <c r="R244" s="188">
        <v>-1346</v>
      </c>
      <c r="S244" s="188">
        <v>-1346</v>
      </c>
      <c r="T244" s="2"/>
      <c r="U244" s="2"/>
      <c r="V244" s="2"/>
      <c r="W244" s="2"/>
      <c r="X244" s="2"/>
      <c r="Y244" s="2"/>
      <c r="Z244" s="2"/>
    </row>
    <row r="245" spans="1:26" s="74" customFormat="1" outlineLevel="1">
      <c r="A245" s="73" t="s">
        <v>302</v>
      </c>
      <c r="B245" s="65" t="s">
        <v>969</v>
      </c>
      <c r="C245" s="220">
        <v>60012</v>
      </c>
      <c r="D245" s="216" t="s">
        <v>971</v>
      </c>
      <c r="E245" s="215"/>
      <c r="F245" s="186">
        <v>42922</v>
      </c>
      <c r="G245" s="69"/>
      <c r="H245" s="65"/>
      <c r="I245" s="231" t="s">
        <v>302</v>
      </c>
      <c r="J245" s="76" t="s">
        <v>1035</v>
      </c>
      <c r="K245" s="76" t="s">
        <v>1033</v>
      </c>
      <c r="L245" s="76" t="s">
        <v>297</v>
      </c>
      <c r="M245" s="187">
        <v>-536.44000000000005</v>
      </c>
      <c r="N245" s="65"/>
      <c r="O245" s="65"/>
      <c r="P245" s="65"/>
      <c r="Q245" s="73" t="s">
        <v>171</v>
      </c>
      <c r="R245" s="188">
        <v>-536.44000000000005</v>
      </c>
      <c r="S245" s="188">
        <v>-536.44000000000005</v>
      </c>
      <c r="T245" s="2"/>
      <c r="U245" s="2"/>
      <c r="V245" s="2"/>
      <c r="W245" s="2"/>
      <c r="X245" s="2"/>
      <c r="Y245" s="2"/>
      <c r="Z245" s="2"/>
    </row>
    <row r="246" spans="1:26" s="74" customFormat="1" outlineLevel="1">
      <c r="A246" s="73" t="s">
        <v>302</v>
      </c>
      <c r="B246" s="65" t="s">
        <v>969</v>
      </c>
      <c r="C246" s="220">
        <v>60033</v>
      </c>
      <c r="D246" s="216" t="s">
        <v>970</v>
      </c>
      <c r="E246" s="215"/>
      <c r="F246" s="186">
        <v>42922</v>
      </c>
      <c r="G246" s="69"/>
      <c r="H246" s="65"/>
      <c r="I246" s="231" t="s">
        <v>302</v>
      </c>
      <c r="J246" s="76" t="s">
        <v>1035</v>
      </c>
      <c r="K246" s="76" t="s">
        <v>1033</v>
      </c>
      <c r="L246" s="76" t="s">
        <v>297</v>
      </c>
      <c r="M246" s="187">
        <v>-3108.01</v>
      </c>
      <c r="N246" s="65"/>
      <c r="O246" s="65"/>
      <c r="P246" s="65"/>
      <c r="Q246" s="73" t="s">
        <v>171</v>
      </c>
      <c r="R246" s="188">
        <v>-3108.01</v>
      </c>
      <c r="S246" s="188">
        <v>-3108.01</v>
      </c>
      <c r="T246" s="2"/>
      <c r="U246" s="2"/>
      <c r="V246" s="2"/>
      <c r="W246" s="2"/>
      <c r="X246" s="2"/>
      <c r="Y246" s="2"/>
      <c r="Z246" s="2"/>
    </row>
    <row r="247" spans="1:26" s="74" customFormat="1" outlineLevel="1">
      <c r="A247" s="73" t="s">
        <v>302</v>
      </c>
      <c r="B247" s="65" t="s">
        <v>969</v>
      </c>
      <c r="C247" s="220">
        <v>60022</v>
      </c>
      <c r="D247" s="216" t="s">
        <v>994</v>
      </c>
      <c r="E247" s="215"/>
      <c r="F247" s="186">
        <v>42923</v>
      </c>
      <c r="G247" s="69"/>
      <c r="H247" s="65"/>
      <c r="I247" s="231" t="s">
        <v>302</v>
      </c>
      <c r="J247" s="76" t="s">
        <v>1035</v>
      </c>
      <c r="K247" s="76" t="s">
        <v>1033</v>
      </c>
      <c r="L247" s="76" t="s">
        <v>297</v>
      </c>
      <c r="M247" s="187">
        <v>-1387</v>
      </c>
      <c r="N247" s="65"/>
      <c r="O247" s="65"/>
      <c r="P247" s="65"/>
      <c r="Q247" s="73" t="s">
        <v>171</v>
      </c>
      <c r="R247" s="188">
        <v>-1387</v>
      </c>
      <c r="S247" s="188">
        <v>-1387</v>
      </c>
      <c r="T247" s="2"/>
      <c r="U247" s="2"/>
      <c r="V247" s="2"/>
      <c r="W247" s="2"/>
      <c r="X247" s="2"/>
      <c r="Y247" s="2"/>
      <c r="Z247" s="2"/>
    </row>
    <row r="248" spans="1:26" s="74" customFormat="1" outlineLevel="1">
      <c r="A248" s="73" t="s">
        <v>302</v>
      </c>
      <c r="B248" s="65" t="s">
        <v>969</v>
      </c>
      <c r="C248" s="220">
        <v>60039</v>
      </c>
      <c r="D248" s="216" t="s">
        <v>975</v>
      </c>
      <c r="E248" s="215"/>
      <c r="F248" s="186">
        <v>42926</v>
      </c>
      <c r="G248" s="69"/>
      <c r="H248" s="65"/>
      <c r="I248" s="231" t="s">
        <v>302</v>
      </c>
      <c r="J248" s="76" t="s">
        <v>1035</v>
      </c>
      <c r="K248" s="76" t="s">
        <v>1033</v>
      </c>
      <c r="L248" s="76" t="s">
        <v>297</v>
      </c>
      <c r="M248" s="187">
        <v>-49.55</v>
      </c>
      <c r="N248" s="65"/>
      <c r="O248" s="65"/>
      <c r="P248" s="65"/>
      <c r="Q248" s="73" t="s">
        <v>171</v>
      </c>
      <c r="R248" s="188">
        <v>-49.55</v>
      </c>
      <c r="S248" s="188">
        <v>-49.55</v>
      </c>
      <c r="T248" s="2"/>
      <c r="U248" s="2"/>
      <c r="V248" s="2"/>
      <c r="W248" s="2"/>
      <c r="X248" s="2"/>
      <c r="Y248" s="2"/>
      <c r="Z248" s="2"/>
    </row>
    <row r="249" spans="1:26" s="74" customFormat="1" outlineLevel="1">
      <c r="A249" s="73" t="s">
        <v>302</v>
      </c>
      <c r="B249" s="65" t="s">
        <v>969</v>
      </c>
      <c r="C249" s="220">
        <v>60045</v>
      </c>
      <c r="D249" s="216" t="s">
        <v>995</v>
      </c>
      <c r="E249" s="215"/>
      <c r="F249" s="186">
        <v>42927</v>
      </c>
      <c r="G249" s="69"/>
      <c r="H249" s="65"/>
      <c r="I249" s="231" t="s">
        <v>302</v>
      </c>
      <c r="J249" s="76" t="s">
        <v>1035</v>
      </c>
      <c r="K249" s="76" t="s">
        <v>1033</v>
      </c>
      <c r="L249" s="76" t="s">
        <v>297</v>
      </c>
      <c r="M249" s="187">
        <v>-200</v>
      </c>
      <c r="N249" s="65"/>
      <c r="O249" s="65"/>
      <c r="P249" s="65"/>
      <c r="Q249" s="73" t="s">
        <v>171</v>
      </c>
      <c r="R249" s="188">
        <v>-200</v>
      </c>
      <c r="S249" s="188">
        <v>-200</v>
      </c>
      <c r="T249" s="2"/>
      <c r="U249" s="2"/>
      <c r="V249" s="2"/>
      <c r="W249" s="2"/>
      <c r="X249" s="2"/>
      <c r="Y249" s="2"/>
      <c r="Z249" s="2"/>
    </row>
    <row r="250" spans="1:26" s="74" customFormat="1" outlineLevel="1">
      <c r="A250" s="73" t="s">
        <v>302</v>
      </c>
      <c r="B250" s="65" t="s">
        <v>969</v>
      </c>
      <c r="C250" s="220">
        <v>60045</v>
      </c>
      <c r="D250" s="216" t="s">
        <v>995</v>
      </c>
      <c r="E250" s="215"/>
      <c r="F250" s="186">
        <v>42933</v>
      </c>
      <c r="G250" s="69"/>
      <c r="H250" s="65"/>
      <c r="I250" s="231" t="s">
        <v>302</v>
      </c>
      <c r="J250" s="76" t="s">
        <v>1035</v>
      </c>
      <c r="K250" s="76" t="s">
        <v>1033</v>
      </c>
      <c r="L250" s="76" t="s">
        <v>297</v>
      </c>
      <c r="M250" s="187">
        <v>-179.55</v>
      </c>
      <c r="N250" s="65"/>
      <c r="O250" s="65"/>
      <c r="P250" s="65"/>
      <c r="Q250" s="73" t="s">
        <v>171</v>
      </c>
      <c r="R250" s="188">
        <v>-179.55</v>
      </c>
      <c r="S250" s="188">
        <v>-179.55</v>
      </c>
      <c r="T250" s="2"/>
      <c r="U250" s="2"/>
      <c r="V250" s="2"/>
      <c r="W250" s="2"/>
      <c r="X250" s="2"/>
      <c r="Y250" s="2"/>
      <c r="Z250" s="2"/>
    </row>
    <row r="251" spans="1:26" s="74" customFormat="1" outlineLevel="1">
      <c r="A251" s="73" t="s">
        <v>302</v>
      </c>
      <c r="B251" s="65" t="s">
        <v>969</v>
      </c>
      <c r="C251" s="220">
        <v>60025</v>
      </c>
      <c r="D251" s="216" t="s">
        <v>973</v>
      </c>
      <c r="E251" s="215"/>
      <c r="F251" s="186">
        <v>42933</v>
      </c>
      <c r="G251" s="69"/>
      <c r="H251" s="65"/>
      <c r="I251" s="231" t="s">
        <v>302</v>
      </c>
      <c r="J251" s="76" t="s">
        <v>1035</v>
      </c>
      <c r="K251" s="76" t="s">
        <v>1033</v>
      </c>
      <c r="L251" s="76" t="s">
        <v>297</v>
      </c>
      <c r="M251" s="187">
        <v>-27.28</v>
      </c>
      <c r="N251" s="65"/>
      <c r="O251" s="65"/>
      <c r="P251" s="65"/>
      <c r="Q251" s="73" t="s">
        <v>171</v>
      </c>
      <c r="R251" s="188">
        <v>-27.28</v>
      </c>
      <c r="S251" s="188">
        <v>-27.28</v>
      </c>
      <c r="T251" s="2"/>
      <c r="U251" s="2"/>
      <c r="V251" s="2"/>
      <c r="W251" s="2"/>
      <c r="X251" s="2"/>
      <c r="Y251" s="2"/>
      <c r="Z251" s="2"/>
    </row>
    <row r="252" spans="1:26" s="74" customFormat="1" outlineLevel="1">
      <c r="A252" s="73" t="s">
        <v>302</v>
      </c>
      <c r="B252" s="65" t="s">
        <v>969</v>
      </c>
      <c r="C252" s="220">
        <v>60028</v>
      </c>
      <c r="D252" s="216" t="s">
        <v>972</v>
      </c>
      <c r="E252" s="215"/>
      <c r="F252" s="186">
        <v>42933</v>
      </c>
      <c r="G252" s="69"/>
      <c r="H252" s="65"/>
      <c r="I252" s="231" t="s">
        <v>302</v>
      </c>
      <c r="J252" s="76" t="s">
        <v>1035</v>
      </c>
      <c r="K252" s="76" t="s">
        <v>1033</v>
      </c>
      <c r="L252" s="76" t="s">
        <v>297</v>
      </c>
      <c r="M252" s="187">
        <v>-600</v>
      </c>
      <c r="N252" s="65"/>
      <c r="O252" s="65"/>
      <c r="P252" s="65"/>
      <c r="Q252" s="73" t="s">
        <v>171</v>
      </c>
      <c r="R252" s="188">
        <v>-600</v>
      </c>
      <c r="S252" s="188">
        <v>-600</v>
      </c>
      <c r="T252" s="2"/>
      <c r="U252" s="2"/>
      <c r="V252" s="2"/>
      <c r="W252" s="2"/>
      <c r="X252" s="2"/>
      <c r="Y252" s="2"/>
      <c r="Z252" s="2"/>
    </row>
    <row r="253" spans="1:26" s="74" customFormat="1" outlineLevel="1">
      <c r="A253" s="73" t="s">
        <v>302</v>
      </c>
      <c r="B253" s="65" t="s">
        <v>969</v>
      </c>
      <c r="C253" s="220">
        <v>60045</v>
      </c>
      <c r="D253" s="216" t="s">
        <v>995</v>
      </c>
      <c r="E253" s="215"/>
      <c r="F253" s="186">
        <v>42935</v>
      </c>
      <c r="G253" s="69"/>
      <c r="H253" s="65"/>
      <c r="I253" s="231" t="s">
        <v>302</v>
      </c>
      <c r="J253" s="76" t="s">
        <v>1035</v>
      </c>
      <c r="K253" s="76" t="s">
        <v>1033</v>
      </c>
      <c r="L253" s="76" t="s">
        <v>297</v>
      </c>
      <c r="M253" s="187">
        <v>-164</v>
      </c>
      <c r="N253" s="65"/>
      <c r="O253" s="65"/>
      <c r="P253" s="65"/>
      <c r="Q253" s="73" t="s">
        <v>171</v>
      </c>
      <c r="R253" s="188">
        <v>-164</v>
      </c>
      <c r="S253" s="188">
        <v>-164</v>
      </c>
      <c r="T253" s="2"/>
      <c r="U253" s="2"/>
      <c r="V253" s="2"/>
      <c r="W253" s="2"/>
      <c r="X253" s="2"/>
      <c r="Y253" s="2"/>
      <c r="Z253" s="2"/>
    </row>
    <row r="254" spans="1:26" s="74" customFormat="1" outlineLevel="1">
      <c r="A254" s="73" t="s">
        <v>302</v>
      </c>
      <c r="B254" s="65" t="s">
        <v>969</v>
      </c>
      <c r="C254" s="220">
        <v>60045</v>
      </c>
      <c r="D254" s="216" t="s">
        <v>995</v>
      </c>
      <c r="E254" s="215"/>
      <c r="F254" s="186">
        <v>42940</v>
      </c>
      <c r="G254" s="69"/>
      <c r="H254" s="65"/>
      <c r="I254" s="231" t="s">
        <v>302</v>
      </c>
      <c r="J254" s="76" t="s">
        <v>1035</v>
      </c>
      <c r="K254" s="76" t="s">
        <v>1033</v>
      </c>
      <c r="L254" s="76" t="s">
        <v>297</v>
      </c>
      <c r="M254" s="187">
        <v>-520</v>
      </c>
      <c r="N254" s="65"/>
      <c r="O254" s="65"/>
      <c r="P254" s="65"/>
      <c r="Q254" s="73" t="s">
        <v>171</v>
      </c>
      <c r="R254" s="188">
        <v>-520</v>
      </c>
      <c r="S254" s="188">
        <v>-520</v>
      </c>
      <c r="T254" s="2"/>
      <c r="U254" s="2"/>
      <c r="V254" s="2"/>
      <c r="W254" s="2"/>
      <c r="X254" s="2"/>
      <c r="Y254" s="2"/>
      <c r="Z254" s="2"/>
    </row>
    <row r="255" spans="1:26" s="74" customFormat="1" outlineLevel="1">
      <c r="A255" s="73" t="s">
        <v>302</v>
      </c>
      <c r="B255" s="65" t="s">
        <v>969</v>
      </c>
      <c r="C255" s="220">
        <v>60045</v>
      </c>
      <c r="D255" s="216" t="s">
        <v>995</v>
      </c>
      <c r="E255" s="215"/>
      <c r="F255" s="186">
        <v>42940</v>
      </c>
      <c r="G255" s="69"/>
      <c r="H255" s="65"/>
      <c r="I255" s="231" t="s">
        <v>302</v>
      </c>
      <c r="J255" s="76" t="s">
        <v>1035</v>
      </c>
      <c r="K255" s="76" t="s">
        <v>1033</v>
      </c>
      <c r="L255" s="76" t="s">
        <v>297</v>
      </c>
      <c r="M255" s="187">
        <v>-285</v>
      </c>
      <c r="N255" s="65"/>
      <c r="O255" s="65"/>
      <c r="P255" s="65"/>
      <c r="Q255" s="73" t="s">
        <v>171</v>
      </c>
      <c r="R255" s="188">
        <v>-285</v>
      </c>
      <c r="S255" s="188">
        <v>-285</v>
      </c>
      <c r="T255" s="2"/>
      <c r="U255" s="2"/>
      <c r="V255" s="2"/>
      <c r="W255" s="2"/>
      <c r="X255" s="2"/>
      <c r="Y255" s="2"/>
      <c r="Z255" s="2"/>
    </row>
    <row r="256" spans="1:26" s="74" customFormat="1" outlineLevel="1">
      <c r="A256" s="73" t="s">
        <v>302</v>
      </c>
      <c r="B256" s="65" t="s">
        <v>969</v>
      </c>
      <c r="C256" s="220">
        <v>60042</v>
      </c>
      <c r="D256" s="216" t="s">
        <v>974</v>
      </c>
      <c r="E256" s="215"/>
      <c r="F256" s="186">
        <v>42940</v>
      </c>
      <c r="G256" s="69"/>
      <c r="H256" s="65"/>
      <c r="I256" s="231" t="s">
        <v>302</v>
      </c>
      <c r="J256" s="76" t="s">
        <v>1035</v>
      </c>
      <c r="K256" s="76" t="s">
        <v>1033</v>
      </c>
      <c r="L256" s="76" t="s">
        <v>297</v>
      </c>
      <c r="M256" s="187">
        <v>-40</v>
      </c>
      <c r="N256" s="65"/>
      <c r="O256" s="65"/>
      <c r="P256" s="65"/>
      <c r="Q256" s="73" t="s">
        <v>171</v>
      </c>
      <c r="R256" s="188">
        <v>-40</v>
      </c>
      <c r="S256" s="188">
        <v>-40</v>
      </c>
      <c r="T256" s="2"/>
      <c r="U256" s="2"/>
      <c r="V256" s="2"/>
      <c r="W256" s="2"/>
      <c r="X256" s="2"/>
      <c r="Y256" s="2"/>
      <c r="Z256" s="2"/>
    </row>
    <row r="257" spans="1:26" s="74" customFormat="1" outlineLevel="1">
      <c r="A257" s="73" t="s">
        <v>302</v>
      </c>
      <c r="B257" s="65" t="s">
        <v>969</v>
      </c>
      <c r="C257" s="220">
        <v>60039</v>
      </c>
      <c r="D257" s="216" t="s">
        <v>975</v>
      </c>
      <c r="E257" s="215"/>
      <c r="F257" s="186">
        <v>42940</v>
      </c>
      <c r="G257" s="69"/>
      <c r="H257" s="65"/>
      <c r="I257" s="231" t="s">
        <v>302</v>
      </c>
      <c r="J257" s="76" t="s">
        <v>1035</v>
      </c>
      <c r="K257" s="76" t="s">
        <v>1033</v>
      </c>
      <c r="L257" s="76" t="s">
        <v>297</v>
      </c>
      <c r="M257" s="187">
        <v>-75</v>
      </c>
      <c r="N257" s="65"/>
      <c r="O257" s="65"/>
      <c r="P257" s="65"/>
      <c r="Q257" s="73" t="s">
        <v>171</v>
      </c>
      <c r="R257" s="188">
        <v>-75</v>
      </c>
      <c r="S257" s="188">
        <v>-75</v>
      </c>
      <c r="T257" s="2"/>
      <c r="U257" s="2"/>
      <c r="V257" s="2"/>
      <c r="W257" s="2"/>
      <c r="X257" s="2"/>
      <c r="Y257" s="2"/>
      <c r="Z257" s="2"/>
    </row>
    <row r="258" spans="1:26" s="74" customFormat="1" outlineLevel="1">
      <c r="A258" s="73" t="s">
        <v>302</v>
      </c>
      <c r="B258" s="65" t="s">
        <v>969</v>
      </c>
      <c r="C258" s="220">
        <v>60028</v>
      </c>
      <c r="D258" s="216" t="s">
        <v>972</v>
      </c>
      <c r="E258" s="215"/>
      <c r="F258" s="186">
        <v>42941</v>
      </c>
      <c r="G258" s="69"/>
      <c r="H258" s="65"/>
      <c r="I258" s="231" t="s">
        <v>302</v>
      </c>
      <c r="J258" s="76" t="s">
        <v>1035</v>
      </c>
      <c r="K258" s="76" t="s">
        <v>1033</v>
      </c>
      <c r="L258" s="76" t="s">
        <v>297</v>
      </c>
      <c r="M258" s="187">
        <v>-8.68</v>
      </c>
      <c r="N258" s="65"/>
      <c r="O258" s="65"/>
      <c r="P258" s="65"/>
      <c r="Q258" s="73" t="s">
        <v>171</v>
      </c>
      <c r="R258" s="188">
        <v>-8.68</v>
      </c>
      <c r="S258" s="188">
        <v>-8.68</v>
      </c>
      <c r="T258" s="2"/>
      <c r="U258" s="2"/>
      <c r="V258" s="2"/>
      <c r="W258" s="2"/>
      <c r="X258" s="2"/>
      <c r="Y258" s="2"/>
      <c r="Z258" s="2"/>
    </row>
    <row r="259" spans="1:26" s="74" customFormat="1" outlineLevel="1">
      <c r="A259" s="73" t="s">
        <v>302</v>
      </c>
      <c r="B259" s="65" t="s">
        <v>969</v>
      </c>
      <c r="C259" s="220">
        <v>60028</v>
      </c>
      <c r="D259" s="216" t="s">
        <v>972</v>
      </c>
      <c r="E259" s="215"/>
      <c r="F259" s="186">
        <v>42941</v>
      </c>
      <c r="G259" s="69"/>
      <c r="H259" s="65"/>
      <c r="I259" s="231" t="s">
        <v>302</v>
      </c>
      <c r="J259" s="76" t="s">
        <v>1035</v>
      </c>
      <c r="K259" s="76" t="s">
        <v>1033</v>
      </c>
      <c r="L259" s="76" t="s">
        <v>297</v>
      </c>
      <c r="M259" s="187">
        <v>-65.41</v>
      </c>
      <c r="N259" s="65"/>
      <c r="O259" s="65"/>
      <c r="P259" s="65"/>
      <c r="Q259" s="73" t="s">
        <v>171</v>
      </c>
      <c r="R259" s="188">
        <v>-65.41</v>
      </c>
      <c r="S259" s="188">
        <v>-65.41</v>
      </c>
      <c r="T259" s="2"/>
      <c r="U259" s="2"/>
      <c r="V259" s="2"/>
      <c r="W259" s="2"/>
      <c r="X259" s="2"/>
      <c r="Y259" s="2"/>
      <c r="Z259" s="2"/>
    </row>
    <row r="260" spans="1:26">
      <c r="B260" s="237"/>
      <c r="D260" s="237"/>
      <c r="E260" s="237"/>
      <c r="F260" s="237"/>
      <c r="G260" s="237"/>
      <c r="H260" s="237"/>
      <c r="I260" s="237"/>
      <c r="J260" s="237"/>
      <c r="K260" s="237"/>
      <c r="L260" s="237"/>
      <c r="M260" s="237"/>
      <c r="N260" s="237"/>
      <c r="O260" s="237"/>
      <c r="P260" s="237"/>
      <c r="Q260" s="237"/>
      <c r="R260" s="237"/>
      <c r="S260" s="237"/>
      <c r="T260" s="237"/>
      <c r="U260" s="237"/>
      <c r="V260" s="237"/>
      <c r="W260" s="237"/>
      <c r="X260" s="237"/>
      <c r="Y260" s="237"/>
      <c r="Z260" s="237"/>
    </row>
    <row r="261" spans="1:26" ht="15.75" thickBot="1">
      <c r="B261" s="237"/>
      <c r="D261" s="237"/>
      <c r="E261" s="237"/>
      <c r="F261" s="237"/>
      <c r="G261" s="237"/>
      <c r="H261" s="237"/>
      <c r="I261" s="237"/>
      <c r="J261" s="237"/>
      <c r="K261" s="237"/>
      <c r="L261" s="237"/>
      <c r="M261" s="234"/>
      <c r="N261" s="234"/>
      <c r="O261" s="234"/>
      <c r="P261" s="234"/>
      <c r="Q261" s="235">
        <f>SUM(Q240:Q259)</f>
        <v>0</v>
      </c>
      <c r="R261" s="235">
        <f>SUM(R240:R259)</f>
        <v>-11373.81</v>
      </c>
      <c r="S261" s="235">
        <f>SUM(S240:S259)</f>
        <v>-11373.81</v>
      </c>
      <c r="T261" s="235"/>
      <c r="U261" s="237"/>
      <c r="V261" s="237"/>
      <c r="W261" s="237"/>
      <c r="X261" s="237"/>
      <c r="Y261" s="237"/>
      <c r="Z261" s="237"/>
    </row>
    <row r="262" spans="1:26" ht="15.75" thickTop="1">
      <c r="B262" s="237"/>
      <c r="D262" s="237"/>
      <c r="E262" s="237"/>
      <c r="F262" s="237"/>
      <c r="G262" s="237"/>
      <c r="H262" s="237"/>
      <c r="I262" s="237"/>
      <c r="J262" s="237"/>
      <c r="K262" s="237"/>
      <c r="L262" s="237"/>
      <c r="M262" s="237"/>
      <c r="N262" s="237"/>
      <c r="O262" s="237"/>
      <c r="P262" s="237"/>
      <c r="Q262" s="237"/>
      <c r="R262" s="237"/>
      <c r="S262" s="237"/>
      <c r="T262" s="237"/>
      <c r="U262" s="237"/>
      <c r="V262" s="237"/>
      <c r="W262" s="237"/>
      <c r="X262" s="237"/>
      <c r="Y262" s="237"/>
      <c r="Z262" s="237"/>
    </row>
    <row r="263" spans="1:26">
      <c r="B263" s="237"/>
      <c r="D263" s="237"/>
      <c r="E263" s="237"/>
      <c r="F263" s="237"/>
      <c r="G263" s="237"/>
      <c r="H263" s="237"/>
      <c r="I263" s="237"/>
      <c r="J263" s="237"/>
      <c r="K263" s="237"/>
      <c r="L263" s="237"/>
      <c r="M263" s="237"/>
      <c r="N263" s="237"/>
      <c r="O263" s="237"/>
      <c r="P263" s="237"/>
      <c r="Q263" s="237"/>
      <c r="R263" s="237"/>
      <c r="S263" s="237"/>
      <c r="T263" s="237"/>
      <c r="U263" s="237"/>
      <c r="V263" s="237"/>
      <c r="W263" s="237"/>
      <c r="X263" s="237"/>
      <c r="Y263" s="237"/>
      <c r="Z263" s="237"/>
    </row>
    <row r="264" spans="1:26">
      <c r="B264" s="237"/>
      <c r="D264" s="237"/>
      <c r="E264" s="237"/>
      <c r="F264" s="237"/>
      <c r="G264" s="237"/>
      <c r="H264" s="237"/>
      <c r="I264" s="237"/>
      <c r="J264" s="237"/>
      <c r="K264" s="237"/>
      <c r="L264" s="237"/>
      <c r="M264" s="237"/>
      <c r="N264" s="237"/>
      <c r="O264" s="237"/>
      <c r="P264" s="237"/>
      <c r="Q264" s="237"/>
      <c r="R264" s="237"/>
      <c r="S264" s="237"/>
      <c r="T264" s="237"/>
      <c r="U264" s="237"/>
      <c r="V264" s="237"/>
      <c r="W264" s="237"/>
      <c r="X264" s="237"/>
      <c r="Y264" s="237"/>
      <c r="Z264" s="237"/>
    </row>
    <row r="265" spans="1:26">
      <c r="B265" s="237"/>
      <c r="D265" s="237"/>
      <c r="E265" s="237"/>
      <c r="F265" s="237"/>
      <c r="G265" s="237"/>
      <c r="H265" s="237"/>
      <c r="I265" s="237"/>
      <c r="J265" s="237"/>
      <c r="K265" s="237"/>
      <c r="L265" s="237"/>
      <c r="M265" s="237"/>
      <c r="N265" s="237"/>
      <c r="O265" s="237"/>
      <c r="P265" s="237"/>
      <c r="Q265" s="237"/>
      <c r="R265" s="237"/>
      <c r="S265" s="237"/>
      <c r="T265" s="237"/>
      <c r="U265" s="237"/>
      <c r="V265" s="237"/>
      <c r="W265" s="237"/>
      <c r="X265" s="237"/>
      <c r="Y265" s="237"/>
      <c r="Z265" s="237"/>
    </row>
    <row r="266" spans="1:26">
      <c r="B266" s="237"/>
      <c r="D266" s="237"/>
      <c r="E266" s="237"/>
      <c r="F266" s="237"/>
      <c r="G266" s="237"/>
      <c r="H266" s="237"/>
      <c r="I266" s="237"/>
      <c r="J266" s="237"/>
      <c r="K266" s="237"/>
      <c r="L266" s="237"/>
      <c r="M266" s="237"/>
      <c r="N266" s="237"/>
      <c r="O266" s="237"/>
      <c r="P266" s="237"/>
      <c r="Q266" s="237"/>
      <c r="R266" s="237"/>
      <c r="S266" s="237"/>
      <c r="T266" s="237"/>
      <c r="U266" s="237"/>
      <c r="V266" s="237"/>
      <c r="W266" s="237"/>
      <c r="X266" s="237"/>
      <c r="Y266" s="237"/>
      <c r="Z266" s="237"/>
    </row>
    <row r="267" spans="1:26">
      <c r="B267" s="237"/>
      <c r="D267" s="237"/>
      <c r="E267" s="237"/>
      <c r="F267" s="237"/>
      <c r="G267" s="237"/>
      <c r="H267" s="237"/>
      <c r="I267" s="237"/>
      <c r="J267" s="237"/>
      <c r="K267" s="237"/>
      <c r="L267" s="237"/>
      <c r="M267" s="237"/>
      <c r="N267" s="237"/>
      <c r="O267" s="237"/>
      <c r="P267" s="237"/>
      <c r="Q267" s="237"/>
      <c r="R267" s="237"/>
      <c r="S267" s="237"/>
      <c r="T267" s="237"/>
      <c r="U267" s="237"/>
      <c r="V267" s="237"/>
      <c r="W267" s="237"/>
      <c r="X267" s="237"/>
      <c r="Y267" s="237"/>
      <c r="Z267" s="237"/>
    </row>
    <row r="268" spans="1:26">
      <c r="A268" s="238"/>
      <c r="B268" s="237"/>
      <c r="D268" s="237"/>
      <c r="E268" s="237"/>
      <c r="F268" s="237"/>
      <c r="G268" s="237"/>
      <c r="H268" s="237"/>
      <c r="I268" s="237"/>
      <c r="J268" s="237"/>
      <c r="K268" s="237"/>
      <c r="L268" s="237"/>
      <c r="M268" s="237"/>
      <c r="N268" s="237"/>
      <c r="O268" s="237"/>
      <c r="P268" s="237"/>
      <c r="Q268" s="237"/>
      <c r="R268" s="237"/>
      <c r="S268" s="237"/>
      <c r="T268" s="237"/>
      <c r="U268" s="237"/>
      <c r="V268" s="237"/>
      <c r="W268" s="237"/>
      <c r="X268" s="237"/>
      <c r="Y268" s="237"/>
      <c r="Z268" s="237"/>
    </row>
    <row r="269" spans="1:26">
      <c r="A269" s="238"/>
      <c r="B269" s="237"/>
      <c r="D269" s="237"/>
      <c r="E269" s="237"/>
      <c r="F269" s="237"/>
      <c r="G269" s="237"/>
      <c r="H269" s="237"/>
      <c r="I269" s="237"/>
      <c r="J269" s="237"/>
      <c r="K269" s="237"/>
      <c r="L269" s="237"/>
      <c r="M269" s="237"/>
      <c r="N269" s="237"/>
      <c r="O269" s="237"/>
      <c r="P269" s="237"/>
      <c r="Q269" s="237"/>
      <c r="R269" s="237"/>
      <c r="S269" s="237"/>
      <c r="T269" s="237"/>
      <c r="U269" s="237"/>
      <c r="V269" s="237"/>
      <c r="W269" s="237"/>
      <c r="X269" s="237"/>
      <c r="Y269" s="237"/>
      <c r="Z269" s="237"/>
    </row>
    <row r="270" spans="1:26">
      <c r="A270" s="238"/>
      <c r="B270" s="237"/>
      <c r="D270" s="237"/>
      <c r="E270" s="237"/>
      <c r="F270" s="237"/>
      <c r="G270" s="237"/>
      <c r="H270" s="237"/>
      <c r="I270" s="237"/>
      <c r="J270" s="237"/>
      <c r="K270" s="237"/>
      <c r="L270" s="237"/>
      <c r="M270" s="237"/>
      <c r="N270" s="237"/>
      <c r="O270" s="237"/>
      <c r="P270" s="237"/>
      <c r="Q270" s="237"/>
      <c r="R270" s="237"/>
      <c r="S270" s="237"/>
      <c r="T270" s="237"/>
      <c r="U270" s="237"/>
      <c r="V270" s="237"/>
      <c r="W270" s="237"/>
      <c r="X270" s="237"/>
      <c r="Y270" s="237"/>
      <c r="Z270" s="237"/>
    </row>
    <row r="271" spans="1:26">
      <c r="A271" s="238"/>
      <c r="B271" s="237"/>
      <c r="D271" s="237"/>
      <c r="E271" s="237"/>
      <c r="F271" s="237"/>
      <c r="G271" s="237"/>
      <c r="H271" s="237"/>
      <c r="I271" s="237"/>
      <c r="J271" s="237"/>
      <c r="K271" s="237"/>
      <c r="L271" s="237"/>
      <c r="M271" s="237"/>
      <c r="N271" s="237"/>
      <c r="O271" s="237"/>
      <c r="P271" s="237"/>
      <c r="Q271" s="237"/>
      <c r="R271" s="237"/>
      <c r="S271" s="237"/>
      <c r="T271" s="237"/>
      <c r="U271" s="237"/>
      <c r="V271" s="237"/>
      <c r="W271" s="237"/>
      <c r="X271" s="237"/>
      <c r="Y271" s="237"/>
      <c r="Z271" s="237"/>
    </row>
    <row r="272" spans="1:26">
      <c r="A272" s="238"/>
      <c r="B272" s="237"/>
      <c r="D272" s="237"/>
      <c r="E272" s="237"/>
      <c r="F272" s="237"/>
      <c r="G272" s="237"/>
      <c r="H272" s="237"/>
      <c r="I272" s="237"/>
      <c r="J272" s="237"/>
      <c r="K272" s="237"/>
      <c r="L272" s="237"/>
      <c r="M272" s="237"/>
      <c r="N272" s="237"/>
      <c r="O272" s="237"/>
      <c r="P272" s="237"/>
      <c r="Q272" s="237"/>
      <c r="R272" s="237"/>
      <c r="S272" s="237"/>
      <c r="T272" s="237"/>
      <c r="U272" s="237"/>
      <c r="V272" s="237"/>
      <c r="W272" s="237"/>
      <c r="X272" s="237"/>
      <c r="Y272" s="237"/>
      <c r="Z272" s="237"/>
    </row>
    <row r="273" spans="1:26">
      <c r="A273" s="238"/>
      <c r="B273" s="237"/>
      <c r="D273" s="237"/>
      <c r="E273" s="237"/>
      <c r="F273" s="237"/>
      <c r="G273" s="237"/>
      <c r="H273" s="237"/>
      <c r="I273" s="237"/>
      <c r="J273" s="237"/>
      <c r="K273" s="237"/>
      <c r="L273" s="237"/>
      <c r="M273" s="237"/>
      <c r="N273" s="237"/>
      <c r="O273" s="237"/>
      <c r="P273" s="237"/>
      <c r="Q273" s="237"/>
      <c r="R273" s="237"/>
      <c r="S273" s="237"/>
      <c r="T273" s="237"/>
      <c r="U273" s="237"/>
      <c r="V273" s="237"/>
      <c r="W273" s="237"/>
      <c r="X273" s="237"/>
      <c r="Y273" s="237"/>
      <c r="Z273" s="237"/>
    </row>
    <row r="274" spans="1:26">
      <c r="A274" s="238"/>
      <c r="B274" s="237"/>
      <c r="D274" s="237"/>
      <c r="E274" s="237"/>
      <c r="F274" s="237"/>
      <c r="G274" s="237"/>
      <c r="H274" s="237"/>
      <c r="I274" s="237"/>
      <c r="J274" s="237"/>
      <c r="K274" s="237"/>
      <c r="L274" s="237"/>
      <c r="M274" s="237"/>
      <c r="N274" s="237"/>
      <c r="O274" s="237"/>
      <c r="P274" s="237"/>
      <c r="Q274" s="237"/>
      <c r="R274" s="237"/>
      <c r="S274" s="237"/>
      <c r="T274" s="237"/>
      <c r="U274" s="237"/>
      <c r="V274" s="237"/>
      <c r="W274" s="237"/>
      <c r="X274" s="237"/>
      <c r="Y274" s="237"/>
      <c r="Z274" s="237"/>
    </row>
    <row r="275" spans="1:26">
      <c r="A275" s="238"/>
      <c r="B275" s="237"/>
      <c r="D275" s="237"/>
      <c r="E275" s="237"/>
      <c r="F275" s="237"/>
      <c r="G275" s="237"/>
      <c r="H275" s="237"/>
      <c r="I275" s="237"/>
      <c r="J275" s="237"/>
      <c r="K275" s="237"/>
      <c r="L275" s="237"/>
      <c r="M275" s="237"/>
      <c r="N275" s="237"/>
      <c r="O275" s="237"/>
      <c r="P275" s="237"/>
      <c r="Q275" s="237"/>
      <c r="R275" s="237"/>
      <c r="S275" s="237"/>
      <c r="T275" s="237"/>
      <c r="U275" s="237"/>
      <c r="V275" s="237"/>
      <c r="W275" s="237"/>
      <c r="X275" s="237"/>
      <c r="Y275" s="237"/>
      <c r="Z275" s="237"/>
    </row>
    <row r="276" spans="1:26">
      <c r="A276" s="238"/>
      <c r="B276" s="237"/>
      <c r="D276" s="237"/>
      <c r="E276" s="237"/>
      <c r="F276" s="237"/>
      <c r="G276" s="237"/>
      <c r="H276" s="237"/>
      <c r="I276" s="237"/>
      <c r="J276" s="237"/>
      <c r="K276" s="237"/>
      <c r="L276" s="237"/>
      <c r="M276" s="237"/>
      <c r="N276" s="237"/>
      <c r="O276" s="237"/>
      <c r="P276" s="237"/>
      <c r="Q276" s="237"/>
      <c r="R276" s="237"/>
      <c r="S276" s="237"/>
      <c r="T276" s="237"/>
      <c r="U276" s="237"/>
      <c r="V276" s="237"/>
      <c r="W276" s="237"/>
      <c r="X276" s="237"/>
      <c r="Y276" s="237"/>
      <c r="Z276" s="237"/>
    </row>
    <row r="277" spans="1:26">
      <c r="A277" s="238"/>
      <c r="B277" s="237"/>
      <c r="D277" s="237"/>
      <c r="E277" s="237"/>
      <c r="F277" s="237"/>
      <c r="G277" s="237"/>
      <c r="H277" s="237"/>
      <c r="I277" s="237"/>
      <c r="J277" s="237"/>
      <c r="K277" s="237"/>
      <c r="L277" s="237"/>
      <c r="M277" s="237"/>
      <c r="N277" s="237"/>
      <c r="O277" s="237"/>
      <c r="P277" s="237"/>
      <c r="Q277" s="237"/>
      <c r="R277" s="237"/>
      <c r="S277" s="237"/>
      <c r="T277" s="237"/>
      <c r="U277" s="237"/>
      <c r="V277" s="237"/>
      <c r="W277" s="237"/>
      <c r="X277" s="237"/>
      <c r="Y277" s="237"/>
      <c r="Z277" s="237"/>
    </row>
    <row r="278" spans="1:26">
      <c r="A278" s="238"/>
      <c r="B278" s="237"/>
      <c r="D278" s="237"/>
      <c r="E278" s="237"/>
      <c r="F278" s="237"/>
      <c r="G278" s="237"/>
      <c r="H278" s="237"/>
      <c r="I278" s="237"/>
      <c r="J278" s="237"/>
      <c r="K278" s="237"/>
      <c r="L278" s="237"/>
      <c r="M278" s="237"/>
      <c r="N278" s="237"/>
      <c r="O278" s="237"/>
      <c r="P278" s="237"/>
      <c r="Q278" s="237"/>
      <c r="R278" s="237"/>
      <c r="S278" s="237"/>
      <c r="T278" s="237"/>
      <c r="U278" s="237"/>
      <c r="V278" s="237"/>
      <c r="W278" s="237"/>
      <c r="X278" s="237"/>
      <c r="Y278" s="237"/>
      <c r="Z278" s="237"/>
    </row>
    <row r="279" spans="1:26">
      <c r="A279" s="238"/>
      <c r="B279" s="237"/>
      <c r="D279" s="237"/>
      <c r="E279" s="237"/>
      <c r="F279" s="237"/>
      <c r="G279" s="237"/>
      <c r="H279" s="237"/>
      <c r="I279" s="237"/>
      <c r="J279" s="237"/>
      <c r="K279" s="237"/>
      <c r="L279" s="237"/>
      <c r="M279" s="237"/>
      <c r="N279" s="237"/>
      <c r="O279" s="237"/>
      <c r="P279" s="237"/>
      <c r="Q279" s="237"/>
      <c r="R279" s="237"/>
      <c r="S279" s="237"/>
      <c r="T279" s="237"/>
      <c r="U279" s="237"/>
      <c r="V279" s="237"/>
      <c r="W279" s="237"/>
      <c r="X279" s="237"/>
      <c r="Y279" s="237"/>
      <c r="Z279" s="237"/>
    </row>
    <row r="280" spans="1:26">
      <c r="A280" s="238"/>
      <c r="B280" s="237"/>
      <c r="D280" s="237"/>
      <c r="E280" s="237"/>
      <c r="F280" s="237"/>
      <c r="G280" s="237"/>
      <c r="H280" s="237"/>
      <c r="I280" s="237"/>
      <c r="J280" s="237"/>
      <c r="K280" s="237"/>
      <c r="L280" s="237"/>
      <c r="M280" s="237"/>
      <c r="N280" s="237"/>
      <c r="O280" s="237"/>
      <c r="P280" s="237"/>
      <c r="Q280" s="237"/>
      <c r="R280" s="237"/>
      <c r="S280" s="237"/>
      <c r="T280" s="237"/>
      <c r="U280" s="237"/>
      <c r="V280" s="237"/>
      <c r="W280" s="237"/>
      <c r="X280" s="237"/>
      <c r="Y280" s="237"/>
      <c r="Z280" s="237"/>
    </row>
    <row r="281" spans="1:26">
      <c r="A281" s="238"/>
      <c r="B281" s="237"/>
      <c r="D281" s="237"/>
      <c r="E281" s="237"/>
      <c r="F281" s="237"/>
      <c r="G281" s="237"/>
      <c r="H281" s="237"/>
      <c r="I281" s="237"/>
      <c r="J281" s="237"/>
      <c r="K281" s="237"/>
      <c r="L281" s="237"/>
      <c r="M281" s="237"/>
      <c r="N281" s="237"/>
      <c r="O281" s="237"/>
      <c r="P281" s="237"/>
      <c r="Q281" s="237"/>
      <c r="R281" s="237"/>
      <c r="S281" s="237"/>
      <c r="T281" s="237"/>
      <c r="U281" s="237"/>
      <c r="V281" s="237"/>
      <c r="W281" s="237"/>
      <c r="X281" s="237"/>
      <c r="Y281" s="237"/>
      <c r="Z281" s="237"/>
    </row>
    <row r="282" spans="1:26">
      <c r="A282" s="238"/>
      <c r="B282" s="237"/>
      <c r="D282" s="237"/>
      <c r="E282" s="237"/>
      <c r="F282" s="237"/>
      <c r="G282" s="237"/>
      <c r="H282" s="237"/>
      <c r="I282" s="237"/>
      <c r="J282" s="237"/>
      <c r="K282" s="237"/>
      <c r="L282" s="237"/>
      <c r="M282" s="237"/>
      <c r="N282" s="237"/>
      <c r="O282" s="237"/>
      <c r="P282" s="237"/>
      <c r="Q282" s="237"/>
      <c r="R282" s="237"/>
      <c r="S282" s="237"/>
      <c r="T282" s="237"/>
      <c r="U282" s="237"/>
      <c r="V282" s="237"/>
      <c r="W282" s="237"/>
      <c r="X282" s="237"/>
      <c r="Y282" s="237"/>
      <c r="Z282" s="237"/>
    </row>
    <row r="283" spans="1:26">
      <c r="A283" s="238"/>
      <c r="B283" s="237"/>
      <c r="D283" s="237"/>
      <c r="E283" s="237"/>
      <c r="F283" s="237"/>
      <c r="G283" s="237"/>
      <c r="H283" s="237"/>
      <c r="I283" s="237"/>
      <c r="J283" s="237"/>
      <c r="K283" s="237"/>
      <c r="L283" s="237"/>
      <c r="M283" s="237"/>
      <c r="N283" s="237"/>
      <c r="O283" s="237"/>
      <c r="P283" s="237"/>
      <c r="Q283" s="237"/>
      <c r="R283" s="237"/>
      <c r="S283" s="237"/>
      <c r="T283" s="237"/>
      <c r="U283" s="237"/>
      <c r="V283" s="237"/>
      <c r="W283" s="237"/>
      <c r="X283" s="237"/>
      <c r="Y283" s="237"/>
      <c r="Z283" s="237"/>
    </row>
    <row r="284" spans="1:26">
      <c r="A284" s="238"/>
      <c r="B284" s="237"/>
      <c r="D284" s="237"/>
      <c r="E284" s="237"/>
      <c r="F284" s="237"/>
      <c r="G284" s="237"/>
      <c r="H284" s="237"/>
      <c r="I284" s="237"/>
      <c r="J284" s="237"/>
      <c r="K284" s="237"/>
      <c r="L284" s="237"/>
      <c r="M284" s="237"/>
      <c r="N284" s="237"/>
      <c r="O284" s="237"/>
      <c r="P284" s="237"/>
      <c r="Q284" s="237"/>
      <c r="R284" s="237"/>
      <c r="S284" s="237"/>
      <c r="T284" s="237"/>
      <c r="U284" s="237"/>
      <c r="V284" s="237"/>
      <c r="W284" s="237"/>
      <c r="X284" s="237"/>
      <c r="Y284" s="237"/>
      <c r="Z284" s="237"/>
    </row>
    <row r="285" spans="1:26">
      <c r="A285" s="238"/>
      <c r="B285" s="237"/>
      <c r="D285" s="237"/>
      <c r="E285" s="237"/>
      <c r="F285" s="237"/>
      <c r="G285" s="237"/>
      <c r="H285" s="237"/>
      <c r="I285" s="237"/>
      <c r="J285" s="237"/>
      <c r="K285" s="237"/>
      <c r="L285" s="237"/>
      <c r="M285" s="237"/>
      <c r="N285" s="237"/>
      <c r="O285" s="237"/>
      <c r="P285" s="237"/>
      <c r="Q285" s="237"/>
      <c r="R285" s="237"/>
      <c r="S285" s="237"/>
      <c r="T285" s="237"/>
      <c r="U285" s="237"/>
      <c r="V285" s="237"/>
      <c r="W285" s="237"/>
      <c r="X285" s="237"/>
      <c r="Y285" s="237"/>
      <c r="Z285" s="237"/>
    </row>
    <row r="286" spans="1:26">
      <c r="A286" s="238"/>
      <c r="B286" s="237"/>
      <c r="D286" s="237"/>
      <c r="E286" s="237"/>
      <c r="F286" s="237"/>
      <c r="G286" s="237"/>
      <c r="H286" s="237"/>
      <c r="I286" s="237"/>
      <c r="J286" s="237"/>
      <c r="K286" s="237"/>
      <c r="L286" s="237"/>
      <c r="M286" s="237"/>
      <c r="N286" s="237"/>
      <c r="O286" s="237"/>
      <c r="P286" s="237"/>
      <c r="Q286" s="237"/>
      <c r="R286" s="237"/>
      <c r="S286" s="237"/>
      <c r="T286" s="237"/>
      <c r="U286" s="237"/>
      <c r="V286" s="237"/>
      <c r="W286" s="237"/>
      <c r="X286" s="237"/>
      <c r="Y286" s="237"/>
      <c r="Z286" s="237"/>
    </row>
    <row r="287" spans="1:26">
      <c r="A287" s="238"/>
      <c r="B287" s="237"/>
      <c r="D287" s="237"/>
      <c r="E287" s="237"/>
      <c r="F287" s="237"/>
      <c r="G287" s="237"/>
      <c r="H287" s="237"/>
      <c r="I287" s="237"/>
      <c r="J287" s="237"/>
      <c r="K287" s="237"/>
      <c r="L287" s="237"/>
      <c r="M287" s="237"/>
      <c r="N287" s="237"/>
      <c r="O287" s="237"/>
      <c r="P287" s="237"/>
      <c r="Q287" s="237"/>
      <c r="R287" s="237"/>
      <c r="S287" s="237"/>
      <c r="T287" s="237"/>
      <c r="U287" s="237"/>
      <c r="V287" s="237"/>
      <c r="W287" s="237"/>
      <c r="X287" s="237"/>
      <c r="Y287" s="237"/>
      <c r="Z287" s="237"/>
    </row>
    <row r="288" spans="1:26">
      <c r="A288" s="238"/>
      <c r="B288" s="237"/>
      <c r="D288" s="237"/>
      <c r="E288" s="237"/>
      <c r="F288" s="237"/>
      <c r="G288" s="237"/>
      <c r="H288" s="237"/>
      <c r="I288" s="237"/>
      <c r="J288" s="237"/>
      <c r="K288" s="237"/>
      <c r="L288" s="237"/>
      <c r="M288" s="237"/>
      <c r="N288" s="237"/>
      <c r="O288" s="237"/>
      <c r="P288" s="237"/>
      <c r="Q288" s="237"/>
      <c r="R288" s="237"/>
      <c r="S288" s="237"/>
      <c r="T288" s="237"/>
      <c r="U288" s="237"/>
      <c r="V288" s="237"/>
      <c r="W288" s="237"/>
      <c r="X288" s="237"/>
      <c r="Y288" s="237"/>
      <c r="Z288" s="237"/>
    </row>
    <row r="289" spans="1:26">
      <c r="A289" s="238"/>
      <c r="B289" s="237"/>
      <c r="D289" s="237"/>
      <c r="E289" s="237"/>
      <c r="F289" s="237"/>
      <c r="G289" s="237"/>
      <c r="H289" s="237"/>
      <c r="I289" s="237"/>
      <c r="J289" s="237"/>
      <c r="K289" s="237"/>
      <c r="L289" s="237"/>
      <c r="M289" s="237"/>
      <c r="N289" s="237"/>
      <c r="O289" s="237"/>
      <c r="P289" s="237"/>
      <c r="Q289" s="237"/>
      <c r="R289" s="237"/>
      <c r="S289" s="237"/>
      <c r="T289" s="237"/>
      <c r="U289" s="237"/>
      <c r="V289" s="237"/>
      <c r="W289" s="237"/>
      <c r="X289" s="237"/>
      <c r="Y289" s="237"/>
      <c r="Z289" s="237"/>
    </row>
    <row r="290" spans="1:26">
      <c r="A290" s="238"/>
      <c r="B290" s="237"/>
      <c r="D290" s="237"/>
      <c r="E290" s="237"/>
      <c r="F290" s="237"/>
      <c r="G290" s="237"/>
      <c r="H290" s="237"/>
      <c r="I290" s="237"/>
      <c r="J290" s="237"/>
      <c r="K290" s="237"/>
      <c r="L290" s="237"/>
      <c r="M290" s="237"/>
      <c r="N290" s="237"/>
      <c r="O290" s="237"/>
      <c r="P290" s="237"/>
      <c r="Q290" s="237"/>
      <c r="R290" s="237"/>
      <c r="S290" s="237"/>
      <c r="T290" s="237"/>
      <c r="U290" s="237"/>
      <c r="V290" s="237"/>
      <c r="W290" s="237"/>
      <c r="X290" s="237"/>
      <c r="Y290" s="237"/>
      <c r="Z290" s="237"/>
    </row>
    <row r="291" spans="1:26">
      <c r="A291" s="238"/>
      <c r="B291" s="237"/>
      <c r="D291" s="237"/>
      <c r="E291" s="237"/>
      <c r="F291" s="237"/>
      <c r="G291" s="237"/>
      <c r="H291" s="237"/>
      <c r="I291" s="237"/>
      <c r="J291" s="237"/>
      <c r="K291" s="237"/>
      <c r="L291" s="237"/>
      <c r="M291" s="237"/>
      <c r="N291" s="237"/>
      <c r="O291" s="237"/>
      <c r="P291" s="237"/>
      <c r="Q291" s="237"/>
      <c r="R291" s="237"/>
      <c r="S291" s="237"/>
      <c r="T291" s="237"/>
      <c r="U291" s="237"/>
      <c r="V291" s="237"/>
      <c r="W291" s="237"/>
      <c r="X291" s="237"/>
      <c r="Y291" s="237"/>
      <c r="Z291" s="237"/>
    </row>
    <row r="292" spans="1:26">
      <c r="A292" s="238"/>
      <c r="B292" s="237"/>
      <c r="D292" s="237"/>
      <c r="E292" s="237"/>
      <c r="F292" s="237"/>
      <c r="G292" s="237"/>
      <c r="H292" s="237"/>
      <c r="I292" s="237"/>
      <c r="J292" s="237"/>
      <c r="K292" s="237"/>
      <c r="L292" s="237"/>
      <c r="M292" s="237"/>
      <c r="N292" s="237"/>
      <c r="O292" s="237"/>
      <c r="P292" s="237"/>
      <c r="Q292" s="237"/>
      <c r="R292" s="237"/>
      <c r="S292" s="237"/>
      <c r="T292" s="237"/>
      <c r="U292" s="237"/>
      <c r="V292" s="237"/>
      <c r="W292" s="237"/>
      <c r="X292" s="237"/>
      <c r="Y292" s="237"/>
      <c r="Z292" s="237"/>
    </row>
    <row r="293" spans="1:26">
      <c r="A293" s="238"/>
      <c r="B293" s="237"/>
      <c r="D293" s="237"/>
      <c r="E293" s="237"/>
      <c r="F293" s="237"/>
      <c r="G293" s="237"/>
      <c r="H293" s="237"/>
      <c r="I293" s="237"/>
      <c r="J293" s="237"/>
      <c r="K293" s="237"/>
      <c r="L293" s="237"/>
      <c r="M293" s="237"/>
      <c r="N293" s="237"/>
      <c r="O293" s="237"/>
      <c r="P293" s="237"/>
      <c r="Q293" s="237"/>
      <c r="R293" s="237"/>
      <c r="S293" s="237"/>
      <c r="T293" s="237"/>
      <c r="U293" s="237"/>
      <c r="V293" s="237"/>
      <c r="W293" s="237"/>
      <c r="X293" s="237"/>
      <c r="Y293" s="237"/>
      <c r="Z293" s="237"/>
    </row>
    <row r="294" spans="1:26">
      <c r="A294" s="238"/>
      <c r="B294" s="237"/>
      <c r="D294" s="237"/>
      <c r="E294" s="237"/>
      <c r="F294" s="237"/>
      <c r="G294" s="237"/>
      <c r="H294" s="237"/>
      <c r="I294" s="237"/>
      <c r="J294" s="237"/>
      <c r="K294" s="237"/>
      <c r="L294" s="237"/>
      <c r="M294" s="237"/>
      <c r="N294" s="237"/>
      <c r="O294" s="237"/>
      <c r="P294" s="237"/>
      <c r="Q294" s="237"/>
      <c r="R294" s="237"/>
      <c r="S294" s="237"/>
      <c r="T294" s="237"/>
      <c r="U294" s="237"/>
      <c r="V294" s="237"/>
      <c r="W294" s="237"/>
      <c r="X294" s="237"/>
      <c r="Y294" s="237"/>
      <c r="Z294" s="237"/>
    </row>
    <row r="295" spans="1:26">
      <c r="A295" s="238"/>
      <c r="B295" s="237"/>
      <c r="D295" s="237"/>
      <c r="E295" s="237"/>
      <c r="F295" s="237"/>
      <c r="G295" s="237"/>
      <c r="H295" s="237"/>
      <c r="I295" s="237"/>
      <c r="J295" s="237"/>
      <c r="K295" s="237"/>
      <c r="L295" s="237"/>
      <c r="M295" s="237"/>
      <c r="N295" s="237"/>
      <c r="O295" s="237"/>
      <c r="P295" s="237"/>
      <c r="Q295" s="237"/>
      <c r="R295" s="237"/>
      <c r="S295" s="237"/>
      <c r="T295" s="237"/>
      <c r="U295" s="237"/>
      <c r="V295" s="237"/>
      <c r="W295" s="237"/>
      <c r="X295" s="237"/>
      <c r="Y295" s="237"/>
      <c r="Z295" s="237"/>
    </row>
    <row r="296" spans="1:26">
      <c r="A296" s="238"/>
      <c r="B296" s="237"/>
      <c r="D296" s="237"/>
      <c r="E296" s="237"/>
      <c r="F296" s="237"/>
      <c r="G296" s="237"/>
      <c r="H296" s="237"/>
      <c r="I296" s="237"/>
      <c r="J296" s="237"/>
      <c r="K296" s="237"/>
      <c r="L296" s="237"/>
      <c r="M296" s="237"/>
      <c r="N296" s="237"/>
      <c r="O296" s="237"/>
      <c r="P296" s="237"/>
      <c r="Q296" s="237"/>
      <c r="R296" s="237"/>
      <c r="S296" s="237"/>
      <c r="T296" s="237"/>
      <c r="U296" s="237"/>
      <c r="V296" s="237"/>
      <c r="W296" s="237"/>
      <c r="X296" s="237"/>
      <c r="Y296" s="237"/>
      <c r="Z296" s="237"/>
    </row>
    <row r="297" spans="1:26">
      <c r="A297" s="238"/>
      <c r="B297" s="237"/>
      <c r="D297" s="237"/>
      <c r="E297" s="237"/>
      <c r="F297" s="237"/>
      <c r="G297" s="237"/>
      <c r="H297" s="237"/>
      <c r="I297" s="237"/>
      <c r="J297" s="237"/>
      <c r="K297" s="237"/>
      <c r="L297" s="237"/>
      <c r="M297" s="237"/>
      <c r="N297" s="237"/>
      <c r="O297" s="237"/>
      <c r="P297" s="237"/>
      <c r="Q297" s="237"/>
      <c r="R297" s="237"/>
      <c r="S297" s="237"/>
      <c r="T297" s="237"/>
      <c r="U297" s="237"/>
      <c r="V297" s="237"/>
      <c r="W297" s="237"/>
      <c r="X297" s="237"/>
      <c r="Y297" s="237"/>
      <c r="Z297" s="237"/>
    </row>
    <row r="298" spans="1:26">
      <c r="A298" s="238"/>
      <c r="B298" s="237"/>
      <c r="D298" s="237"/>
      <c r="E298" s="237"/>
      <c r="F298" s="237"/>
      <c r="G298" s="237"/>
      <c r="H298" s="237"/>
      <c r="I298" s="237"/>
      <c r="J298" s="237"/>
      <c r="K298" s="237"/>
      <c r="L298" s="237"/>
      <c r="M298" s="237"/>
      <c r="N298" s="237"/>
      <c r="O298" s="237"/>
      <c r="P298" s="237"/>
      <c r="Q298" s="237"/>
      <c r="R298" s="237"/>
      <c r="S298" s="237"/>
      <c r="T298" s="237"/>
      <c r="U298" s="237"/>
      <c r="V298" s="237"/>
      <c r="W298" s="237"/>
      <c r="X298" s="237"/>
      <c r="Y298" s="237"/>
      <c r="Z298" s="237"/>
    </row>
    <row r="299" spans="1:26">
      <c r="A299" s="238"/>
      <c r="B299" s="237"/>
      <c r="D299" s="237"/>
      <c r="E299" s="237"/>
      <c r="F299" s="237"/>
      <c r="G299" s="237"/>
      <c r="H299" s="237"/>
      <c r="I299" s="237"/>
      <c r="J299" s="237"/>
      <c r="K299" s="237"/>
      <c r="L299" s="237"/>
      <c r="M299" s="237"/>
      <c r="N299" s="237"/>
      <c r="O299" s="237"/>
      <c r="P299" s="237"/>
      <c r="Q299" s="237"/>
      <c r="R299" s="237"/>
      <c r="S299" s="237"/>
      <c r="T299" s="237"/>
      <c r="U299" s="237"/>
      <c r="V299" s="237"/>
      <c r="W299" s="237"/>
      <c r="X299" s="237"/>
      <c r="Y299" s="237"/>
      <c r="Z299" s="237"/>
    </row>
    <row r="300" spans="1:26">
      <c r="A300" s="238"/>
      <c r="B300" s="237"/>
      <c r="D300" s="237"/>
      <c r="E300" s="237"/>
      <c r="F300" s="237"/>
      <c r="G300" s="237"/>
      <c r="H300" s="237"/>
      <c r="I300" s="237"/>
      <c r="J300" s="237"/>
      <c r="K300" s="237"/>
      <c r="L300" s="237"/>
      <c r="M300" s="237"/>
      <c r="N300" s="237"/>
      <c r="O300" s="237"/>
      <c r="P300" s="237"/>
      <c r="Q300" s="237"/>
      <c r="R300" s="237"/>
      <c r="S300" s="237"/>
      <c r="T300" s="237"/>
      <c r="U300" s="237"/>
      <c r="V300" s="237"/>
      <c r="W300" s="237"/>
      <c r="X300" s="237"/>
      <c r="Y300" s="237"/>
      <c r="Z300" s="237"/>
    </row>
    <row r="301" spans="1:26">
      <c r="A301" s="238"/>
      <c r="B301" s="237"/>
      <c r="D301" s="237"/>
      <c r="E301" s="237"/>
      <c r="F301" s="237"/>
      <c r="G301" s="237"/>
      <c r="H301" s="237"/>
      <c r="I301" s="237"/>
      <c r="J301" s="237"/>
      <c r="K301" s="237"/>
      <c r="L301" s="237"/>
      <c r="M301" s="237"/>
      <c r="N301" s="237"/>
      <c r="O301" s="237"/>
      <c r="P301" s="237"/>
      <c r="Q301" s="237"/>
      <c r="R301" s="237"/>
      <c r="S301" s="237"/>
      <c r="T301" s="237"/>
      <c r="U301" s="237"/>
      <c r="V301" s="237"/>
      <c r="W301" s="237"/>
      <c r="X301" s="237"/>
      <c r="Y301" s="237"/>
      <c r="Z301" s="237"/>
    </row>
    <row r="302" spans="1:26">
      <c r="A302" s="238"/>
      <c r="B302" s="237"/>
      <c r="D302" s="237"/>
      <c r="E302" s="237"/>
      <c r="F302" s="237"/>
      <c r="G302" s="237"/>
      <c r="H302" s="237"/>
      <c r="I302" s="237"/>
      <c r="J302" s="237"/>
      <c r="K302" s="237"/>
      <c r="L302" s="237"/>
      <c r="M302" s="237"/>
      <c r="N302" s="237"/>
      <c r="O302" s="237"/>
      <c r="P302" s="237"/>
      <c r="Q302" s="237"/>
      <c r="R302" s="237"/>
      <c r="S302" s="237"/>
      <c r="T302" s="237"/>
      <c r="U302" s="237"/>
      <c r="V302" s="237"/>
      <c r="W302" s="237"/>
      <c r="X302" s="237"/>
      <c r="Y302" s="237"/>
      <c r="Z302" s="237"/>
    </row>
    <row r="303" spans="1:26">
      <c r="A303" s="238"/>
      <c r="B303" s="237"/>
      <c r="D303" s="237"/>
      <c r="E303" s="237"/>
      <c r="F303" s="237"/>
      <c r="G303" s="237"/>
      <c r="H303" s="237"/>
      <c r="I303" s="237"/>
      <c r="J303" s="237"/>
      <c r="K303" s="237"/>
      <c r="L303" s="237"/>
      <c r="M303" s="237"/>
      <c r="N303" s="237"/>
      <c r="O303" s="237"/>
      <c r="P303" s="237"/>
      <c r="Q303" s="237"/>
      <c r="R303" s="237"/>
      <c r="S303" s="237"/>
      <c r="T303" s="237"/>
      <c r="U303" s="237"/>
      <c r="V303" s="237"/>
      <c r="W303" s="237"/>
      <c r="X303" s="237"/>
      <c r="Y303" s="237"/>
      <c r="Z303" s="237"/>
    </row>
    <row r="304" spans="1:26">
      <c r="A304" s="238"/>
      <c r="B304" s="237"/>
      <c r="D304" s="237"/>
      <c r="E304" s="237"/>
      <c r="F304" s="237"/>
      <c r="G304" s="237"/>
      <c r="H304" s="237"/>
      <c r="I304" s="237"/>
      <c r="J304" s="237"/>
      <c r="K304" s="237"/>
      <c r="L304" s="237"/>
      <c r="M304" s="237"/>
      <c r="N304" s="237"/>
      <c r="O304" s="237"/>
      <c r="P304" s="237"/>
      <c r="Q304" s="237"/>
      <c r="R304" s="237"/>
      <c r="S304" s="237"/>
      <c r="T304" s="237"/>
      <c r="U304" s="237"/>
      <c r="V304" s="237"/>
      <c r="W304" s="237"/>
      <c r="X304" s="237"/>
      <c r="Y304" s="237"/>
      <c r="Z304" s="237"/>
    </row>
    <row r="305" spans="1:26">
      <c r="A305" s="238"/>
      <c r="B305" s="237"/>
      <c r="D305" s="237"/>
      <c r="E305" s="237"/>
      <c r="F305" s="237"/>
      <c r="G305" s="237"/>
      <c r="H305" s="237"/>
      <c r="I305" s="237"/>
      <c r="J305" s="237"/>
      <c r="K305" s="237"/>
      <c r="L305" s="237"/>
      <c r="M305" s="237"/>
      <c r="N305" s="237"/>
      <c r="O305" s="237"/>
      <c r="P305" s="237"/>
      <c r="Q305" s="237"/>
      <c r="R305" s="237"/>
      <c r="S305" s="237"/>
      <c r="T305" s="237"/>
      <c r="U305" s="237"/>
      <c r="V305" s="237"/>
      <c r="W305" s="237"/>
      <c r="X305" s="237"/>
      <c r="Y305" s="237"/>
      <c r="Z305" s="237"/>
    </row>
    <row r="306" spans="1:26">
      <c r="A306" s="238"/>
      <c r="B306" s="237"/>
      <c r="D306" s="237"/>
      <c r="E306" s="237"/>
      <c r="F306" s="237"/>
      <c r="G306" s="237"/>
      <c r="H306" s="237"/>
      <c r="I306" s="237"/>
      <c r="J306" s="237"/>
      <c r="K306" s="237"/>
      <c r="L306" s="237"/>
      <c r="M306" s="237"/>
      <c r="N306" s="237"/>
      <c r="O306" s="237"/>
      <c r="P306" s="237"/>
      <c r="Q306" s="237"/>
      <c r="R306" s="237"/>
      <c r="S306" s="237"/>
      <c r="T306" s="237"/>
      <c r="U306" s="237"/>
      <c r="V306" s="237"/>
      <c r="W306" s="237"/>
      <c r="X306" s="237"/>
      <c r="Y306" s="237"/>
      <c r="Z306" s="237"/>
    </row>
    <row r="307" spans="1:26">
      <c r="A307" s="238"/>
      <c r="B307" s="237"/>
      <c r="D307" s="237"/>
      <c r="E307" s="237"/>
      <c r="F307" s="237"/>
      <c r="G307" s="237"/>
      <c r="H307" s="237"/>
      <c r="I307" s="237"/>
      <c r="J307" s="237"/>
      <c r="K307" s="237"/>
      <c r="L307" s="237"/>
      <c r="M307" s="237"/>
      <c r="N307" s="237"/>
      <c r="O307" s="237"/>
      <c r="P307" s="237"/>
      <c r="Q307" s="237"/>
      <c r="R307" s="237"/>
      <c r="S307" s="237"/>
      <c r="T307" s="237"/>
      <c r="U307" s="237"/>
      <c r="V307" s="237"/>
      <c r="W307" s="237"/>
      <c r="X307" s="237"/>
      <c r="Y307" s="237"/>
      <c r="Z307" s="237"/>
    </row>
    <row r="308" spans="1:26">
      <c r="A308" s="238"/>
      <c r="B308" s="237"/>
      <c r="D308" s="237"/>
      <c r="E308" s="237"/>
      <c r="F308" s="237"/>
      <c r="G308" s="237"/>
      <c r="H308" s="237"/>
      <c r="I308" s="237"/>
      <c r="J308" s="237"/>
      <c r="K308" s="237"/>
      <c r="L308" s="237"/>
      <c r="M308" s="237"/>
      <c r="N308" s="237"/>
      <c r="O308" s="237"/>
      <c r="P308" s="237"/>
      <c r="Q308" s="237"/>
      <c r="R308" s="237"/>
      <c r="S308" s="237"/>
      <c r="T308" s="237"/>
      <c r="U308" s="237"/>
      <c r="V308" s="237"/>
      <c r="W308" s="237"/>
      <c r="X308" s="237"/>
      <c r="Y308" s="237"/>
      <c r="Z308" s="237"/>
    </row>
    <row r="309" spans="1:26">
      <c r="A309" s="238"/>
      <c r="B309" s="237"/>
      <c r="D309" s="237"/>
      <c r="E309" s="237"/>
      <c r="F309" s="237"/>
      <c r="G309" s="237"/>
      <c r="H309" s="237"/>
      <c r="I309" s="237"/>
      <c r="J309" s="237"/>
      <c r="K309" s="237"/>
      <c r="L309" s="237"/>
      <c r="M309" s="237"/>
      <c r="N309" s="237"/>
      <c r="O309" s="237"/>
      <c r="P309" s="237"/>
      <c r="Q309" s="237"/>
      <c r="R309" s="237"/>
      <c r="S309" s="237"/>
      <c r="T309" s="237"/>
      <c r="U309" s="237"/>
      <c r="V309" s="237"/>
      <c r="W309" s="237"/>
      <c r="X309" s="237"/>
      <c r="Y309" s="237"/>
      <c r="Z309" s="237"/>
    </row>
    <row r="310" spans="1:26">
      <c r="A310" s="238"/>
      <c r="B310" s="237"/>
      <c r="D310" s="237"/>
      <c r="E310" s="237"/>
      <c r="F310" s="237"/>
      <c r="G310" s="237"/>
      <c r="H310" s="237"/>
      <c r="I310" s="237"/>
      <c r="J310" s="237"/>
      <c r="K310" s="237"/>
      <c r="L310" s="237"/>
      <c r="M310" s="237"/>
      <c r="N310" s="237"/>
      <c r="O310" s="237"/>
      <c r="P310" s="237"/>
      <c r="Q310" s="237"/>
      <c r="R310" s="237"/>
      <c r="S310" s="237"/>
      <c r="T310" s="237"/>
      <c r="U310" s="237"/>
      <c r="V310" s="237"/>
      <c r="W310" s="237"/>
      <c r="X310" s="237"/>
      <c r="Y310" s="237"/>
      <c r="Z310" s="237"/>
    </row>
    <row r="311" spans="1:26">
      <c r="A311" s="238"/>
      <c r="B311" s="237"/>
      <c r="D311" s="237"/>
      <c r="E311" s="237"/>
      <c r="F311" s="237"/>
      <c r="G311" s="237"/>
      <c r="H311" s="237"/>
      <c r="I311" s="237"/>
      <c r="J311" s="237"/>
      <c r="K311" s="237"/>
      <c r="L311" s="237"/>
      <c r="M311" s="237"/>
      <c r="N311" s="237"/>
      <c r="O311" s="237"/>
      <c r="P311" s="237"/>
      <c r="Q311" s="237"/>
      <c r="R311" s="237"/>
      <c r="S311" s="237"/>
      <c r="T311" s="237"/>
      <c r="U311" s="237"/>
      <c r="V311" s="237"/>
      <c r="W311" s="237"/>
      <c r="X311" s="237"/>
      <c r="Y311" s="237"/>
      <c r="Z311" s="237"/>
    </row>
    <row r="312" spans="1:26">
      <c r="A312" s="238"/>
      <c r="B312" s="237"/>
      <c r="D312" s="237"/>
      <c r="E312" s="237"/>
      <c r="F312" s="237"/>
      <c r="G312" s="237"/>
      <c r="H312" s="237"/>
      <c r="I312" s="237"/>
      <c r="J312" s="237"/>
      <c r="K312" s="237"/>
      <c r="L312" s="237"/>
      <c r="M312" s="237"/>
      <c r="N312" s="237"/>
      <c r="O312" s="237"/>
      <c r="P312" s="237"/>
      <c r="Q312" s="237"/>
      <c r="R312" s="237"/>
      <c r="S312" s="237"/>
      <c r="T312" s="237"/>
      <c r="U312" s="237"/>
      <c r="V312" s="237"/>
      <c r="W312" s="237"/>
      <c r="X312" s="237"/>
      <c r="Y312" s="237"/>
      <c r="Z312" s="237"/>
    </row>
    <row r="313" spans="1:26">
      <c r="A313" s="238"/>
      <c r="B313" s="237"/>
      <c r="D313" s="237"/>
      <c r="E313" s="237"/>
      <c r="F313" s="237"/>
      <c r="G313" s="237"/>
      <c r="H313" s="237"/>
      <c r="I313" s="237"/>
      <c r="J313" s="237"/>
      <c r="K313" s="237"/>
      <c r="L313" s="237"/>
      <c r="M313" s="237"/>
      <c r="N313" s="237"/>
      <c r="O313" s="237"/>
      <c r="P313" s="237"/>
      <c r="Q313" s="237"/>
      <c r="R313" s="237"/>
      <c r="S313" s="237"/>
      <c r="T313" s="237"/>
      <c r="U313" s="237"/>
      <c r="V313" s="237"/>
      <c r="W313" s="237"/>
      <c r="X313" s="237"/>
      <c r="Y313" s="237"/>
      <c r="Z313" s="237"/>
    </row>
    <row r="314" spans="1:26">
      <c r="A314" s="238"/>
      <c r="B314" s="237"/>
      <c r="D314" s="237"/>
      <c r="E314" s="237"/>
      <c r="F314" s="237"/>
      <c r="G314" s="237"/>
      <c r="H314" s="237"/>
      <c r="I314" s="237"/>
      <c r="J314" s="237"/>
      <c r="K314" s="237"/>
      <c r="L314" s="237"/>
      <c r="M314" s="237"/>
      <c r="N314" s="237"/>
      <c r="O314" s="237"/>
      <c r="P314" s="237"/>
      <c r="Q314" s="237"/>
      <c r="R314" s="237"/>
      <c r="S314" s="237"/>
      <c r="T314" s="237"/>
      <c r="U314" s="237"/>
      <c r="V314" s="237"/>
      <c r="W314" s="237"/>
      <c r="X314" s="237"/>
      <c r="Y314" s="237"/>
      <c r="Z314" s="237"/>
    </row>
    <row r="315" spans="1:26">
      <c r="A315" s="238"/>
      <c r="B315" s="237"/>
      <c r="D315" s="237"/>
      <c r="E315" s="237"/>
      <c r="F315" s="237"/>
      <c r="G315" s="237"/>
      <c r="H315" s="237"/>
      <c r="I315" s="237"/>
      <c r="J315" s="237"/>
      <c r="K315" s="237"/>
      <c r="L315" s="237"/>
      <c r="M315" s="237"/>
      <c r="N315" s="237"/>
      <c r="O315" s="237"/>
      <c r="P315" s="237"/>
      <c r="Q315" s="237"/>
      <c r="R315" s="237"/>
      <c r="S315" s="237"/>
      <c r="T315" s="237"/>
      <c r="U315" s="237"/>
      <c r="V315" s="237"/>
      <c r="W315" s="237"/>
      <c r="X315" s="237"/>
      <c r="Y315" s="237"/>
      <c r="Z315" s="237"/>
    </row>
    <row r="316" spans="1:26">
      <c r="A316" s="238"/>
      <c r="B316" s="237"/>
      <c r="D316" s="237"/>
      <c r="E316" s="237"/>
      <c r="F316" s="237"/>
      <c r="G316" s="237"/>
      <c r="H316" s="237"/>
      <c r="I316" s="237"/>
      <c r="J316" s="237"/>
      <c r="K316" s="237"/>
      <c r="L316" s="237"/>
      <c r="M316" s="237"/>
      <c r="N316" s="237"/>
      <c r="O316" s="237"/>
      <c r="P316" s="237"/>
      <c r="Q316" s="237"/>
      <c r="R316" s="237"/>
      <c r="S316" s="237"/>
      <c r="T316" s="237"/>
      <c r="U316" s="237"/>
      <c r="V316" s="237"/>
      <c r="W316" s="237"/>
      <c r="X316" s="237"/>
      <c r="Y316" s="237"/>
      <c r="Z316" s="237"/>
    </row>
    <row r="317" spans="1:26">
      <c r="A317" s="238"/>
      <c r="B317" s="237"/>
      <c r="D317" s="237"/>
      <c r="E317" s="237"/>
      <c r="F317" s="237"/>
      <c r="G317" s="237"/>
      <c r="H317" s="237"/>
      <c r="I317" s="237"/>
      <c r="J317" s="237"/>
      <c r="K317" s="237"/>
      <c r="L317" s="237"/>
      <c r="M317" s="237"/>
      <c r="N317" s="237"/>
      <c r="O317" s="237"/>
      <c r="P317" s="237"/>
      <c r="Q317" s="237"/>
      <c r="R317" s="237"/>
      <c r="S317" s="237"/>
      <c r="T317" s="237"/>
      <c r="U317" s="237"/>
      <c r="V317" s="237"/>
      <c r="W317" s="237"/>
      <c r="X317" s="237"/>
      <c r="Y317" s="237"/>
      <c r="Z317" s="237"/>
    </row>
    <row r="318" spans="1:26">
      <c r="A318" s="238"/>
      <c r="B318" s="237"/>
      <c r="D318" s="237"/>
      <c r="E318" s="237"/>
      <c r="F318" s="237"/>
      <c r="G318" s="237"/>
      <c r="H318" s="237"/>
      <c r="I318" s="237"/>
      <c r="J318" s="237"/>
      <c r="K318" s="237"/>
      <c r="L318" s="237"/>
      <c r="M318" s="237"/>
      <c r="N318" s="237"/>
      <c r="O318" s="237"/>
      <c r="P318" s="237"/>
      <c r="Q318" s="237"/>
      <c r="R318" s="237"/>
      <c r="S318" s="237"/>
      <c r="T318" s="237"/>
      <c r="U318" s="237"/>
      <c r="V318" s="237"/>
      <c r="W318" s="237"/>
      <c r="X318" s="237"/>
      <c r="Y318" s="237"/>
      <c r="Z318" s="237"/>
    </row>
    <row r="319" spans="1:26">
      <c r="A319" s="238"/>
      <c r="B319" s="237"/>
      <c r="D319" s="237"/>
      <c r="E319" s="237"/>
      <c r="F319" s="237"/>
      <c r="G319" s="237"/>
      <c r="H319" s="237"/>
      <c r="I319" s="237"/>
      <c r="J319" s="237"/>
      <c r="K319" s="237"/>
      <c r="L319" s="237"/>
      <c r="M319" s="237"/>
      <c r="N319" s="237"/>
      <c r="O319" s="237"/>
      <c r="P319" s="237"/>
      <c r="Q319" s="237"/>
      <c r="R319" s="237"/>
      <c r="S319" s="237"/>
      <c r="T319" s="237"/>
      <c r="U319" s="237"/>
      <c r="V319" s="237"/>
      <c r="W319" s="237"/>
      <c r="X319" s="237"/>
      <c r="Y319" s="237"/>
      <c r="Z319" s="237"/>
    </row>
    <row r="320" spans="1:26">
      <c r="A320" s="238"/>
      <c r="B320" s="237"/>
      <c r="D320" s="237"/>
      <c r="E320" s="237"/>
      <c r="F320" s="237"/>
      <c r="G320" s="237"/>
      <c r="H320" s="237"/>
      <c r="I320" s="237"/>
      <c r="J320" s="237"/>
      <c r="K320" s="237"/>
      <c r="L320" s="237"/>
      <c r="M320" s="237"/>
      <c r="N320" s="237"/>
      <c r="O320" s="237"/>
      <c r="P320" s="237"/>
      <c r="Q320" s="237"/>
      <c r="R320" s="237"/>
      <c r="S320" s="237"/>
      <c r="T320" s="237"/>
      <c r="U320" s="237"/>
      <c r="V320" s="237"/>
      <c r="W320" s="237"/>
      <c r="X320" s="237"/>
      <c r="Y320" s="237"/>
      <c r="Z320" s="237"/>
    </row>
    <row r="321" spans="1:26">
      <c r="A321" s="238"/>
      <c r="B321" s="237"/>
      <c r="D321" s="237"/>
      <c r="E321" s="237"/>
      <c r="F321" s="237"/>
      <c r="G321" s="237"/>
      <c r="H321" s="237"/>
      <c r="I321" s="237"/>
      <c r="J321" s="237"/>
      <c r="K321" s="237"/>
      <c r="L321" s="237"/>
      <c r="M321" s="237"/>
      <c r="N321" s="237"/>
      <c r="O321" s="237"/>
      <c r="P321" s="237"/>
      <c r="Q321" s="237"/>
      <c r="R321" s="237"/>
      <c r="S321" s="237"/>
      <c r="T321" s="237"/>
      <c r="U321" s="237"/>
      <c r="V321" s="237"/>
      <c r="W321" s="237"/>
      <c r="X321" s="237"/>
      <c r="Y321" s="237"/>
      <c r="Z321" s="237"/>
    </row>
    <row r="322" spans="1:26">
      <c r="A322" s="238"/>
      <c r="B322" s="237"/>
      <c r="D322" s="237"/>
      <c r="E322" s="237"/>
      <c r="F322" s="237"/>
      <c r="G322" s="237"/>
      <c r="H322" s="237"/>
      <c r="I322" s="237"/>
      <c r="J322" s="237"/>
      <c r="K322" s="237"/>
      <c r="L322" s="237"/>
      <c r="M322" s="237"/>
      <c r="N322" s="237"/>
      <c r="O322" s="237"/>
      <c r="P322" s="237"/>
      <c r="Q322" s="237"/>
      <c r="R322" s="237"/>
      <c r="S322" s="237"/>
      <c r="T322" s="237"/>
      <c r="U322" s="237"/>
      <c r="V322" s="237"/>
      <c r="W322" s="237"/>
      <c r="X322" s="237"/>
      <c r="Y322" s="237"/>
      <c r="Z322" s="237"/>
    </row>
    <row r="323" spans="1:26">
      <c r="A323" s="238"/>
      <c r="B323" s="237"/>
      <c r="D323" s="237"/>
      <c r="E323" s="237"/>
      <c r="F323" s="237"/>
      <c r="G323" s="237"/>
      <c r="H323" s="237"/>
      <c r="I323" s="237"/>
      <c r="J323" s="237"/>
      <c r="K323" s="237"/>
      <c r="L323" s="237"/>
      <c r="M323" s="237"/>
      <c r="N323" s="237"/>
      <c r="O323" s="237"/>
      <c r="P323" s="237"/>
      <c r="Q323" s="237"/>
      <c r="R323" s="237"/>
      <c r="S323" s="237"/>
      <c r="T323" s="237"/>
      <c r="U323" s="237"/>
      <c r="V323" s="237"/>
      <c r="W323" s="237"/>
      <c r="X323" s="237"/>
      <c r="Y323" s="237"/>
      <c r="Z323" s="237"/>
    </row>
    <row r="324" spans="1:26">
      <c r="A324" s="238"/>
      <c r="B324" s="237"/>
      <c r="D324" s="237"/>
      <c r="E324" s="237"/>
      <c r="F324" s="237"/>
      <c r="G324" s="237"/>
      <c r="H324" s="237"/>
      <c r="I324" s="237"/>
      <c r="J324" s="237"/>
      <c r="K324" s="237"/>
      <c r="L324" s="237"/>
      <c r="M324" s="237"/>
      <c r="N324" s="237"/>
      <c r="O324" s="237"/>
      <c r="P324" s="237"/>
      <c r="Q324" s="237"/>
      <c r="R324" s="237"/>
      <c r="S324" s="237"/>
      <c r="T324" s="237"/>
      <c r="U324" s="237"/>
      <c r="V324" s="237"/>
      <c r="W324" s="237"/>
      <c r="X324" s="237"/>
      <c r="Y324" s="237"/>
      <c r="Z324" s="237"/>
    </row>
    <row r="325" spans="1:26">
      <c r="A325" s="238"/>
      <c r="B325" s="237"/>
      <c r="D325" s="237"/>
      <c r="E325" s="237"/>
      <c r="F325" s="237"/>
      <c r="G325" s="237"/>
      <c r="H325" s="237"/>
      <c r="I325" s="237"/>
      <c r="J325" s="237"/>
      <c r="K325" s="237"/>
      <c r="L325" s="237"/>
      <c r="M325" s="237"/>
      <c r="N325" s="237"/>
      <c r="O325" s="237"/>
      <c r="P325" s="237"/>
      <c r="Q325" s="237"/>
      <c r="R325" s="237"/>
      <c r="S325" s="237"/>
      <c r="T325" s="237"/>
      <c r="U325" s="237"/>
      <c r="V325" s="237"/>
      <c r="W325" s="237"/>
      <c r="X325" s="237"/>
      <c r="Y325" s="237"/>
      <c r="Z325" s="237"/>
    </row>
    <row r="326" spans="1:26">
      <c r="A326" s="238"/>
      <c r="B326" s="237"/>
      <c r="D326" s="237"/>
      <c r="E326" s="237"/>
      <c r="F326" s="237"/>
      <c r="G326" s="237"/>
      <c r="H326" s="237"/>
      <c r="I326" s="237"/>
      <c r="J326" s="237"/>
      <c r="K326" s="237"/>
      <c r="L326" s="237"/>
      <c r="M326" s="237"/>
      <c r="N326" s="237"/>
      <c r="O326" s="237"/>
      <c r="P326" s="237"/>
      <c r="Q326" s="237"/>
      <c r="R326" s="237"/>
      <c r="S326" s="237"/>
      <c r="T326" s="237"/>
      <c r="U326" s="237"/>
      <c r="V326" s="237"/>
      <c r="W326" s="237"/>
      <c r="X326" s="237"/>
      <c r="Y326" s="237"/>
      <c r="Z326" s="237"/>
    </row>
    <row r="327" spans="1:26">
      <c r="A327" s="238"/>
      <c r="B327" s="237"/>
      <c r="D327" s="237"/>
      <c r="E327" s="237"/>
      <c r="F327" s="237"/>
      <c r="G327" s="237"/>
      <c r="H327" s="237"/>
      <c r="I327" s="237"/>
      <c r="J327" s="237"/>
      <c r="K327" s="237"/>
      <c r="L327" s="237"/>
      <c r="M327" s="237"/>
      <c r="N327" s="237"/>
      <c r="O327" s="237"/>
      <c r="P327" s="237"/>
      <c r="Q327" s="237"/>
      <c r="R327" s="237"/>
      <c r="S327" s="237"/>
      <c r="T327" s="237"/>
      <c r="U327" s="237"/>
      <c r="V327" s="237"/>
      <c r="W327" s="237"/>
      <c r="X327" s="237"/>
      <c r="Y327" s="237"/>
      <c r="Z327" s="237"/>
    </row>
    <row r="328" spans="1:26">
      <c r="A328" s="238"/>
      <c r="B328" s="237"/>
      <c r="D328" s="237"/>
      <c r="E328" s="237"/>
      <c r="F328" s="237"/>
      <c r="G328" s="237"/>
      <c r="H328" s="237"/>
      <c r="I328" s="237"/>
      <c r="J328" s="237"/>
      <c r="K328" s="237"/>
      <c r="L328" s="237"/>
      <c r="M328" s="237"/>
      <c r="N328" s="237"/>
      <c r="O328" s="237"/>
      <c r="P328" s="237"/>
      <c r="Q328" s="237"/>
      <c r="R328" s="237"/>
      <c r="S328" s="237"/>
      <c r="T328" s="237"/>
      <c r="U328" s="237"/>
      <c r="V328" s="237"/>
      <c r="W328" s="237"/>
      <c r="X328" s="237"/>
      <c r="Y328" s="237"/>
      <c r="Z328" s="237"/>
    </row>
    <row r="329" spans="1:26">
      <c r="A329" s="238"/>
      <c r="B329" s="237"/>
      <c r="D329" s="237"/>
      <c r="E329" s="237"/>
      <c r="F329" s="237"/>
      <c r="G329" s="237"/>
      <c r="H329" s="237"/>
      <c r="I329" s="237"/>
      <c r="J329" s="237"/>
      <c r="K329" s="237"/>
      <c r="L329" s="237"/>
      <c r="M329" s="237"/>
      <c r="N329" s="237"/>
      <c r="O329" s="237"/>
      <c r="P329" s="237"/>
      <c r="Q329" s="237"/>
      <c r="R329" s="237"/>
      <c r="S329" s="237"/>
      <c r="T329" s="237"/>
      <c r="U329" s="237"/>
      <c r="V329" s="237"/>
      <c r="W329" s="237"/>
      <c r="X329" s="237"/>
      <c r="Y329" s="237"/>
      <c r="Z329" s="237"/>
    </row>
    <row r="330" spans="1:26">
      <c r="A330" s="238"/>
      <c r="B330" s="237"/>
      <c r="D330" s="237"/>
      <c r="E330" s="237"/>
      <c r="F330" s="237"/>
      <c r="G330" s="237"/>
      <c r="H330" s="237"/>
      <c r="I330" s="237"/>
      <c r="J330" s="237"/>
      <c r="K330" s="237"/>
      <c r="L330" s="237"/>
      <c r="M330" s="237"/>
      <c r="N330" s="237"/>
      <c r="O330" s="237"/>
      <c r="P330" s="237"/>
      <c r="Q330" s="237"/>
      <c r="R330" s="237"/>
      <c r="S330" s="237"/>
      <c r="T330" s="237"/>
      <c r="U330" s="237"/>
      <c r="V330" s="237"/>
      <c r="W330" s="237"/>
      <c r="X330" s="237"/>
      <c r="Y330" s="237"/>
      <c r="Z330" s="237"/>
    </row>
    <row r="331" spans="1:26">
      <c r="A331" s="238"/>
      <c r="B331" s="237"/>
      <c r="D331" s="237"/>
      <c r="E331" s="237"/>
      <c r="F331" s="237"/>
      <c r="G331" s="237"/>
      <c r="H331" s="237"/>
      <c r="I331" s="237"/>
      <c r="J331" s="237"/>
      <c r="K331" s="237"/>
      <c r="L331" s="237"/>
      <c r="M331" s="237"/>
      <c r="N331" s="237"/>
      <c r="O331" s="237"/>
      <c r="P331" s="237"/>
      <c r="Q331" s="237"/>
      <c r="R331" s="237"/>
      <c r="S331" s="237"/>
      <c r="T331" s="237"/>
      <c r="U331" s="237"/>
      <c r="V331" s="237"/>
      <c r="W331" s="237"/>
      <c r="X331" s="237"/>
      <c r="Y331" s="237"/>
      <c r="Z331" s="237"/>
    </row>
    <row r="332" spans="1:26">
      <c r="A332" s="238"/>
      <c r="B332" s="237"/>
      <c r="D332" s="237"/>
      <c r="E332" s="237"/>
      <c r="F332" s="237"/>
      <c r="G332" s="237"/>
      <c r="H332" s="237"/>
      <c r="I332" s="237"/>
      <c r="J332" s="237"/>
      <c r="K332" s="237"/>
      <c r="L332" s="237"/>
      <c r="M332" s="237"/>
      <c r="N332" s="237"/>
      <c r="O332" s="237"/>
      <c r="P332" s="237"/>
      <c r="Q332" s="237"/>
      <c r="R332" s="237"/>
      <c r="S332" s="237"/>
      <c r="T332" s="237"/>
      <c r="U332" s="237"/>
      <c r="V332" s="237"/>
      <c r="W332" s="237"/>
      <c r="X332" s="237"/>
      <c r="Y332" s="237"/>
      <c r="Z332" s="237"/>
    </row>
    <row r="333" spans="1:26">
      <c r="A333" s="238"/>
      <c r="B333" s="237"/>
      <c r="D333" s="237"/>
      <c r="E333" s="237"/>
      <c r="F333" s="237"/>
      <c r="G333" s="237"/>
      <c r="H333" s="237"/>
      <c r="I333" s="237"/>
      <c r="J333" s="237"/>
      <c r="K333" s="237"/>
      <c r="L333" s="237"/>
      <c r="M333" s="237"/>
      <c r="N333" s="237"/>
      <c r="O333" s="237"/>
      <c r="P333" s="237"/>
      <c r="Q333" s="237"/>
      <c r="R333" s="237"/>
      <c r="S333" s="237"/>
      <c r="T333" s="237"/>
      <c r="U333" s="237"/>
      <c r="V333" s="237"/>
      <c r="W333" s="237"/>
      <c r="X333" s="237"/>
      <c r="Y333" s="237"/>
      <c r="Z333" s="237"/>
    </row>
    <row r="334" spans="1:26">
      <c r="A334" s="238"/>
      <c r="B334" s="237"/>
      <c r="D334" s="237"/>
      <c r="E334" s="237"/>
      <c r="F334" s="237"/>
      <c r="G334" s="237"/>
      <c r="H334" s="237"/>
      <c r="I334" s="237"/>
      <c r="J334" s="237"/>
      <c r="K334" s="237"/>
      <c r="L334" s="237"/>
      <c r="M334" s="237"/>
      <c r="N334" s="237"/>
      <c r="O334" s="237"/>
      <c r="P334" s="237"/>
      <c r="Q334" s="237"/>
      <c r="R334" s="237"/>
      <c r="S334" s="237"/>
      <c r="T334" s="237"/>
      <c r="U334" s="237"/>
      <c r="V334" s="237"/>
      <c r="W334" s="237"/>
      <c r="X334" s="237"/>
      <c r="Y334" s="237"/>
      <c r="Z334" s="237"/>
    </row>
    <row r="335" spans="1:26">
      <c r="A335" s="238"/>
      <c r="B335" s="237"/>
      <c r="D335" s="237"/>
      <c r="E335" s="237"/>
      <c r="F335" s="237"/>
      <c r="G335" s="237"/>
      <c r="H335" s="237"/>
      <c r="I335" s="237"/>
      <c r="J335" s="237"/>
      <c r="K335" s="237"/>
      <c r="L335" s="237"/>
      <c r="M335" s="237"/>
      <c r="N335" s="237"/>
      <c r="O335" s="237"/>
      <c r="P335" s="237"/>
      <c r="Q335" s="237"/>
      <c r="R335" s="237"/>
      <c r="S335" s="237"/>
      <c r="T335" s="237"/>
      <c r="U335" s="237"/>
      <c r="V335" s="237"/>
      <c r="W335" s="237"/>
      <c r="X335" s="237"/>
      <c r="Y335" s="237"/>
      <c r="Z335" s="237"/>
    </row>
    <row r="336" spans="1:26">
      <c r="A336" s="238"/>
      <c r="B336" s="237"/>
      <c r="D336" s="237"/>
      <c r="E336" s="237"/>
      <c r="F336" s="237"/>
      <c r="G336" s="237"/>
      <c r="H336" s="237"/>
      <c r="I336" s="237"/>
      <c r="J336" s="237"/>
      <c r="K336" s="237"/>
      <c r="L336" s="237"/>
      <c r="M336" s="237"/>
      <c r="N336" s="237"/>
      <c r="O336" s="237"/>
      <c r="P336" s="237"/>
      <c r="Q336" s="237"/>
      <c r="R336" s="237"/>
      <c r="S336" s="237"/>
      <c r="T336" s="237"/>
      <c r="U336" s="237"/>
      <c r="V336" s="237"/>
      <c r="W336" s="237"/>
      <c r="X336" s="237"/>
      <c r="Y336" s="237"/>
      <c r="Z336" s="237"/>
    </row>
    <row r="337" spans="1:26">
      <c r="A337" s="238"/>
      <c r="B337" s="237"/>
      <c r="D337" s="237"/>
      <c r="E337" s="237"/>
      <c r="F337" s="237"/>
      <c r="G337" s="237"/>
      <c r="H337" s="237"/>
      <c r="I337" s="237"/>
      <c r="J337" s="237"/>
      <c r="K337" s="237"/>
      <c r="L337" s="237"/>
      <c r="M337" s="237"/>
      <c r="N337" s="237"/>
      <c r="O337" s="237"/>
      <c r="P337" s="237"/>
      <c r="Q337" s="237"/>
      <c r="R337" s="237"/>
      <c r="S337" s="237"/>
      <c r="T337" s="237"/>
      <c r="U337" s="237"/>
      <c r="V337" s="237"/>
      <c r="W337" s="237"/>
      <c r="X337" s="237"/>
      <c r="Y337" s="237"/>
      <c r="Z337" s="237"/>
    </row>
    <row r="338" spans="1:26">
      <c r="A338" s="238"/>
      <c r="B338" s="237"/>
      <c r="D338" s="237"/>
      <c r="E338" s="237"/>
      <c r="F338" s="237"/>
      <c r="G338" s="237"/>
      <c r="H338" s="237"/>
      <c r="I338" s="237"/>
      <c r="J338" s="237"/>
      <c r="K338" s="237"/>
      <c r="L338" s="237"/>
      <c r="M338" s="237"/>
      <c r="N338" s="237"/>
      <c r="O338" s="237"/>
      <c r="P338" s="237"/>
      <c r="Q338" s="237"/>
      <c r="R338" s="237"/>
      <c r="S338" s="237"/>
      <c r="T338" s="237"/>
      <c r="U338" s="237"/>
      <c r="V338" s="237"/>
      <c r="W338" s="237"/>
      <c r="X338" s="237"/>
      <c r="Y338" s="237"/>
      <c r="Z338" s="237"/>
    </row>
    <row r="339" spans="1:26">
      <c r="A339" s="238"/>
      <c r="B339" s="237"/>
      <c r="D339" s="237"/>
      <c r="E339" s="237"/>
      <c r="F339" s="237"/>
      <c r="G339" s="237"/>
      <c r="H339" s="237"/>
      <c r="I339" s="237"/>
      <c r="J339" s="237"/>
      <c r="K339" s="237"/>
      <c r="L339" s="237"/>
      <c r="M339" s="237"/>
      <c r="N339" s="237"/>
      <c r="O339" s="237"/>
      <c r="P339" s="237"/>
      <c r="Q339" s="237"/>
      <c r="R339" s="237"/>
      <c r="S339" s="237"/>
      <c r="T339" s="237"/>
      <c r="U339" s="237"/>
      <c r="V339" s="237"/>
      <c r="W339" s="237"/>
      <c r="X339" s="237"/>
      <c r="Y339" s="237"/>
      <c r="Z339" s="237"/>
    </row>
    <row r="340" spans="1:26">
      <c r="A340" s="238"/>
      <c r="B340" s="237"/>
      <c r="D340" s="237"/>
      <c r="E340" s="237"/>
      <c r="F340" s="237"/>
      <c r="G340" s="237"/>
      <c r="H340" s="237"/>
      <c r="I340" s="237"/>
      <c r="J340" s="237"/>
      <c r="K340" s="237"/>
      <c r="L340" s="237"/>
      <c r="M340" s="237"/>
      <c r="N340" s="237"/>
      <c r="O340" s="237"/>
      <c r="P340" s="237"/>
      <c r="Q340" s="237"/>
      <c r="R340" s="237"/>
      <c r="S340" s="237"/>
      <c r="T340" s="237"/>
      <c r="U340" s="237"/>
      <c r="V340" s="237"/>
      <c r="W340" s="237"/>
      <c r="X340" s="237"/>
      <c r="Y340" s="237"/>
      <c r="Z340" s="237"/>
    </row>
    <row r="341" spans="1:26">
      <c r="A341" s="238"/>
      <c r="B341" s="237"/>
      <c r="D341" s="237"/>
      <c r="E341" s="237"/>
      <c r="F341" s="237"/>
      <c r="G341" s="237"/>
      <c r="H341" s="237"/>
      <c r="I341" s="237"/>
      <c r="J341" s="237"/>
      <c r="K341" s="237"/>
      <c r="L341" s="237"/>
      <c r="M341" s="237"/>
      <c r="N341" s="237"/>
      <c r="O341" s="237"/>
      <c r="P341" s="237"/>
      <c r="Q341" s="237"/>
      <c r="R341" s="237"/>
      <c r="S341" s="237"/>
      <c r="T341" s="237"/>
      <c r="U341" s="237"/>
      <c r="V341" s="237"/>
      <c r="W341" s="237"/>
      <c r="X341" s="237"/>
      <c r="Y341" s="237"/>
      <c r="Z341" s="237"/>
    </row>
    <row r="342" spans="1:26">
      <c r="A342" s="238"/>
      <c r="B342" s="237"/>
      <c r="D342" s="237"/>
      <c r="E342" s="237"/>
      <c r="F342" s="237"/>
      <c r="G342" s="237"/>
      <c r="H342" s="237"/>
      <c r="I342" s="237"/>
      <c r="J342" s="237"/>
      <c r="K342" s="237"/>
      <c r="L342" s="237"/>
      <c r="M342" s="237"/>
      <c r="N342" s="237"/>
      <c r="O342" s="237"/>
      <c r="P342" s="237"/>
      <c r="Q342" s="237"/>
      <c r="R342" s="237"/>
      <c r="S342" s="237"/>
      <c r="T342" s="237"/>
      <c r="U342" s="237"/>
      <c r="V342" s="237"/>
      <c r="W342" s="237"/>
      <c r="X342" s="237"/>
      <c r="Y342" s="237"/>
      <c r="Z342" s="237"/>
    </row>
    <row r="343" spans="1:26">
      <c r="A343" s="238"/>
      <c r="B343" s="237"/>
      <c r="D343" s="237"/>
      <c r="E343" s="237"/>
      <c r="F343" s="237"/>
      <c r="G343" s="237"/>
      <c r="H343" s="237"/>
      <c r="I343" s="237"/>
      <c r="J343" s="237"/>
      <c r="K343" s="237"/>
      <c r="L343" s="237"/>
      <c r="M343" s="237"/>
      <c r="N343" s="237"/>
      <c r="O343" s="237"/>
      <c r="P343" s="237"/>
      <c r="Q343" s="237"/>
      <c r="R343" s="237"/>
      <c r="S343" s="237"/>
      <c r="T343" s="237"/>
      <c r="U343" s="237"/>
      <c r="V343" s="237"/>
      <c r="W343" s="237"/>
      <c r="X343" s="237"/>
      <c r="Y343" s="237"/>
      <c r="Z343" s="237"/>
    </row>
    <row r="344" spans="1:26">
      <c r="A344" s="238"/>
      <c r="B344" s="237"/>
      <c r="D344" s="237"/>
      <c r="E344" s="237"/>
      <c r="F344" s="237"/>
      <c r="G344" s="237"/>
      <c r="H344" s="237"/>
      <c r="I344" s="237"/>
      <c r="J344" s="237"/>
      <c r="K344" s="237"/>
      <c r="L344" s="237"/>
      <c r="M344" s="237"/>
      <c r="N344" s="237"/>
      <c r="O344" s="237"/>
      <c r="P344" s="237"/>
      <c r="Q344" s="237"/>
      <c r="R344" s="237"/>
      <c r="S344" s="237"/>
      <c r="T344" s="237"/>
      <c r="U344" s="237"/>
      <c r="V344" s="237"/>
      <c r="W344" s="237"/>
      <c r="X344" s="237"/>
      <c r="Y344" s="237"/>
      <c r="Z344" s="237"/>
    </row>
    <row r="345" spans="1:26">
      <c r="A345" s="238"/>
      <c r="B345" s="237"/>
      <c r="D345" s="237"/>
      <c r="E345" s="237"/>
      <c r="F345" s="237"/>
      <c r="G345" s="237"/>
      <c r="H345" s="237"/>
      <c r="I345" s="237"/>
      <c r="J345" s="237"/>
      <c r="K345" s="237"/>
      <c r="L345" s="237"/>
      <c r="M345" s="237"/>
      <c r="N345" s="237"/>
      <c r="O345" s="237"/>
      <c r="P345" s="237"/>
      <c r="Q345" s="237"/>
      <c r="R345" s="237"/>
      <c r="S345" s="237"/>
      <c r="T345" s="237"/>
      <c r="U345" s="237"/>
      <c r="V345" s="237"/>
      <c r="W345" s="237"/>
      <c r="X345" s="237"/>
      <c r="Y345" s="237"/>
      <c r="Z345" s="237"/>
    </row>
    <row r="346" spans="1:26">
      <c r="A346" s="238"/>
      <c r="B346" s="237"/>
      <c r="D346" s="237"/>
      <c r="E346" s="237"/>
      <c r="F346" s="237"/>
      <c r="G346" s="237"/>
      <c r="H346" s="237"/>
      <c r="I346" s="237"/>
      <c r="J346" s="237"/>
      <c r="K346" s="237"/>
      <c r="L346" s="237"/>
      <c r="M346" s="237"/>
      <c r="N346" s="237"/>
      <c r="O346" s="237"/>
      <c r="P346" s="237"/>
      <c r="Q346" s="237"/>
      <c r="R346" s="237"/>
      <c r="S346" s="237"/>
      <c r="T346" s="237"/>
      <c r="U346" s="237"/>
      <c r="V346" s="237"/>
      <c r="W346" s="237"/>
      <c r="X346" s="237"/>
      <c r="Y346" s="237"/>
      <c r="Z346" s="237"/>
    </row>
    <row r="347" spans="1:26">
      <c r="A347" s="238"/>
      <c r="B347" s="237"/>
      <c r="D347" s="237"/>
      <c r="E347" s="237"/>
      <c r="F347" s="237"/>
      <c r="G347" s="237"/>
      <c r="H347" s="237"/>
      <c r="I347" s="237"/>
      <c r="J347" s="237"/>
      <c r="K347" s="237"/>
      <c r="L347" s="237"/>
      <c r="M347" s="237"/>
      <c r="N347" s="237"/>
      <c r="O347" s="237"/>
      <c r="P347" s="237"/>
      <c r="Q347" s="237"/>
      <c r="R347" s="237"/>
      <c r="S347" s="237"/>
      <c r="T347" s="237"/>
      <c r="U347" s="237"/>
      <c r="V347" s="237"/>
      <c r="W347" s="237"/>
      <c r="X347" s="237"/>
      <c r="Y347" s="237"/>
      <c r="Z347" s="237"/>
    </row>
    <row r="348" spans="1:26">
      <c r="A348" s="238"/>
      <c r="B348" s="237"/>
      <c r="D348" s="237"/>
      <c r="E348" s="237"/>
      <c r="F348" s="237"/>
      <c r="G348" s="237"/>
      <c r="H348" s="237"/>
      <c r="I348" s="237"/>
      <c r="J348" s="237"/>
      <c r="K348" s="237"/>
      <c r="L348" s="237"/>
      <c r="M348" s="237"/>
      <c r="N348" s="237"/>
      <c r="O348" s="237"/>
      <c r="P348" s="237"/>
      <c r="Q348" s="237"/>
      <c r="R348" s="237"/>
      <c r="S348" s="237"/>
      <c r="T348" s="237"/>
      <c r="U348" s="237"/>
      <c r="V348" s="237"/>
      <c r="W348" s="237"/>
      <c r="X348" s="237"/>
      <c r="Y348" s="237"/>
      <c r="Z348" s="237"/>
    </row>
    <row r="349" spans="1:26">
      <c r="A349" s="238"/>
      <c r="B349" s="237"/>
      <c r="D349" s="237"/>
      <c r="E349" s="237"/>
      <c r="F349" s="237"/>
      <c r="G349" s="237"/>
      <c r="H349" s="237"/>
      <c r="I349" s="237"/>
      <c r="J349" s="237"/>
      <c r="K349" s="237"/>
      <c r="L349" s="237"/>
      <c r="M349" s="237"/>
      <c r="N349" s="237"/>
      <c r="O349" s="237"/>
      <c r="P349" s="237"/>
      <c r="Q349" s="237"/>
      <c r="R349" s="237"/>
      <c r="S349" s="237"/>
      <c r="T349" s="237"/>
      <c r="U349" s="237"/>
      <c r="V349" s="237"/>
      <c r="W349" s="237"/>
      <c r="X349" s="237"/>
      <c r="Y349" s="237"/>
      <c r="Z349" s="237"/>
    </row>
    <row r="350" spans="1:26">
      <c r="A350" s="238"/>
      <c r="B350" s="237"/>
      <c r="D350" s="237"/>
      <c r="E350" s="237"/>
      <c r="F350" s="237"/>
      <c r="G350" s="237"/>
      <c r="H350" s="237"/>
      <c r="I350" s="237"/>
      <c r="J350" s="237"/>
      <c r="K350" s="237"/>
      <c r="L350" s="237"/>
      <c r="M350" s="237"/>
      <c r="N350" s="237"/>
      <c r="O350" s="237"/>
      <c r="P350" s="237"/>
      <c r="Q350" s="237"/>
      <c r="R350" s="237"/>
      <c r="S350" s="237"/>
      <c r="T350" s="237"/>
      <c r="U350" s="237"/>
      <c r="V350" s="237"/>
      <c r="W350" s="237"/>
      <c r="X350" s="237"/>
      <c r="Y350" s="237"/>
      <c r="Z350" s="237"/>
    </row>
    <row r="351" spans="1:26">
      <c r="A351" s="238"/>
      <c r="B351" s="237"/>
      <c r="D351" s="237"/>
      <c r="E351" s="237"/>
      <c r="F351" s="237"/>
      <c r="G351" s="237"/>
      <c r="H351" s="237"/>
      <c r="I351" s="237"/>
      <c r="J351" s="237"/>
      <c r="K351" s="237"/>
      <c r="L351" s="237"/>
      <c r="M351" s="237"/>
      <c r="N351" s="237"/>
      <c r="O351" s="237"/>
      <c r="P351" s="237"/>
      <c r="Q351" s="237"/>
      <c r="R351" s="237"/>
      <c r="S351" s="237"/>
      <c r="T351" s="237"/>
      <c r="U351" s="237"/>
      <c r="V351" s="237"/>
      <c r="W351" s="237"/>
      <c r="X351" s="237"/>
      <c r="Y351" s="237"/>
      <c r="Z351" s="237"/>
    </row>
    <row r="352" spans="1:26">
      <c r="A352" s="238"/>
      <c r="B352" s="237"/>
      <c r="D352" s="237"/>
      <c r="E352" s="237"/>
      <c r="F352" s="237"/>
      <c r="G352" s="237"/>
      <c r="H352" s="237"/>
      <c r="I352" s="237"/>
      <c r="J352" s="237"/>
      <c r="K352" s="237"/>
      <c r="L352" s="237"/>
      <c r="M352" s="237"/>
      <c r="N352" s="237"/>
      <c r="O352" s="237"/>
      <c r="P352" s="237"/>
      <c r="Q352" s="237"/>
      <c r="R352" s="237"/>
      <c r="S352" s="237"/>
      <c r="T352" s="237"/>
      <c r="U352" s="237"/>
      <c r="V352" s="237"/>
      <c r="W352" s="237"/>
      <c r="X352" s="237"/>
      <c r="Y352" s="237"/>
      <c r="Z352" s="237"/>
    </row>
    <row r="353" spans="1:26">
      <c r="A353" s="238"/>
      <c r="B353" s="237"/>
      <c r="D353" s="237"/>
      <c r="E353" s="237"/>
      <c r="F353" s="237"/>
      <c r="G353" s="237"/>
      <c r="H353" s="237"/>
      <c r="I353" s="237"/>
      <c r="J353" s="237"/>
      <c r="K353" s="237"/>
      <c r="L353" s="237"/>
      <c r="M353" s="237"/>
      <c r="N353" s="237"/>
      <c r="O353" s="237"/>
      <c r="P353" s="237"/>
      <c r="Q353" s="237"/>
      <c r="R353" s="237"/>
      <c r="S353" s="237"/>
      <c r="T353" s="237"/>
      <c r="U353" s="237"/>
      <c r="V353" s="237"/>
      <c r="W353" s="237"/>
      <c r="X353" s="237"/>
      <c r="Y353" s="237"/>
      <c r="Z353" s="237"/>
    </row>
    <row r="354" spans="1:26">
      <c r="A354" s="238"/>
      <c r="B354" s="237"/>
      <c r="D354" s="237"/>
      <c r="E354" s="237"/>
      <c r="F354" s="237"/>
      <c r="G354" s="237"/>
      <c r="H354" s="237"/>
      <c r="I354" s="237"/>
      <c r="J354" s="237"/>
      <c r="K354" s="237"/>
      <c r="L354" s="237"/>
      <c r="M354" s="237"/>
      <c r="N354" s="237"/>
      <c r="O354" s="237"/>
      <c r="P354" s="237"/>
      <c r="Q354" s="237"/>
      <c r="R354" s="237"/>
      <c r="S354" s="237"/>
      <c r="T354" s="237"/>
      <c r="U354" s="237"/>
      <c r="V354" s="237"/>
      <c r="W354" s="237"/>
      <c r="X354" s="237"/>
      <c r="Y354" s="237"/>
      <c r="Z354" s="237"/>
    </row>
    <row r="355" spans="1:26">
      <c r="A355" s="238"/>
      <c r="B355" s="237"/>
      <c r="D355" s="237"/>
      <c r="E355" s="237"/>
      <c r="F355" s="237"/>
      <c r="G355" s="237"/>
      <c r="H355" s="237"/>
      <c r="I355" s="237"/>
      <c r="J355" s="237"/>
      <c r="K355" s="237"/>
      <c r="L355" s="237"/>
      <c r="M355" s="237"/>
      <c r="N355" s="237"/>
      <c r="O355" s="237"/>
      <c r="P355" s="237"/>
      <c r="Q355" s="237"/>
      <c r="R355" s="237"/>
      <c r="S355" s="237"/>
      <c r="T355" s="237"/>
      <c r="U355" s="237"/>
      <c r="V355" s="237"/>
      <c r="W355" s="237"/>
      <c r="X355" s="237"/>
      <c r="Y355" s="237"/>
      <c r="Z355" s="237"/>
    </row>
    <row r="356" spans="1:26">
      <c r="A356" s="238"/>
      <c r="B356" s="237"/>
      <c r="D356" s="237"/>
      <c r="E356" s="237"/>
      <c r="F356" s="237"/>
      <c r="G356" s="237"/>
      <c r="H356" s="237"/>
      <c r="I356" s="237"/>
      <c r="J356" s="237"/>
      <c r="K356" s="237"/>
      <c r="L356" s="237"/>
      <c r="M356" s="237"/>
      <c r="N356" s="237"/>
      <c r="O356" s="237"/>
      <c r="P356" s="237"/>
      <c r="Q356" s="237"/>
      <c r="R356" s="237"/>
      <c r="S356" s="237"/>
      <c r="T356" s="237"/>
      <c r="U356" s="237"/>
      <c r="V356" s="237"/>
      <c r="W356" s="237"/>
      <c r="X356" s="237"/>
      <c r="Y356" s="237"/>
      <c r="Z356" s="237"/>
    </row>
    <row r="357" spans="1:26">
      <c r="A357" s="238"/>
      <c r="B357" s="237"/>
      <c r="D357" s="237"/>
      <c r="E357" s="237"/>
      <c r="F357" s="237"/>
      <c r="G357" s="237"/>
      <c r="H357" s="237"/>
      <c r="I357" s="237"/>
      <c r="J357" s="237"/>
      <c r="K357" s="237"/>
      <c r="L357" s="237"/>
      <c r="M357" s="237"/>
      <c r="N357" s="237"/>
      <c r="O357" s="237"/>
      <c r="P357" s="237"/>
      <c r="Q357" s="237"/>
      <c r="R357" s="237"/>
      <c r="S357" s="237"/>
      <c r="T357" s="237"/>
      <c r="U357" s="237"/>
      <c r="V357" s="237"/>
      <c r="W357" s="237"/>
      <c r="X357" s="237"/>
      <c r="Y357" s="237"/>
      <c r="Z357" s="237"/>
    </row>
    <row r="358" spans="1:26">
      <c r="A358" s="238"/>
      <c r="B358" s="237"/>
      <c r="D358" s="237"/>
      <c r="E358" s="237"/>
      <c r="F358" s="237"/>
      <c r="G358" s="237"/>
      <c r="H358" s="237"/>
      <c r="I358" s="237"/>
      <c r="J358" s="237"/>
      <c r="K358" s="237"/>
      <c r="L358" s="237"/>
      <c r="M358" s="237"/>
      <c r="N358" s="237"/>
      <c r="O358" s="237"/>
      <c r="P358" s="237"/>
      <c r="Q358" s="237"/>
      <c r="R358" s="237"/>
      <c r="S358" s="237"/>
      <c r="T358" s="237"/>
      <c r="U358" s="237"/>
      <c r="V358" s="237"/>
      <c r="W358" s="237"/>
      <c r="X358" s="237"/>
      <c r="Y358" s="237"/>
      <c r="Z358" s="237"/>
    </row>
    <row r="359" spans="1:26">
      <c r="A359" s="238"/>
      <c r="B359" s="237"/>
      <c r="D359" s="237"/>
      <c r="E359" s="237"/>
      <c r="F359" s="237"/>
      <c r="G359" s="237"/>
      <c r="H359" s="237"/>
      <c r="I359" s="237"/>
      <c r="J359" s="237"/>
      <c r="K359" s="237"/>
      <c r="L359" s="237"/>
      <c r="M359" s="237"/>
      <c r="N359" s="237"/>
      <c r="O359" s="237"/>
      <c r="P359" s="237"/>
      <c r="Q359" s="237"/>
      <c r="R359" s="237"/>
      <c r="S359" s="237"/>
      <c r="T359" s="237"/>
      <c r="U359" s="237"/>
      <c r="V359" s="237"/>
      <c r="W359" s="237"/>
      <c r="X359" s="237"/>
      <c r="Y359" s="237"/>
      <c r="Z359" s="237"/>
    </row>
    <row r="360" spans="1:26">
      <c r="A360" s="238"/>
      <c r="B360" s="237"/>
      <c r="D360" s="237"/>
      <c r="E360" s="237"/>
      <c r="F360" s="237"/>
      <c r="G360" s="237"/>
      <c r="H360" s="237"/>
      <c r="I360" s="237"/>
      <c r="J360" s="237"/>
      <c r="K360" s="237"/>
      <c r="L360" s="237"/>
      <c r="M360" s="237"/>
      <c r="N360" s="237"/>
      <c r="O360" s="237"/>
      <c r="P360" s="237"/>
      <c r="Q360" s="237"/>
      <c r="R360" s="237"/>
      <c r="S360" s="237"/>
      <c r="T360" s="237"/>
      <c r="U360" s="237"/>
      <c r="V360" s="237"/>
      <c r="W360" s="237"/>
      <c r="X360" s="237"/>
      <c r="Y360" s="237"/>
      <c r="Z360" s="237"/>
    </row>
    <row r="361" spans="1:26">
      <c r="A361" s="238"/>
      <c r="B361" s="237"/>
      <c r="D361" s="237"/>
      <c r="E361" s="237"/>
      <c r="F361" s="237"/>
      <c r="G361" s="237"/>
      <c r="H361" s="237"/>
      <c r="I361" s="237"/>
      <c r="J361" s="237"/>
      <c r="K361" s="237"/>
      <c r="L361" s="237"/>
      <c r="M361" s="237"/>
      <c r="N361" s="237"/>
      <c r="O361" s="237"/>
      <c r="P361" s="237"/>
      <c r="Q361" s="237"/>
      <c r="R361" s="237"/>
      <c r="S361" s="237"/>
      <c r="T361" s="237"/>
      <c r="U361" s="237"/>
      <c r="V361" s="237"/>
      <c r="W361" s="237"/>
      <c r="X361" s="237"/>
      <c r="Y361" s="237"/>
      <c r="Z361" s="237"/>
    </row>
    <row r="362" spans="1:26">
      <c r="A362" s="238"/>
      <c r="B362" s="237"/>
      <c r="D362" s="237"/>
      <c r="E362" s="237"/>
      <c r="F362" s="237"/>
      <c r="G362" s="237"/>
      <c r="H362" s="237"/>
      <c r="I362" s="237"/>
      <c r="J362" s="237"/>
      <c r="K362" s="237"/>
      <c r="L362" s="237"/>
      <c r="M362" s="237"/>
      <c r="N362" s="237"/>
      <c r="O362" s="237"/>
      <c r="P362" s="237"/>
      <c r="Q362" s="237"/>
      <c r="R362" s="237"/>
      <c r="S362" s="237"/>
      <c r="T362" s="237"/>
      <c r="U362" s="237"/>
      <c r="V362" s="237"/>
      <c r="W362" s="237"/>
      <c r="X362" s="237"/>
      <c r="Y362" s="237"/>
      <c r="Z362" s="237"/>
    </row>
    <row r="363" spans="1:26">
      <c r="A363" s="238"/>
      <c r="B363" s="237"/>
      <c r="D363" s="237"/>
      <c r="E363" s="237"/>
      <c r="F363" s="237"/>
      <c r="G363" s="237"/>
      <c r="H363" s="237"/>
      <c r="I363" s="237"/>
      <c r="J363" s="237"/>
      <c r="K363" s="237"/>
      <c r="L363" s="237"/>
      <c r="M363" s="237"/>
      <c r="N363" s="237"/>
      <c r="O363" s="237"/>
      <c r="P363" s="237"/>
      <c r="Q363" s="237"/>
      <c r="R363" s="237"/>
      <c r="S363" s="237"/>
      <c r="T363" s="237"/>
      <c r="U363" s="237"/>
      <c r="V363" s="237"/>
      <c r="W363" s="237"/>
      <c r="X363" s="237"/>
      <c r="Y363" s="237"/>
      <c r="Z363" s="237"/>
    </row>
    <row r="364" spans="1:26">
      <c r="A364" s="238"/>
      <c r="B364" s="237"/>
      <c r="D364" s="237"/>
      <c r="E364" s="237"/>
      <c r="F364" s="237"/>
      <c r="G364" s="237"/>
      <c r="H364" s="237"/>
      <c r="I364" s="237"/>
      <c r="J364" s="237"/>
      <c r="K364" s="237"/>
      <c r="L364" s="237"/>
      <c r="M364" s="237"/>
      <c r="N364" s="237"/>
      <c r="O364" s="237"/>
      <c r="P364" s="237"/>
      <c r="Q364" s="237"/>
      <c r="R364" s="237"/>
      <c r="S364" s="237"/>
      <c r="T364" s="237"/>
      <c r="U364" s="237"/>
      <c r="V364" s="237"/>
      <c r="W364" s="237"/>
      <c r="X364" s="237"/>
      <c r="Y364" s="237"/>
      <c r="Z364" s="237"/>
    </row>
    <row r="365" spans="1:26">
      <c r="A365" s="238"/>
      <c r="B365" s="237"/>
      <c r="D365" s="237"/>
      <c r="E365" s="237"/>
      <c r="F365" s="237"/>
      <c r="G365" s="237"/>
      <c r="H365" s="237"/>
      <c r="I365" s="237"/>
      <c r="J365" s="237"/>
      <c r="K365" s="237"/>
      <c r="L365" s="237"/>
      <c r="M365" s="237"/>
      <c r="N365" s="237"/>
      <c r="O365" s="237"/>
      <c r="P365" s="237"/>
      <c r="Q365" s="237"/>
      <c r="R365" s="237"/>
      <c r="S365" s="237"/>
      <c r="T365" s="237"/>
      <c r="U365" s="237"/>
      <c r="V365" s="237"/>
      <c r="W365" s="237"/>
      <c r="X365" s="237"/>
      <c r="Y365" s="237"/>
      <c r="Z365" s="237"/>
    </row>
    <row r="366" spans="1:26">
      <c r="A366" s="238"/>
      <c r="B366" s="237"/>
      <c r="D366" s="237"/>
      <c r="E366" s="237"/>
      <c r="F366" s="237"/>
      <c r="G366" s="237"/>
      <c r="H366" s="237"/>
      <c r="I366" s="237"/>
      <c r="J366" s="237"/>
      <c r="K366" s="237"/>
      <c r="L366" s="237"/>
      <c r="M366" s="237"/>
      <c r="N366" s="237"/>
      <c r="O366" s="237"/>
      <c r="P366" s="237"/>
      <c r="Q366" s="237"/>
      <c r="R366" s="237"/>
      <c r="S366" s="237"/>
      <c r="T366" s="237"/>
      <c r="U366" s="237"/>
      <c r="V366" s="237"/>
      <c r="W366" s="237"/>
      <c r="X366" s="237"/>
      <c r="Y366" s="237"/>
      <c r="Z366" s="237"/>
    </row>
    <row r="367" spans="1:26">
      <c r="A367" s="238"/>
      <c r="B367" s="237"/>
      <c r="D367" s="237"/>
      <c r="E367" s="237"/>
      <c r="F367" s="237"/>
      <c r="G367" s="237"/>
      <c r="H367" s="237"/>
      <c r="I367" s="237"/>
      <c r="J367" s="237"/>
      <c r="K367" s="237"/>
      <c r="L367" s="237"/>
      <c r="M367" s="237"/>
      <c r="N367" s="237"/>
      <c r="O367" s="237"/>
      <c r="P367" s="237"/>
      <c r="Q367" s="237"/>
      <c r="R367" s="237"/>
      <c r="S367" s="237"/>
      <c r="T367" s="237"/>
      <c r="U367" s="237"/>
      <c r="V367" s="237"/>
      <c r="W367" s="237"/>
      <c r="X367" s="237"/>
      <c r="Y367" s="237"/>
      <c r="Z367" s="237"/>
    </row>
    <row r="368" spans="1:26">
      <c r="A368" s="238"/>
      <c r="B368" s="237"/>
      <c r="D368" s="237"/>
      <c r="E368" s="237"/>
      <c r="F368" s="237"/>
      <c r="G368" s="237"/>
      <c r="H368" s="237"/>
      <c r="I368" s="237"/>
      <c r="J368" s="237"/>
      <c r="K368" s="237"/>
      <c r="L368" s="237"/>
      <c r="M368" s="237"/>
      <c r="N368" s="237"/>
      <c r="O368" s="237"/>
      <c r="P368" s="237"/>
      <c r="Q368" s="237"/>
      <c r="R368" s="237"/>
      <c r="S368" s="237"/>
      <c r="T368" s="237"/>
      <c r="U368" s="237"/>
      <c r="V368" s="237"/>
      <c r="W368" s="237"/>
      <c r="X368" s="237"/>
      <c r="Y368" s="237"/>
      <c r="Z368" s="237"/>
    </row>
    <row r="369" spans="1:26">
      <c r="A369" s="238"/>
      <c r="B369" s="237"/>
      <c r="D369" s="237"/>
      <c r="E369" s="237"/>
      <c r="F369" s="237"/>
      <c r="G369" s="237"/>
      <c r="H369" s="237"/>
      <c r="I369" s="237"/>
      <c r="J369" s="237"/>
      <c r="K369" s="237"/>
      <c r="L369" s="237"/>
      <c r="M369" s="237"/>
      <c r="N369" s="237"/>
      <c r="O369" s="237"/>
      <c r="P369" s="237"/>
      <c r="Q369" s="237"/>
      <c r="R369" s="237"/>
      <c r="S369" s="237"/>
      <c r="T369" s="237"/>
      <c r="U369" s="237"/>
      <c r="V369" s="237"/>
      <c r="W369" s="237"/>
      <c r="X369" s="237"/>
      <c r="Y369" s="237"/>
      <c r="Z369" s="237"/>
    </row>
    <row r="370" spans="1:26">
      <c r="A370" s="238"/>
      <c r="B370" s="237"/>
      <c r="D370" s="237"/>
      <c r="E370" s="237"/>
      <c r="F370" s="237"/>
      <c r="G370" s="237"/>
      <c r="H370" s="237"/>
      <c r="I370" s="237"/>
      <c r="J370" s="237"/>
      <c r="K370" s="237"/>
      <c r="L370" s="237"/>
      <c r="M370" s="237"/>
      <c r="N370" s="237"/>
      <c r="O370" s="237"/>
      <c r="P370" s="237"/>
      <c r="Q370" s="237"/>
      <c r="R370" s="237"/>
      <c r="S370" s="237"/>
      <c r="T370" s="237"/>
      <c r="U370" s="237"/>
      <c r="V370" s="237"/>
      <c r="W370" s="237"/>
      <c r="X370" s="237"/>
      <c r="Y370" s="237"/>
      <c r="Z370" s="237"/>
    </row>
    <row r="371" spans="1:26">
      <c r="A371" s="238"/>
      <c r="B371" s="237"/>
      <c r="D371" s="237"/>
      <c r="E371" s="237"/>
      <c r="F371" s="237"/>
      <c r="G371" s="237"/>
      <c r="H371" s="237"/>
      <c r="I371" s="237"/>
      <c r="J371" s="237"/>
      <c r="K371" s="237"/>
      <c r="L371" s="237"/>
      <c r="M371" s="237"/>
      <c r="N371" s="237"/>
      <c r="O371" s="237"/>
      <c r="P371" s="237"/>
      <c r="Q371" s="237"/>
      <c r="R371" s="237"/>
      <c r="S371" s="237"/>
      <c r="T371" s="237"/>
      <c r="U371" s="237"/>
      <c r="V371" s="237"/>
      <c r="W371" s="237"/>
      <c r="X371" s="237"/>
      <c r="Y371" s="237"/>
      <c r="Z371" s="237"/>
    </row>
    <row r="372" spans="1:26">
      <c r="A372" s="238"/>
      <c r="B372" s="237"/>
      <c r="D372" s="237"/>
      <c r="E372" s="237"/>
      <c r="F372" s="237"/>
      <c r="G372" s="237"/>
      <c r="H372" s="237"/>
      <c r="I372" s="237"/>
      <c r="J372" s="237"/>
      <c r="K372" s="237"/>
      <c r="L372" s="237"/>
      <c r="M372" s="237"/>
      <c r="N372" s="237"/>
      <c r="O372" s="237"/>
      <c r="P372" s="237"/>
      <c r="Q372" s="237"/>
      <c r="R372" s="237"/>
      <c r="S372" s="237"/>
      <c r="T372" s="237"/>
      <c r="U372" s="237"/>
      <c r="V372" s="237"/>
      <c r="W372" s="237"/>
      <c r="X372" s="237"/>
      <c r="Y372" s="237"/>
      <c r="Z372" s="237"/>
    </row>
    <row r="373" spans="1:26">
      <c r="A373" s="238"/>
      <c r="B373" s="237"/>
      <c r="D373" s="237"/>
      <c r="E373" s="237"/>
      <c r="F373" s="237"/>
      <c r="G373" s="237"/>
      <c r="H373" s="237"/>
      <c r="I373" s="237"/>
      <c r="J373" s="237"/>
      <c r="K373" s="237"/>
      <c r="L373" s="237"/>
      <c r="M373" s="237"/>
      <c r="N373" s="237"/>
      <c r="O373" s="237"/>
      <c r="P373" s="237"/>
      <c r="Q373" s="237"/>
      <c r="R373" s="237"/>
      <c r="S373" s="237"/>
      <c r="T373" s="237"/>
      <c r="U373" s="237"/>
      <c r="V373" s="237"/>
      <c r="W373" s="237"/>
      <c r="X373" s="237"/>
      <c r="Y373" s="237"/>
      <c r="Z373" s="237"/>
    </row>
    <row r="374" spans="1:26">
      <c r="A374" s="238"/>
      <c r="B374" s="237"/>
      <c r="D374" s="237"/>
      <c r="E374" s="237"/>
      <c r="F374" s="237"/>
      <c r="G374" s="237"/>
      <c r="H374" s="237"/>
      <c r="I374" s="237"/>
      <c r="J374" s="237"/>
      <c r="K374" s="237"/>
      <c r="L374" s="237"/>
      <c r="M374" s="237"/>
      <c r="N374" s="237"/>
      <c r="O374" s="237"/>
      <c r="P374" s="237"/>
      <c r="Q374" s="237"/>
      <c r="R374" s="237"/>
      <c r="S374" s="237"/>
      <c r="T374" s="237"/>
      <c r="U374" s="237"/>
      <c r="V374" s="237"/>
      <c r="W374" s="237"/>
      <c r="X374" s="237"/>
      <c r="Y374" s="237"/>
      <c r="Z374" s="237"/>
    </row>
    <row r="375" spans="1:26">
      <c r="A375" s="238"/>
      <c r="B375" s="237"/>
      <c r="D375" s="237"/>
      <c r="E375" s="237"/>
      <c r="F375" s="237"/>
      <c r="G375" s="237"/>
      <c r="H375" s="237"/>
      <c r="I375" s="237"/>
      <c r="J375" s="237"/>
      <c r="K375" s="237"/>
      <c r="L375" s="237"/>
      <c r="M375" s="237"/>
      <c r="N375" s="237"/>
      <c r="O375" s="237"/>
      <c r="P375" s="237"/>
      <c r="Q375" s="237"/>
      <c r="R375" s="237"/>
      <c r="S375" s="237"/>
      <c r="T375" s="237"/>
      <c r="U375" s="237"/>
      <c r="V375" s="237"/>
      <c r="W375" s="237"/>
      <c r="X375" s="237"/>
      <c r="Y375" s="237"/>
      <c r="Z375" s="237"/>
    </row>
    <row r="376" spans="1:26">
      <c r="A376" s="238"/>
      <c r="B376" s="237"/>
      <c r="D376" s="237"/>
      <c r="E376" s="237"/>
      <c r="F376" s="237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7"/>
      <c r="S376" s="237"/>
      <c r="T376" s="237"/>
      <c r="U376" s="237"/>
      <c r="V376" s="237"/>
      <c r="W376" s="237"/>
      <c r="X376" s="237"/>
      <c r="Y376" s="237"/>
      <c r="Z376" s="237"/>
    </row>
    <row r="377" spans="1:26">
      <c r="A377" s="238"/>
      <c r="B377" s="237"/>
      <c r="D377" s="237"/>
      <c r="E377" s="237"/>
      <c r="F377" s="237"/>
      <c r="G377" s="237"/>
      <c r="H377" s="237"/>
      <c r="I377" s="237"/>
      <c r="J377" s="237"/>
      <c r="K377" s="237"/>
      <c r="L377" s="237"/>
      <c r="M377" s="237"/>
      <c r="N377" s="237"/>
      <c r="O377" s="237"/>
      <c r="P377" s="237"/>
      <c r="Q377" s="237"/>
      <c r="R377" s="237"/>
      <c r="S377" s="237"/>
      <c r="T377" s="237"/>
      <c r="U377" s="237"/>
      <c r="V377" s="237"/>
      <c r="W377" s="237"/>
      <c r="X377" s="237"/>
      <c r="Y377" s="237"/>
      <c r="Z377" s="237"/>
    </row>
    <row r="378" spans="1:26">
      <c r="A378" s="238"/>
      <c r="B378" s="237"/>
      <c r="D378" s="237"/>
      <c r="E378" s="237"/>
      <c r="F378" s="237"/>
      <c r="G378" s="237"/>
      <c r="H378" s="237"/>
      <c r="I378" s="237"/>
      <c r="J378" s="237"/>
      <c r="K378" s="237"/>
      <c r="L378" s="237"/>
      <c r="M378" s="237"/>
      <c r="N378" s="237"/>
      <c r="O378" s="237"/>
      <c r="P378" s="237"/>
      <c r="Q378" s="237"/>
      <c r="R378" s="237"/>
      <c r="S378" s="237"/>
      <c r="T378" s="237"/>
      <c r="U378" s="237"/>
      <c r="V378" s="237"/>
      <c r="W378" s="237"/>
      <c r="X378" s="237"/>
      <c r="Y378" s="237"/>
      <c r="Z378" s="237"/>
    </row>
    <row r="379" spans="1:26">
      <c r="A379" s="238"/>
      <c r="B379" s="237"/>
      <c r="D379" s="237"/>
      <c r="E379" s="237"/>
      <c r="F379" s="237"/>
      <c r="G379" s="237"/>
      <c r="H379" s="237"/>
      <c r="I379" s="237"/>
      <c r="J379" s="237"/>
      <c r="K379" s="237"/>
      <c r="L379" s="237"/>
      <c r="M379" s="237"/>
      <c r="N379" s="237"/>
      <c r="O379" s="237"/>
      <c r="P379" s="237"/>
      <c r="Q379" s="237"/>
      <c r="R379" s="237"/>
      <c r="S379" s="237"/>
      <c r="T379" s="237"/>
      <c r="U379" s="237"/>
      <c r="V379" s="237"/>
      <c r="W379" s="237"/>
      <c r="X379" s="237"/>
      <c r="Y379" s="237"/>
      <c r="Z379" s="237"/>
    </row>
    <row r="380" spans="1:26">
      <c r="A380" s="238"/>
      <c r="B380" s="237"/>
      <c r="D380" s="237"/>
      <c r="E380" s="237"/>
      <c r="F380" s="237"/>
      <c r="G380" s="237"/>
      <c r="H380" s="237"/>
      <c r="I380" s="237"/>
      <c r="J380" s="237"/>
      <c r="K380" s="237"/>
      <c r="L380" s="237"/>
      <c r="M380" s="237"/>
      <c r="N380" s="237"/>
      <c r="O380" s="237"/>
      <c r="P380" s="237"/>
      <c r="Q380" s="237"/>
      <c r="R380" s="237"/>
      <c r="S380" s="237"/>
      <c r="T380" s="237"/>
      <c r="U380" s="237"/>
      <c r="V380" s="237"/>
      <c r="W380" s="237"/>
      <c r="X380" s="237"/>
      <c r="Y380" s="237"/>
      <c r="Z380" s="237"/>
    </row>
    <row r="381" spans="1:26">
      <c r="A381" s="238"/>
      <c r="B381" s="237"/>
      <c r="D381" s="237"/>
      <c r="E381" s="237"/>
      <c r="F381" s="237"/>
      <c r="G381" s="237"/>
      <c r="H381" s="237"/>
      <c r="I381" s="237"/>
      <c r="J381" s="237"/>
      <c r="K381" s="237"/>
      <c r="L381" s="237"/>
      <c r="M381" s="237"/>
      <c r="N381" s="237"/>
      <c r="O381" s="237"/>
      <c r="P381" s="237"/>
      <c r="Q381" s="237"/>
      <c r="R381" s="237"/>
      <c r="S381" s="237"/>
      <c r="T381" s="237"/>
      <c r="U381" s="237"/>
      <c r="V381" s="237"/>
      <c r="W381" s="237"/>
      <c r="X381" s="237"/>
      <c r="Y381" s="237"/>
      <c r="Z381" s="237"/>
    </row>
    <row r="382" spans="1:26">
      <c r="A382" s="238"/>
      <c r="B382" s="237"/>
      <c r="D382" s="237"/>
      <c r="E382" s="237"/>
      <c r="F382" s="237"/>
      <c r="G382" s="237"/>
      <c r="H382" s="237"/>
      <c r="I382" s="237"/>
      <c r="J382" s="237"/>
      <c r="K382" s="237"/>
      <c r="L382" s="237"/>
      <c r="M382" s="237"/>
      <c r="N382" s="237"/>
      <c r="O382" s="237"/>
      <c r="P382" s="237"/>
      <c r="Q382" s="237"/>
      <c r="R382" s="237"/>
      <c r="S382" s="237"/>
      <c r="T382" s="237"/>
      <c r="U382" s="237"/>
      <c r="V382" s="237"/>
      <c r="W382" s="237"/>
      <c r="X382" s="237"/>
      <c r="Y382" s="237"/>
      <c r="Z382" s="237"/>
    </row>
    <row r="383" spans="1:26">
      <c r="A383" s="238"/>
      <c r="B383" s="237"/>
      <c r="D383" s="237"/>
      <c r="E383" s="237"/>
      <c r="F383" s="237"/>
      <c r="G383" s="237"/>
      <c r="H383" s="237"/>
      <c r="I383" s="237"/>
      <c r="J383" s="237"/>
      <c r="K383" s="237"/>
      <c r="L383" s="237"/>
      <c r="M383" s="237"/>
      <c r="N383" s="237"/>
      <c r="O383" s="237"/>
      <c r="P383" s="237"/>
      <c r="Q383" s="237"/>
      <c r="R383" s="237"/>
      <c r="S383" s="237"/>
      <c r="T383" s="237"/>
      <c r="U383" s="237"/>
      <c r="V383" s="237"/>
      <c r="W383" s="237"/>
      <c r="X383" s="237"/>
      <c r="Y383" s="237"/>
      <c r="Z383" s="237"/>
    </row>
    <row r="384" spans="1:26">
      <c r="A384" s="238"/>
      <c r="B384" s="237"/>
      <c r="D384" s="237"/>
      <c r="E384" s="237"/>
      <c r="F384" s="237"/>
      <c r="G384" s="237"/>
      <c r="H384" s="237"/>
      <c r="I384" s="237"/>
      <c r="J384" s="237"/>
      <c r="K384" s="237"/>
      <c r="L384" s="237"/>
      <c r="M384" s="237"/>
      <c r="N384" s="237"/>
      <c r="O384" s="237"/>
      <c r="P384" s="237"/>
      <c r="Q384" s="237"/>
      <c r="R384" s="237"/>
      <c r="S384" s="237"/>
      <c r="T384" s="237"/>
      <c r="U384" s="237"/>
      <c r="V384" s="237"/>
      <c r="W384" s="237"/>
      <c r="X384" s="237"/>
      <c r="Y384" s="237"/>
      <c r="Z384" s="237"/>
    </row>
    <row r="385" spans="1:26">
      <c r="A385" s="238"/>
      <c r="B385" s="237"/>
      <c r="D385" s="237"/>
      <c r="E385" s="237"/>
      <c r="F385" s="237"/>
      <c r="G385" s="237"/>
      <c r="H385" s="237"/>
      <c r="I385" s="237"/>
      <c r="J385" s="237"/>
      <c r="K385" s="237"/>
      <c r="L385" s="237"/>
      <c r="M385" s="237"/>
      <c r="N385" s="237"/>
      <c r="O385" s="237"/>
      <c r="P385" s="237"/>
      <c r="Q385" s="237"/>
      <c r="R385" s="237"/>
      <c r="S385" s="237"/>
      <c r="T385" s="237"/>
      <c r="U385" s="237"/>
      <c r="V385" s="237"/>
      <c r="W385" s="237"/>
      <c r="X385" s="237"/>
      <c r="Y385" s="237"/>
      <c r="Z385" s="237"/>
    </row>
    <row r="386" spans="1:26">
      <c r="A386" s="238"/>
      <c r="B386" s="237"/>
      <c r="D386" s="237"/>
      <c r="E386" s="237"/>
      <c r="F386" s="237"/>
      <c r="G386" s="237"/>
      <c r="H386" s="237"/>
      <c r="I386" s="237"/>
      <c r="J386" s="237"/>
      <c r="K386" s="237"/>
      <c r="L386" s="237"/>
      <c r="M386" s="237"/>
      <c r="N386" s="237"/>
      <c r="O386" s="237"/>
      <c r="P386" s="237"/>
      <c r="Q386" s="237"/>
      <c r="R386" s="237"/>
      <c r="S386" s="237"/>
      <c r="T386" s="237"/>
      <c r="U386" s="237"/>
      <c r="V386" s="237"/>
      <c r="W386" s="237"/>
      <c r="X386" s="237"/>
      <c r="Y386" s="237"/>
      <c r="Z386" s="237"/>
    </row>
    <row r="387" spans="1:26">
      <c r="A387" s="238"/>
      <c r="B387" s="237"/>
      <c r="D387" s="237"/>
      <c r="E387" s="237"/>
      <c r="F387" s="237"/>
      <c r="G387" s="237"/>
      <c r="H387" s="237"/>
      <c r="I387" s="237"/>
      <c r="J387" s="237"/>
      <c r="K387" s="237"/>
      <c r="L387" s="237"/>
      <c r="M387" s="237"/>
      <c r="N387" s="237"/>
      <c r="O387" s="237"/>
      <c r="P387" s="237"/>
      <c r="Q387" s="237"/>
      <c r="R387" s="237"/>
      <c r="S387" s="237"/>
      <c r="T387" s="237"/>
      <c r="U387" s="237"/>
      <c r="V387" s="237"/>
      <c r="W387" s="237"/>
      <c r="X387" s="237"/>
      <c r="Y387" s="237"/>
      <c r="Z387" s="237"/>
    </row>
    <row r="388" spans="1:26">
      <c r="A388" s="238"/>
      <c r="B388" s="237"/>
      <c r="D388" s="237"/>
      <c r="E388" s="237"/>
      <c r="F388" s="237"/>
      <c r="G388" s="237"/>
      <c r="H388" s="237"/>
      <c r="I388" s="237"/>
      <c r="J388" s="237"/>
      <c r="K388" s="237"/>
      <c r="L388" s="237"/>
      <c r="M388" s="237"/>
      <c r="N388" s="237"/>
      <c r="O388" s="237"/>
      <c r="P388" s="237"/>
      <c r="Q388" s="237"/>
      <c r="R388" s="237"/>
      <c r="S388" s="237"/>
      <c r="T388" s="237"/>
      <c r="U388" s="237"/>
      <c r="V388" s="237"/>
      <c r="W388" s="237"/>
      <c r="X388" s="237"/>
      <c r="Y388" s="237"/>
      <c r="Z388" s="237"/>
    </row>
    <row r="389" spans="1:26">
      <c r="A389" s="238"/>
      <c r="B389" s="237"/>
      <c r="D389" s="237"/>
      <c r="E389" s="237"/>
      <c r="F389" s="237"/>
      <c r="G389" s="237"/>
      <c r="H389" s="237"/>
      <c r="I389" s="237"/>
      <c r="J389" s="237"/>
      <c r="K389" s="237"/>
      <c r="L389" s="237"/>
      <c r="M389" s="237"/>
      <c r="N389" s="237"/>
      <c r="O389" s="237"/>
      <c r="P389" s="237"/>
      <c r="Q389" s="237"/>
      <c r="R389" s="237"/>
      <c r="S389" s="237"/>
      <c r="T389" s="237"/>
      <c r="U389" s="237"/>
      <c r="V389" s="237"/>
      <c r="W389" s="237"/>
      <c r="X389" s="237"/>
      <c r="Y389" s="237"/>
      <c r="Z389" s="237"/>
    </row>
    <row r="390" spans="1:26">
      <c r="A390" s="238"/>
      <c r="B390" s="237"/>
      <c r="D390" s="237"/>
      <c r="E390" s="237"/>
      <c r="F390" s="237"/>
      <c r="G390" s="237"/>
      <c r="H390" s="237"/>
      <c r="I390" s="237"/>
      <c r="J390" s="237"/>
      <c r="K390" s="237"/>
      <c r="L390" s="237"/>
      <c r="M390" s="237"/>
      <c r="N390" s="237"/>
      <c r="O390" s="237"/>
      <c r="P390" s="237"/>
      <c r="Q390" s="237"/>
      <c r="R390" s="237"/>
      <c r="S390" s="237"/>
      <c r="T390" s="237"/>
      <c r="U390" s="237"/>
      <c r="V390" s="237"/>
      <c r="W390" s="237"/>
      <c r="X390" s="237"/>
      <c r="Y390" s="237"/>
      <c r="Z390" s="237"/>
    </row>
    <row r="391" spans="1:26">
      <c r="A391" s="238"/>
      <c r="B391" s="237"/>
      <c r="D391" s="237"/>
      <c r="E391" s="237"/>
      <c r="F391" s="237"/>
      <c r="G391" s="237"/>
      <c r="H391" s="237"/>
      <c r="I391" s="237"/>
      <c r="J391" s="237"/>
      <c r="K391" s="237"/>
      <c r="L391" s="237"/>
      <c r="M391" s="237"/>
      <c r="N391" s="237"/>
      <c r="O391" s="237"/>
      <c r="P391" s="237"/>
      <c r="Q391" s="237"/>
      <c r="R391" s="237"/>
      <c r="S391" s="237"/>
      <c r="T391" s="237"/>
      <c r="U391" s="237"/>
      <c r="V391" s="237"/>
      <c r="W391" s="237"/>
      <c r="X391" s="237"/>
      <c r="Y391" s="237"/>
      <c r="Z391" s="237"/>
    </row>
    <row r="392" spans="1:26">
      <c r="A392" s="238"/>
      <c r="B392" s="237"/>
      <c r="D392" s="237"/>
      <c r="E392" s="237"/>
      <c r="F392" s="237"/>
      <c r="G392" s="237"/>
      <c r="H392" s="237"/>
      <c r="I392" s="237"/>
      <c r="J392" s="237"/>
      <c r="K392" s="237"/>
      <c r="L392" s="237"/>
      <c r="M392" s="237"/>
      <c r="N392" s="237"/>
      <c r="O392" s="237"/>
      <c r="P392" s="237"/>
      <c r="Q392" s="237"/>
      <c r="R392" s="237"/>
      <c r="S392" s="237"/>
      <c r="T392" s="237"/>
      <c r="U392" s="237"/>
      <c r="V392" s="237"/>
      <c r="W392" s="237"/>
      <c r="X392" s="237"/>
      <c r="Y392" s="237"/>
      <c r="Z392" s="237"/>
    </row>
    <row r="393" spans="1:26">
      <c r="A393" s="238"/>
      <c r="B393" s="237"/>
      <c r="D393" s="237"/>
      <c r="E393" s="237"/>
      <c r="F393" s="237"/>
      <c r="G393" s="237"/>
      <c r="H393" s="237"/>
      <c r="I393" s="237"/>
      <c r="J393" s="237"/>
      <c r="K393" s="237"/>
      <c r="L393" s="237"/>
      <c r="M393" s="237"/>
      <c r="N393" s="237"/>
      <c r="O393" s="237"/>
      <c r="P393" s="237"/>
      <c r="Q393" s="237"/>
      <c r="R393" s="237"/>
      <c r="S393" s="237"/>
      <c r="T393" s="237"/>
      <c r="U393" s="237"/>
      <c r="V393" s="237"/>
      <c r="W393" s="237"/>
      <c r="X393" s="237"/>
      <c r="Y393" s="237"/>
      <c r="Z393" s="237"/>
    </row>
    <row r="394" spans="1:26">
      <c r="A394" s="238"/>
      <c r="B394" s="237"/>
      <c r="D394" s="237"/>
      <c r="E394" s="237"/>
      <c r="F394" s="237"/>
      <c r="G394" s="237"/>
      <c r="H394" s="237"/>
      <c r="I394" s="237"/>
      <c r="J394" s="237"/>
      <c r="K394" s="237"/>
      <c r="L394" s="237"/>
      <c r="M394" s="237"/>
      <c r="N394" s="237"/>
      <c r="O394" s="237"/>
      <c r="P394" s="237"/>
      <c r="Q394" s="237"/>
      <c r="R394" s="237"/>
      <c r="S394" s="237"/>
      <c r="T394" s="237"/>
      <c r="U394" s="237"/>
      <c r="V394" s="237"/>
      <c r="W394" s="237"/>
      <c r="X394" s="237"/>
      <c r="Y394" s="237"/>
      <c r="Z394" s="237"/>
    </row>
    <row r="395" spans="1:26">
      <c r="A395" s="238"/>
      <c r="B395" s="237"/>
      <c r="D395" s="237"/>
      <c r="E395" s="237"/>
      <c r="F395" s="237"/>
      <c r="G395" s="237"/>
      <c r="H395" s="237"/>
      <c r="I395" s="237"/>
      <c r="J395" s="237"/>
      <c r="K395" s="237"/>
      <c r="L395" s="237"/>
      <c r="M395" s="237"/>
      <c r="N395" s="237"/>
      <c r="O395" s="237"/>
      <c r="P395" s="237"/>
      <c r="Q395" s="237"/>
      <c r="R395" s="237"/>
      <c r="S395" s="237"/>
      <c r="T395" s="237"/>
      <c r="U395" s="237"/>
      <c r="V395" s="237"/>
      <c r="W395" s="237"/>
      <c r="X395" s="237"/>
      <c r="Y395" s="237"/>
      <c r="Z395" s="237"/>
    </row>
    <row r="396" spans="1:26">
      <c r="A396" s="238"/>
      <c r="B396" s="237"/>
      <c r="D396" s="237"/>
      <c r="E396" s="237"/>
      <c r="F396" s="237"/>
      <c r="G396" s="237"/>
      <c r="H396" s="237"/>
      <c r="I396" s="237"/>
      <c r="J396" s="237"/>
      <c r="K396" s="237"/>
      <c r="L396" s="237"/>
      <c r="M396" s="237"/>
      <c r="N396" s="237"/>
      <c r="O396" s="237"/>
      <c r="P396" s="237"/>
      <c r="Q396" s="237"/>
      <c r="R396" s="237"/>
      <c r="S396" s="237"/>
      <c r="T396" s="237"/>
      <c r="U396" s="237"/>
      <c r="V396" s="237"/>
      <c r="W396" s="237"/>
      <c r="X396" s="237"/>
      <c r="Y396" s="237"/>
      <c r="Z396" s="237"/>
    </row>
    <row r="397" spans="1:26">
      <c r="A397" s="238"/>
      <c r="B397" s="237"/>
      <c r="D397" s="237"/>
      <c r="E397" s="237"/>
      <c r="F397" s="237"/>
      <c r="G397" s="237"/>
      <c r="H397" s="237"/>
      <c r="I397" s="237"/>
      <c r="J397" s="237"/>
      <c r="K397" s="237"/>
      <c r="L397" s="237"/>
      <c r="M397" s="237"/>
      <c r="N397" s="237"/>
      <c r="O397" s="237"/>
      <c r="P397" s="237"/>
      <c r="Q397" s="237"/>
      <c r="R397" s="237"/>
      <c r="S397" s="237"/>
      <c r="T397" s="237"/>
      <c r="U397" s="237"/>
      <c r="V397" s="237"/>
      <c r="W397" s="237"/>
      <c r="X397" s="237"/>
      <c r="Y397" s="237"/>
      <c r="Z397" s="237"/>
    </row>
    <row r="398" spans="1:26">
      <c r="A398" s="238"/>
      <c r="B398" s="237"/>
      <c r="D398" s="237"/>
      <c r="E398" s="237"/>
      <c r="F398" s="237"/>
      <c r="G398" s="237"/>
      <c r="H398" s="237"/>
      <c r="I398" s="237"/>
      <c r="J398" s="237"/>
      <c r="K398" s="237"/>
      <c r="L398" s="237"/>
      <c r="M398" s="237"/>
      <c r="N398" s="237"/>
      <c r="O398" s="237"/>
      <c r="P398" s="237"/>
      <c r="Q398" s="237"/>
      <c r="R398" s="237"/>
      <c r="S398" s="237"/>
      <c r="T398" s="237"/>
      <c r="U398" s="237"/>
      <c r="V398" s="237"/>
      <c r="W398" s="237"/>
      <c r="X398" s="237"/>
      <c r="Y398" s="237"/>
      <c r="Z398" s="237"/>
    </row>
    <row r="399" spans="1:26">
      <c r="A399" s="238"/>
      <c r="B399" s="237"/>
      <c r="D399" s="237"/>
      <c r="E399" s="237"/>
      <c r="F399" s="237"/>
      <c r="G399" s="237"/>
      <c r="H399" s="237"/>
      <c r="I399" s="237"/>
      <c r="J399" s="237"/>
      <c r="K399" s="237"/>
      <c r="L399" s="237"/>
      <c r="M399" s="237"/>
      <c r="N399" s="237"/>
      <c r="O399" s="237"/>
      <c r="P399" s="237"/>
      <c r="Q399" s="237"/>
      <c r="R399" s="237"/>
      <c r="S399" s="237"/>
      <c r="T399" s="237"/>
      <c r="U399" s="237"/>
      <c r="V399" s="237"/>
      <c r="W399" s="237"/>
      <c r="X399" s="237"/>
      <c r="Y399" s="237"/>
      <c r="Z399" s="237"/>
    </row>
    <row r="400" spans="1:26">
      <c r="A400" s="238"/>
      <c r="B400" s="237"/>
      <c r="D400" s="237"/>
      <c r="E400" s="237"/>
      <c r="F400" s="237"/>
      <c r="G400" s="237"/>
      <c r="H400" s="237"/>
      <c r="I400" s="237"/>
      <c r="J400" s="237"/>
      <c r="K400" s="237"/>
      <c r="L400" s="237"/>
      <c r="M400" s="237"/>
      <c r="N400" s="237"/>
      <c r="O400" s="237"/>
      <c r="P400" s="237"/>
      <c r="Q400" s="237"/>
      <c r="R400" s="237"/>
      <c r="S400" s="237"/>
      <c r="T400" s="237"/>
      <c r="U400" s="237"/>
      <c r="V400" s="237"/>
      <c r="W400" s="237"/>
      <c r="X400" s="237"/>
      <c r="Y400" s="237"/>
      <c r="Z400" s="237"/>
    </row>
    <row r="401" spans="1:26">
      <c r="A401" s="238"/>
      <c r="B401" s="237"/>
      <c r="D401" s="237"/>
      <c r="E401" s="237"/>
      <c r="F401" s="237"/>
      <c r="G401" s="237"/>
      <c r="H401" s="237"/>
      <c r="I401" s="237"/>
      <c r="J401" s="237"/>
      <c r="K401" s="237"/>
      <c r="L401" s="237"/>
      <c r="M401" s="237"/>
      <c r="N401" s="237"/>
      <c r="O401" s="237"/>
      <c r="P401" s="237"/>
      <c r="Q401" s="237"/>
      <c r="R401" s="237"/>
      <c r="S401" s="237"/>
      <c r="T401" s="237"/>
      <c r="U401" s="237"/>
      <c r="V401" s="237"/>
      <c r="W401" s="237"/>
      <c r="X401" s="237"/>
      <c r="Y401" s="237"/>
      <c r="Z401" s="237"/>
    </row>
    <row r="402" spans="1:26">
      <c r="A402" s="238"/>
      <c r="B402" s="237"/>
      <c r="D402" s="237"/>
      <c r="E402" s="237"/>
      <c r="F402" s="237"/>
      <c r="G402" s="237"/>
      <c r="H402" s="237"/>
      <c r="I402" s="237"/>
      <c r="J402" s="237"/>
      <c r="K402" s="237"/>
      <c r="L402" s="237"/>
      <c r="M402" s="237"/>
      <c r="N402" s="237"/>
      <c r="O402" s="237"/>
      <c r="P402" s="237"/>
      <c r="Q402" s="237"/>
      <c r="R402" s="237"/>
      <c r="S402" s="237"/>
      <c r="T402" s="237"/>
      <c r="U402" s="237"/>
      <c r="V402" s="237"/>
      <c r="W402" s="237"/>
      <c r="X402" s="237"/>
      <c r="Y402" s="237"/>
      <c r="Z402" s="237"/>
    </row>
    <row r="403" spans="1:26">
      <c r="A403" s="238"/>
      <c r="B403" s="237"/>
      <c r="D403" s="237"/>
      <c r="E403" s="237"/>
      <c r="F403" s="237"/>
      <c r="G403" s="237"/>
      <c r="H403" s="237"/>
      <c r="I403" s="237"/>
      <c r="J403" s="237"/>
      <c r="K403" s="237"/>
      <c r="L403" s="237"/>
      <c r="M403" s="237"/>
      <c r="N403" s="237"/>
      <c r="O403" s="237"/>
      <c r="P403" s="237"/>
      <c r="Q403" s="237"/>
      <c r="R403" s="237"/>
      <c r="S403" s="237"/>
      <c r="T403" s="237"/>
      <c r="U403" s="237"/>
      <c r="V403" s="237"/>
      <c r="W403" s="237"/>
      <c r="X403" s="237"/>
      <c r="Y403" s="237"/>
      <c r="Z403" s="237"/>
    </row>
    <row r="404" spans="1:26">
      <c r="A404" s="238"/>
      <c r="B404" s="237"/>
      <c r="D404" s="237"/>
      <c r="E404" s="237"/>
      <c r="F404" s="237"/>
      <c r="G404" s="237"/>
      <c r="H404" s="237"/>
      <c r="I404" s="237"/>
      <c r="J404" s="237"/>
      <c r="K404" s="237"/>
      <c r="L404" s="237"/>
      <c r="M404" s="237"/>
      <c r="N404" s="237"/>
      <c r="O404" s="237"/>
      <c r="P404" s="237"/>
      <c r="Q404" s="237"/>
      <c r="R404" s="237"/>
      <c r="S404" s="237"/>
      <c r="T404" s="237"/>
      <c r="U404" s="237"/>
      <c r="V404" s="237"/>
      <c r="W404" s="237"/>
      <c r="X404" s="237"/>
      <c r="Y404" s="237"/>
      <c r="Z404" s="237"/>
    </row>
    <row r="405" spans="1:26">
      <c r="A405" s="238"/>
      <c r="B405" s="237"/>
      <c r="D405" s="237"/>
      <c r="E405" s="237"/>
      <c r="F405" s="237"/>
      <c r="G405" s="237"/>
      <c r="H405" s="237"/>
      <c r="I405" s="237"/>
      <c r="J405" s="237"/>
      <c r="K405" s="237"/>
      <c r="L405" s="237"/>
      <c r="M405" s="237"/>
      <c r="N405" s="237"/>
      <c r="O405" s="237"/>
      <c r="P405" s="237"/>
      <c r="Q405" s="237"/>
      <c r="R405" s="237"/>
      <c r="S405" s="237"/>
      <c r="T405" s="237"/>
      <c r="U405" s="237"/>
      <c r="V405" s="237"/>
      <c r="W405" s="237"/>
      <c r="X405" s="237"/>
      <c r="Y405" s="237"/>
      <c r="Z405" s="237"/>
    </row>
    <row r="406" spans="1:26">
      <c r="A406" s="238"/>
      <c r="B406" s="237"/>
      <c r="D406" s="237"/>
      <c r="E406" s="237"/>
      <c r="F406" s="237"/>
      <c r="G406" s="237"/>
      <c r="H406" s="237"/>
      <c r="I406" s="237"/>
      <c r="J406" s="237"/>
      <c r="K406" s="237"/>
      <c r="L406" s="237"/>
      <c r="M406" s="237"/>
      <c r="N406" s="237"/>
      <c r="O406" s="237"/>
      <c r="P406" s="237"/>
      <c r="Q406" s="237"/>
      <c r="R406" s="237"/>
      <c r="S406" s="237"/>
      <c r="T406" s="237"/>
      <c r="U406" s="237"/>
      <c r="V406" s="237"/>
      <c r="W406" s="237"/>
      <c r="X406" s="237"/>
      <c r="Y406" s="237"/>
      <c r="Z406" s="237"/>
    </row>
    <row r="407" spans="1:26">
      <c r="A407" s="238"/>
      <c r="B407" s="237"/>
      <c r="D407" s="237"/>
      <c r="E407" s="237"/>
      <c r="F407" s="237"/>
      <c r="G407" s="237"/>
      <c r="H407" s="237"/>
      <c r="I407" s="237"/>
      <c r="J407" s="237"/>
      <c r="K407" s="237"/>
      <c r="L407" s="237"/>
      <c r="M407" s="237"/>
      <c r="N407" s="237"/>
      <c r="O407" s="237"/>
      <c r="P407" s="237"/>
      <c r="Q407" s="237"/>
      <c r="R407" s="237"/>
      <c r="S407" s="237"/>
      <c r="T407" s="237"/>
      <c r="U407" s="237"/>
      <c r="V407" s="237"/>
      <c r="W407" s="237"/>
      <c r="X407" s="237"/>
      <c r="Y407" s="237"/>
      <c r="Z407" s="237"/>
    </row>
    <row r="408" spans="1:26">
      <c r="A408" s="238"/>
      <c r="B408" s="237"/>
      <c r="D408" s="237"/>
      <c r="E408" s="237"/>
      <c r="F408" s="237"/>
      <c r="G408" s="237"/>
      <c r="H408" s="237"/>
      <c r="I408" s="237"/>
      <c r="J408" s="237"/>
      <c r="K408" s="237"/>
      <c r="L408" s="237"/>
      <c r="M408" s="237"/>
      <c r="N408" s="237"/>
      <c r="O408" s="237"/>
      <c r="P408" s="237"/>
      <c r="Q408" s="237"/>
      <c r="R408" s="237"/>
      <c r="S408" s="237"/>
      <c r="T408" s="237"/>
      <c r="U408" s="237"/>
      <c r="V408" s="237"/>
      <c r="W408" s="237"/>
      <c r="X408" s="237"/>
      <c r="Y408" s="237"/>
      <c r="Z408" s="237"/>
    </row>
    <row r="409" spans="1:26">
      <c r="A409" s="238"/>
      <c r="B409" s="237"/>
      <c r="D409" s="237"/>
      <c r="E409" s="237"/>
      <c r="F409" s="237"/>
      <c r="G409" s="237"/>
      <c r="H409" s="237"/>
      <c r="I409" s="237"/>
      <c r="J409" s="237"/>
      <c r="K409" s="237"/>
      <c r="L409" s="237"/>
      <c r="M409" s="237"/>
      <c r="N409" s="237"/>
      <c r="O409" s="237"/>
      <c r="P409" s="237"/>
      <c r="Q409" s="237"/>
      <c r="R409" s="237"/>
      <c r="S409" s="237"/>
      <c r="T409" s="237"/>
      <c r="U409" s="237"/>
      <c r="V409" s="237"/>
      <c r="W409" s="237"/>
      <c r="X409" s="237"/>
      <c r="Y409" s="237"/>
      <c r="Z409" s="237"/>
    </row>
    <row r="410" spans="1:26">
      <c r="A410" s="238"/>
      <c r="B410" s="237"/>
      <c r="D410" s="237"/>
      <c r="E410" s="237"/>
      <c r="F410" s="237"/>
      <c r="G410" s="237"/>
      <c r="H410" s="237"/>
      <c r="I410" s="237"/>
      <c r="J410" s="237"/>
      <c r="K410" s="237"/>
      <c r="L410" s="237"/>
      <c r="M410" s="237"/>
      <c r="N410" s="237"/>
      <c r="O410" s="237"/>
      <c r="P410" s="237"/>
      <c r="Q410" s="237"/>
      <c r="R410" s="237"/>
      <c r="S410" s="237"/>
      <c r="T410" s="237"/>
      <c r="U410" s="237"/>
      <c r="V410" s="237"/>
      <c r="W410" s="237"/>
      <c r="X410" s="237"/>
      <c r="Y410" s="237"/>
      <c r="Z410" s="237"/>
    </row>
    <row r="411" spans="1:26">
      <c r="A411" s="238"/>
      <c r="B411" s="237"/>
      <c r="D411" s="237"/>
      <c r="E411" s="237"/>
      <c r="F411" s="237"/>
      <c r="G411" s="237"/>
      <c r="H411" s="237"/>
      <c r="I411" s="237"/>
      <c r="J411" s="237"/>
      <c r="K411" s="237"/>
      <c r="L411" s="237"/>
      <c r="M411" s="237"/>
      <c r="N411" s="237"/>
      <c r="O411" s="237"/>
      <c r="P411" s="237"/>
      <c r="Q411" s="237"/>
      <c r="R411" s="237"/>
      <c r="S411" s="237"/>
      <c r="T411" s="237"/>
      <c r="U411" s="237"/>
      <c r="V411" s="237"/>
      <c r="W411" s="237"/>
      <c r="X411" s="237"/>
      <c r="Y411" s="237"/>
      <c r="Z411" s="237"/>
    </row>
    <row r="412" spans="1:26">
      <c r="A412" s="238"/>
      <c r="B412" s="237"/>
      <c r="D412" s="237"/>
      <c r="E412" s="237"/>
      <c r="F412" s="237"/>
      <c r="G412" s="237"/>
      <c r="H412" s="237"/>
      <c r="I412" s="237"/>
      <c r="J412" s="237"/>
      <c r="K412" s="237"/>
      <c r="L412" s="237"/>
      <c r="M412" s="237"/>
      <c r="N412" s="237"/>
      <c r="O412" s="237"/>
      <c r="P412" s="237"/>
      <c r="Q412" s="237"/>
      <c r="R412" s="237"/>
      <c r="S412" s="237"/>
      <c r="T412" s="237"/>
      <c r="U412" s="237"/>
      <c r="V412" s="237"/>
      <c r="W412" s="237"/>
      <c r="X412" s="237"/>
      <c r="Y412" s="237"/>
      <c r="Z412" s="237"/>
    </row>
    <row r="413" spans="1:26">
      <c r="A413" s="238"/>
      <c r="B413" s="237"/>
      <c r="D413" s="237"/>
      <c r="E413" s="237"/>
      <c r="F413" s="237"/>
      <c r="G413" s="237"/>
      <c r="H413" s="237"/>
      <c r="I413" s="237"/>
      <c r="J413" s="237"/>
      <c r="K413" s="237"/>
      <c r="L413" s="237"/>
      <c r="M413" s="237"/>
      <c r="N413" s="237"/>
      <c r="O413" s="237"/>
      <c r="P413" s="237"/>
      <c r="Q413" s="237"/>
      <c r="R413" s="237"/>
      <c r="S413" s="237"/>
      <c r="T413" s="237"/>
      <c r="U413" s="237"/>
      <c r="V413" s="237"/>
      <c r="W413" s="237"/>
      <c r="X413" s="237"/>
      <c r="Y413" s="237"/>
      <c r="Z413" s="237"/>
    </row>
    <row r="414" spans="1:26">
      <c r="A414" s="238"/>
      <c r="B414" s="237"/>
      <c r="D414" s="237"/>
      <c r="E414" s="237"/>
      <c r="F414" s="237"/>
      <c r="G414" s="237"/>
      <c r="H414" s="237"/>
      <c r="I414" s="237"/>
      <c r="J414" s="237"/>
      <c r="K414" s="237"/>
      <c r="L414" s="237"/>
      <c r="M414" s="237"/>
      <c r="N414" s="237"/>
      <c r="O414" s="237"/>
      <c r="P414" s="237"/>
      <c r="Q414" s="237"/>
      <c r="R414" s="237"/>
      <c r="S414" s="237"/>
      <c r="T414" s="237"/>
      <c r="U414" s="237"/>
      <c r="V414" s="237"/>
      <c r="W414" s="237"/>
      <c r="X414" s="237"/>
      <c r="Y414" s="237"/>
      <c r="Z414" s="237"/>
    </row>
    <row r="415" spans="1:26">
      <c r="A415" s="238"/>
      <c r="B415" s="237"/>
      <c r="D415" s="237"/>
      <c r="E415" s="237"/>
      <c r="F415" s="237"/>
      <c r="G415" s="237"/>
      <c r="H415" s="237"/>
      <c r="I415" s="237"/>
      <c r="J415" s="237"/>
      <c r="K415" s="237"/>
      <c r="L415" s="237"/>
      <c r="M415" s="237"/>
      <c r="N415" s="237"/>
      <c r="O415" s="237"/>
      <c r="P415" s="237"/>
      <c r="Q415" s="237"/>
      <c r="R415" s="237"/>
      <c r="S415" s="237"/>
      <c r="T415" s="237"/>
      <c r="U415" s="237"/>
      <c r="V415" s="237"/>
      <c r="W415" s="237"/>
      <c r="X415" s="237"/>
      <c r="Y415" s="237"/>
      <c r="Z415" s="237"/>
    </row>
    <row r="416" spans="1:26">
      <c r="A416" s="238"/>
      <c r="B416" s="237"/>
      <c r="D416" s="237"/>
      <c r="E416" s="237"/>
      <c r="F416" s="237"/>
      <c r="G416" s="237"/>
      <c r="H416" s="237"/>
      <c r="I416" s="237"/>
      <c r="J416" s="237"/>
      <c r="K416" s="237"/>
      <c r="L416" s="237"/>
      <c r="M416" s="237"/>
      <c r="N416" s="237"/>
      <c r="O416" s="237"/>
      <c r="P416" s="237"/>
      <c r="Q416" s="237"/>
      <c r="R416" s="237"/>
      <c r="S416" s="237"/>
      <c r="T416" s="237"/>
      <c r="U416" s="237"/>
      <c r="V416" s="237"/>
      <c r="W416" s="237"/>
      <c r="X416" s="237"/>
      <c r="Y416" s="237"/>
      <c r="Z416" s="237"/>
    </row>
    <row r="417" spans="1:26">
      <c r="A417" s="238"/>
      <c r="B417" s="237"/>
      <c r="D417" s="237"/>
      <c r="E417" s="237"/>
      <c r="F417" s="237"/>
      <c r="G417" s="237"/>
      <c r="H417" s="237"/>
      <c r="I417" s="237"/>
      <c r="J417" s="237"/>
      <c r="K417" s="237"/>
      <c r="L417" s="237"/>
      <c r="M417" s="237"/>
      <c r="N417" s="237"/>
      <c r="O417" s="237"/>
      <c r="P417" s="237"/>
      <c r="Q417" s="237"/>
      <c r="R417" s="237"/>
      <c r="S417" s="237"/>
      <c r="T417" s="237"/>
      <c r="U417" s="237"/>
      <c r="V417" s="237"/>
      <c r="W417" s="237"/>
      <c r="X417" s="237"/>
      <c r="Y417" s="237"/>
      <c r="Z417" s="237"/>
    </row>
    <row r="418" spans="1:26">
      <c r="A418" s="238"/>
      <c r="B418" s="237"/>
      <c r="D418" s="237"/>
      <c r="E418" s="237"/>
      <c r="F418" s="237"/>
      <c r="G418" s="237"/>
      <c r="H418" s="237"/>
      <c r="I418" s="237"/>
      <c r="J418" s="237"/>
      <c r="K418" s="237"/>
      <c r="L418" s="237"/>
      <c r="M418" s="237"/>
      <c r="N418" s="237"/>
      <c r="O418" s="237"/>
      <c r="P418" s="237"/>
      <c r="Q418" s="237"/>
      <c r="R418" s="237"/>
      <c r="S418" s="237"/>
      <c r="T418" s="237"/>
      <c r="U418" s="237"/>
      <c r="V418" s="237"/>
      <c r="W418" s="237"/>
      <c r="X418" s="237"/>
      <c r="Y418" s="237"/>
      <c r="Z418" s="237"/>
    </row>
    <row r="419" spans="1:26">
      <c r="A419" s="238"/>
      <c r="B419" s="237"/>
      <c r="D419" s="237"/>
      <c r="E419" s="237"/>
      <c r="F419" s="237"/>
      <c r="G419" s="237"/>
      <c r="H419" s="237"/>
      <c r="I419" s="237"/>
      <c r="J419" s="237"/>
      <c r="K419" s="237"/>
      <c r="L419" s="237"/>
      <c r="M419" s="237"/>
      <c r="N419" s="237"/>
      <c r="O419" s="237"/>
      <c r="P419" s="237"/>
      <c r="Q419" s="237"/>
      <c r="R419" s="237"/>
      <c r="S419" s="237"/>
      <c r="T419" s="237"/>
      <c r="U419" s="237"/>
      <c r="V419" s="237"/>
      <c r="W419" s="237"/>
      <c r="X419" s="237"/>
      <c r="Y419" s="237"/>
      <c r="Z419" s="237"/>
    </row>
    <row r="420" spans="1:26">
      <c r="A420" s="238"/>
      <c r="B420" s="237"/>
      <c r="D420" s="237"/>
      <c r="E420" s="237"/>
      <c r="F420" s="237"/>
      <c r="G420" s="237"/>
      <c r="H420" s="237"/>
      <c r="I420" s="237"/>
      <c r="J420" s="237"/>
      <c r="K420" s="237"/>
      <c r="L420" s="237"/>
      <c r="M420" s="237"/>
      <c r="N420" s="237"/>
      <c r="O420" s="237"/>
      <c r="P420" s="237"/>
      <c r="Q420" s="237"/>
      <c r="R420" s="237"/>
      <c r="S420" s="237"/>
      <c r="T420" s="237"/>
      <c r="U420" s="237"/>
      <c r="V420" s="237"/>
      <c r="W420" s="237"/>
      <c r="X420" s="237"/>
      <c r="Y420" s="237"/>
      <c r="Z420" s="237"/>
    </row>
    <row r="421" spans="1:26">
      <c r="A421" s="238"/>
      <c r="B421" s="237"/>
      <c r="D421" s="237"/>
      <c r="E421" s="237"/>
      <c r="F421" s="237"/>
      <c r="G421" s="237"/>
      <c r="H421" s="237"/>
      <c r="I421" s="237"/>
      <c r="J421" s="237"/>
      <c r="K421" s="237"/>
      <c r="L421" s="237"/>
      <c r="M421" s="237"/>
      <c r="N421" s="237"/>
      <c r="O421" s="237"/>
      <c r="P421" s="237"/>
      <c r="Q421" s="237"/>
      <c r="R421" s="237"/>
      <c r="S421" s="237"/>
      <c r="T421" s="237"/>
      <c r="U421" s="237"/>
      <c r="V421" s="237"/>
      <c r="W421" s="237"/>
      <c r="X421" s="237"/>
      <c r="Y421" s="237"/>
      <c r="Z421" s="237"/>
    </row>
    <row r="422" spans="1:26">
      <c r="A422" s="238"/>
      <c r="B422" s="237"/>
      <c r="D422" s="237"/>
      <c r="E422" s="237"/>
      <c r="F422" s="237"/>
      <c r="G422" s="237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7"/>
      <c r="S422" s="237"/>
      <c r="T422" s="237"/>
      <c r="U422" s="237"/>
      <c r="V422" s="237"/>
      <c r="W422" s="237"/>
      <c r="X422" s="237"/>
      <c r="Y422" s="237"/>
      <c r="Z422" s="237"/>
    </row>
    <row r="423" spans="1:26">
      <c r="A423" s="238"/>
      <c r="B423" s="237"/>
      <c r="D423" s="237"/>
      <c r="E423" s="237"/>
      <c r="F423" s="237"/>
      <c r="G423" s="237"/>
      <c r="H423" s="237"/>
      <c r="I423" s="237"/>
      <c r="J423" s="237"/>
      <c r="K423" s="237"/>
      <c r="L423" s="237"/>
      <c r="M423" s="237"/>
      <c r="N423" s="237"/>
      <c r="O423" s="237"/>
      <c r="P423" s="237"/>
      <c r="Q423" s="237"/>
      <c r="R423" s="237"/>
      <c r="S423" s="237"/>
      <c r="T423" s="237"/>
      <c r="U423" s="237"/>
      <c r="V423" s="237"/>
      <c r="W423" s="237"/>
      <c r="X423" s="237"/>
      <c r="Y423" s="237"/>
      <c r="Z423" s="237"/>
    </row>
    <row r="424" spans="1:26">
      <c r="A424" s="238"/>
      <c r="B424" s="237"/>
      <c r="D424" s="237"/>
      <c r="E424" s="237"/>
      <c r="F424" s="237"/>
      <c r="G424" s="237"/>
      <c r="H424" s="237"/>
      <c r="I424" s="237"/>
      <c r="J424" s="237"/>
      <c r="K424" s="237"/>
      <c r="L424" s="237"/>
      <c r="M424" s="237"/>
      <c r="N424" s="237"/>
      <c r="O424" s="237"/>
      <c r="P424" s="237"/>
      <c r="Q424" s="237"/>
      <c r="R424" s="237"/>
      <c r="S424" s="237"/>
      <c r="T424" s="237"/>
      <c r="U424" s="237"/>
      <c r="V424" s="237"/>
      <c r="W424" s="237"/>
      <c r="X424" s="237"/>
      <c r="Y424" s="237"/>
      <c r="Z424" s="237"/>
    </row>
    <row r="425" spans="1:26">
      <c r="A425" s="238"/>
      <c r="B425" s="237"/>
      <c r="D425" s="237"/>
      <c r="E425" s="237"/>
      <c r="F425" s="237"/>
      <c r="G425" s="237"/>
      <c r="H425" s="237"/>
      <c r="I425" s="237"/>
      <c r="J425" s="237"/>
      <c r="K425" s="237"/>
      <c r="L425" s="237"/>
      <c r="M425" s="237"/>
      <c r="N425" s="237"/>
      <c r="O425" s="237"/>
      <c r="P425" s="237"/>
      <c r="Q425" s="237"/>
      <c r="R425" s="237"/>
      <c r="S425" s="237"/>
      <c r="T425" s="237"/>
      <c r="U425" s="237"/>
      <c r="V425" s="237"/>
      <c r="W425" s="237"/>
      <c r="X425" s="237"/>
      <c r="Y425" s="237"/>
      <c r="Z425" s="237"/>
    </row>
    <row r="426" spans="1:26">
      <c r="A426" s="238"/>
      <c r="B426" s="237"/>
      <c r="D426" s="237"/>
      <c r="E426" s="237"/>
      <c r="F426" s="237"/>
      <c r="G426" s="237"/>
      <c r="H426" s="237"/>
      <c r="I426" s="237"/>
      <c r="J426" s="237"/>
      <c r="K426" s="237"/>
      <c r="L426" s="237"/>
      <c r="M426" s="237"/>
      <c r="N426" s="237"/>
      <c r="O426" s="237"/>
      <c r="P426" s="237"/>
      <c r="Q426" s="237"/>
      <c r="R426" s="237"/>
      <c r="S426" s="237"/>
      <c r="T426" s="237"/>
      <c r="U426" s="237"/>
      <c r="V426" s="237"/>
      <c r="W426" s="237"/>
      <c r="X426" s="237"/>
      <c r="Y426" s="237"/>
      <c r="Z426" s="237"/>
    </row>
    <row r="427" spans="1:26">
      <c r="A427" s="238"/>
      <c r="B427" s="237"/>
      <c r="D427" s="237"/>
      <c r="E427" s="237"/>
      <c r="F427" s="237"/>
      <c r="G427" s="237"/>
      <c r="H427" s="237"/>
      <c r="I427" s="237"/>
      <c r="J427" s="237"/>
      <c r="K427" s="237"/>
      <c r="L427" s="237"/>
      <c r="M427" s="237"/>
      <c r="N427" s="237"/>
      <c r="O427" s="237"/>
      <c r="P427" s="237"/>
      <c r="Q427" s="237"/>
      <c r="R427" s="237"/>
      <c r="S427" s="237"/>
      <c r="T427" s="237"/>
      <c r="U427" s="237"/>
      <c r="V427" s="237"/>
      <c r="W427" s="237"/>
      <c r="X427" s="237"/>
      <c r="Y427" s="237"/>
      <c r="Z427" s="237"/>
    </row>
    <row r="428" spans="1:26">
      <c r="A428" s="238"/>
      <c r="B428" s="237"/>
      <c r="D428" s="237"/>
      <c r="E428" s="237"/>
      <c r="F428" s="237"/>
      <c r="G428" s="237"/>
      <c r="H428" s="237"/>
      <c r="I428" s="237"/>
      <c r="J428" s="237"/>
      <c r="K428" s="237"/>
      <c r="L428" s="237"/>
      <c r="M428" s="237"/>
      <c r="N428" s="237"/>
      <c r="O428" s="237"/>
      <c r="P428" s="237"/>
      <c r="Q428" s="237"/>
      <c r="R428" s="237"/>
      <c r="S428" s="237"/>
      <c r="T428" s="237"/>
      <c r="U428" s="237"/>
      <c r="V428" s="237"/>
      <c r="W428" s="237"/>
      <c r="X428" s="237"/>
      <c r="Y428" s="237"/>
      <c r="Z428" s="237"/>
    </row>
    <row r="429" spans="1:26">
      <c r="A429" s="238"/>
      <c r="B429" s="237"/>
      <c r="D429" s="237"/>
      <c r="E429" s="237"/>
      <c r="F429" s="237"/>
      <c r="G429" s="237"/>
      <c r="H429" s="237"/>
      <c r="I429" s="237"/>
      <c r="J429" s="237"/>
      <c r="K429" s="237"/>
      <c r="L429" s="237"/>
      <c r="M429" s="237"/>
      <c r="N429" s="237"/>
      <c r="O429" s="237"/>
      <c r="P429" s="237"/>
      <c r="Q429" s="237"/>
      <c r="R429" s="237"/>
      <c r="S429" s="237"/>
      <c r="T429" s="237"/>
      <c r="U429" s="237"/>
      <c r="V429" s="237"/>
      <c r="W429" s="237"/>
      <c r="X429" s="237"/>
      <c r="Y429" s="237"/>
      <c r="Z429" s="237"/>
    </row>
    <row r="430" spans="1:26">
      <c r="A430" s="238"/>
      <c r="B430" s="237"/>
      <c r="D430" s="237"/>
      <c r="E430" s="237"/>
      <c r="F430" s="237"/>
      <c r="G430" s="237"/>
      <c r="H430" s="237"/>
      <c r="I430" s="237"/>
      <c r="J430" s="237"/>
      <c r="K430" s="237"/>
      <c r="L430" s="237"/>
      <c r="M430" s="237"/>
      <c r="N430" s="237"/>
      <c r="O430" s="237"/>
      <c r="P430" s="237"/>
      <c r="Q430" s="237"/>
      <c r="R430" s="237"/>
      <c r="S430" s="237"/>
      <c r="T430" s="237"/>
      <c r="U430" s="237"/>
      <c r="V430" s="237"/>
      <c r="W430" s="237"/>
      <c r="X430" s="237"/>
      <c r="Y430" s="237"/>
      <c r="Z430" s="237"/>
    </row>
    <row r="431" spans="1:26">
      <c r="A431" s="238"/>
      <c r="B431" s="237"/>
      <c r="D431" s="237"/>
      <c r="E431" s="237"/>
      <c r="F431" s="237"/>
      <c r="G431" s="237"/>
      <c r="H431" s="237"/>
      <c r="I431" s="237"/>
      <c r="J431" s="237"/>
      <c r="K431" s="237"/>
      <c r="L431" s="237"/>
      <c r="M431" s="237"/>
      <c r="N431" s="237"/>
      <c r="O431" s="237"/>
      <c r="P431" s="237"/>
      <c r="Q431" s="237"/>
      <c r="R431" s="237"/>
      <c r="S431" s="237"/>
      <c r="T431" s="237"/>
      <c r="U431" s="237"/>
      <c r="V431" s="237"/>
      <c r="W431" s="237"/>
      <c r="X431" s="237"/>
      <c r="Y431" s="237"/>
      <c r="Z431" s="237"/>
    </row>
    <row r="432" spans="1:26">
      <c r="A432" s="238"/>
      <c r="B432" s="237"/>
      <c r="D432" s="237"/>
      <c r="E432" s="237"/>
      <c r="F432" s="237"/>
      <c r="G432" s="237"/>
      <c r="H432" s="237"/>
      <c r="I432" s="237"/>
      <c r="J432" s="237"/>
      <c r="K432" s="237"/>
      <c r="L432" s="237"/>
      <c r="M432" s="237"/>
      <c r="N432" s="237"/>
      <c r="O432" s="237"/>
      <c r="P432" s="237"/>
      <c r="Q432" s="237"/>
      <c r="R432" s="237"/>
      <c r="S432" s="237"/>
      <c r="T432" s="237"/>
      <c r="U432" s="237"/>
      <c r="V432" s="237"/>
      <c r="W432" s="237"/>
      <c r="X432" s="237"/>
      <c r="Y432" s="237"/>
      <c r="Z432" s="237"/>
    </row>
    <row r="433" spans="1:26">
      <c r="A433" s="238"/>
      <c r="B433" s="237"/>
      <c r="D433" s="237"/>
      <c r="E433" s="237"/>
      <c r="F433" s="237"/>
      <c r="G433" s="237"/>
      <c r="H433" s="237"/>
      <c r="I433" s="237"/>
      <c r="J433" s="237"/>
      <c r="K433" s="237"/>
      <c r="L433" s="237"/>
      <c r="M433" s="237"/>
      <c r="N433" s="237"/>
      <c r="O433" s="237"/>
      <c r="P433" s="237"/>
      <c r="Q433" s="237"/>
      <c r="R433" s="237"/>
      <c r="S433" s="237"/>
      <c r="T433" s="237"/>
      <c r="U433" s="237"/>
      <c r="V433" s="237"/>
      <c r="W433" s="237"/>
      <c r="X433" s="237"/>
      <c r="Y433" s="237"/>
      <c r="Z433" s="237"/>
    </row>
    <row r="434" spans="1:26">
      <c r="A434" s="238"/>
      <c r="B434" s="237"/>
      <c r="D434" s="237"/>
      <c r="E434" s="237"/>
      <c r="F434" s="237"/>
      <c r="G434" s="237"/>
      <c r="H434" s="237"/>
      <c r="I434" s="237"/>
      <c r="J434" s="237"/>
      <c r="K434" s="237"/>
      <c r="L434" s="237"/>
      <c r="M434" s="237"/>
      <c r="N434" s="237"/>
      <c r="O434" s="237"/>
      <c r="P434" s="237"/>
      <c r="Q434" s="237"/>
      <c r="R434" s="237"/>
      <c r="S434" s="237"/>
      <c r="T434" s="237"/>
      <c r="U434" s="237"/>
      <c r="V434" s="237"/>
      <c r="W434" s="237"/>
      <c r="X434" s="237"/>
      <c r="Y434" s="237"/>
      <c r="Z434" s="237"/>
    </row>
    <row r="435" spans="1:26">
      <c r="A435" s="238"/>
      <c r="B435" s="237"/>
      <c r="D435" s="237"/>
      <c r="E435" s="237"/>
      <c r="F435" s="237"/>
      <c r="G435" s="237"/>
      <c r="H435" s="237"/>
      <c r="I435" s="237"/>
      <c r="J435" s="237"/>
      <c r="K435" s="237"/>
      <c r="L435" s="237"/>
      <c r="M435" s="237"/>
      <c r="N435" s="237"/>
      <c r="O435" s="237"/>
      <c r="P435" s="237"/>
      <c r="Q435" s="237"/>
      <c r="R435" s="237"/>
      <c r="S435" s="237"/>
      <c r="T435" s="237"/>
      <c r="U435" s="237"/>
      <c r="V435" s="237"/>
      <c r="W435" s="237"/>
      <c r="X435" s="237"/>
      <c r="Y435" s="237"/>
      <c r="Z435" s="237"/>
    </row>
    <row r="436" spans="1:26">
      <c r="A436" s="238"/>
      <c r="B436" s="237"/>
      <c r="D436" s="237"/>
      <c r="E436" s="237"/>
      <c r="F436" s="237"/>
      <c r="G436" s="237"/>
      <c r="H436" s="237"/>
      <c r="I436" s="237"/>
      <c r="J436" s="237"/>
      <c r="K436" s="237"/>
      <c r="L436" s="237"/>
      <c r="M436" s="237"/>
      <c r="N436" s="237"/>
      <c r="O436" s="237"/>
      <c r="P436" s="237"/>
      <c r="Q436" s="237"/>
      <c r="R436" s="237"/>
      <c r="S436" s="237"/>
      <c r="T436" s="237"/>
      <c r="U436" s="237"/>
      <c r="V436" s="237"/>
      <c r="W436" s="237"/>
      <c r="X436" s="237"/>
      <c r="Y436" s="237"/>
      <c r="Z436" s="237"/>
    </row>
    <row r="437" spans="1:26">
      <c r="A437" s="238"/>
      <c r="B437" s="237"/>
      <c r="D437" s="237"/>
      <c r="E437" s="237"/>
      <c r="F437" s="237"/>
      <c r="G437" s="237"/>
      <c r="H437" s="237"/>
      <c r="I437" s="237"/>
      <c r="J437" s="237"/>
      <c r="K437" s="237"/>
      <c r="L437" s="237"/>
      <c r="M437" s="237"/>
      <c r="N437" s="237"/>
      <c r="O437" s="237"/>
      <c r="P437" s="237"/>
      <c r="Q437" s="237"/>
      <c r="R437" s="237"/>
      <c r="S437" s="237"/>
      <c r="T437" s="237"/>
      <c r="U437" s="237"/>
      <c r="V437" s="237"/>
      <c r="W437" s="237"/>
      <c r="X437" s="237"/>
      <c r="Y437" s="237"/>
      <c r="Z437" s="237"/>
    </row>
    <row r="438" spans="1:26">
      <c r="A438" s="238"/>
      <c r="B438" s="237"/>
      <c r="D438" s="237"/>
      <c r="E438" s="237"/>
      <c r="F438" s="237"/>
      <c r="G438" s="237"/>
      <c r="H438" s="237"/>
      <c r="I438" s="237"/>
      <c r="J438" s="237"/>
      <c r="K438" s="237"/>
      <c r="L438" s="237"/>
      <c r="M438" s="237"/>
      <c r="N438" s="237"/>
      <c r="O438" s="237"/>
      <c r="P438" s="237"/>
      <c r="Q438" s="237"/>
      <c r="R438" s="237"/>
      <c r="S438" s="237"/>
      <c r="T438" s="237"/>
      <c r="U438" s="237"/>
      <c r="V438" s="237"/>
      <c r="W438" s="237"/>
      <c r="X438" s="237"/>
      <c r="Y438" s="237"/>
      <c r="Z438" s="237"/>
    </row>
    <row r="439" spans="1:26">
      <c r="A439" s="238"/>
      <c r="B439" s="237"/>
      <c r="D439" s="237"/>
      <c r="E439" s="237"/>
      <c r="F439" s="237"/>
      <c r="G439" s="237"/>
      <c r="H439" s="237"/>
      <c r="I439" s="237"/>
      <c r="J439" s="237"/>
      <c r="K439" s="237"/>
      <c r="L439" s="237"/>
      <c r="M439" s="237"/>
      <c r="N439" s="237"/>
      <c r="O439" s="237"/>
      <c r="P439" s="237"/>
      <c r="Q439" s="237"/>
      <c r="R439" s="237"/>
      <c r="S439" s="237"/>
      <c r="T439" s="237"/>
      <c r="U439" s="237"/>
      <c r="V439" s="237"/>
      <c r="W439" s="237"/>
      <c r="X439" s="237"/>
      <c r="Y439" s="237"/>
      <c r="Z439" s="237"/>
    </row>
    <row r="440" spans="1:26">
      <c r="A440" s="238"/>
      <c r="B440" s="237"/>
      <c r="D440" s="237"/>
      <c r="E440" s="237"/>
      <c r="F440" s="237"/>
      <c r="G440" s="237"/>
      <c r="H440" s="237"/>
      <c r="I440" s="237"/>
      <c r="J440" s="237"/>
      <c r="K440" s="237"/>
      <c r="L440" s="237"/>
      <c r="M440" s="237"/>
      <c r="N440" s="237"/>
      <c r="O440" s="237"/>
      <c r="P440" s="237"/>
      <c r="Q440" s="237"/>
      <c r="R440" s="237"/>
      <c r="S440" s="237"/>
      <c r="T440" s="237"/>
      <c r="U440" s="237"/>
      <c r="V440" s="237"/>
      <c r="W440" s="237"/>
      <c r="X440" s="237"/>
      <c r="Y440" s="237"/>
      <c r="Z440" s="237"/>
    </row>
    <row r="441" spans="1:26">
      <c r="A441" s="238"/>
      <c r="B441" s="237"/>
      <c r="D441" s="237"/>
      <c r="E441" s="237"/>
      <c r="F441" s="237"/>
      <c r="G441" s="237"/>
      <c r="H441" s="237"/>
      <c r="I441" s="237"/>
      <c r="J441" s="237"/>
      <c r="K441" s="237"/>
      <c r="L441" s="237"/>
      <c r="M441" s="237"/>
      <c r="N441" s="237"/>
      <c r="O441" s="237"/>
      <c r="P441" s="237"/>
      <c r="Q441" s="237"/>
      <c r="R441" s="237"/>
      <c r="S441" s="237"/>
      <c r="T441" s="237"/>
      <c r="U441" s="237"/>
      <c r="V441" s="237"/>
      <c r="W441" s="237"/>
      <c r="X441" s="237"/>
      <c r="Y441" s="237"/>
      <c r="Z441" s="237"/>
    </row>
    <row r="442" spans="1:26">
      <c r="A442" s="238"/>
      <c r="B442" s="237"/>
      <c r="D442" s="237"/>
      <c r="E442" s="237"/>
      <c r="F442" s="237"/>
      <c r="G442" s="237"/>
      <c r="H442" s="237"/>
      <c r="I442" s="237"/>
      <c r="J442" s="237"/>
      <c r="K442" s="237"/>
      <c r="L442" s="237"/>
      <c r="M442" s="237"/>
      <c r="N442" s="237"/>
      <c r="O442" s="237"/>
      <c r="P442" s="237"/>
      <c r="Q442" s="237"/>
      <c r="R442" s="237"/>
      <c r="S442" s="237"/>
      <c r="T442" s="237"/>
      <c r="U442" s="237"/>
      <c r="V442" s="237"/>
      <c r="W442" s="237"/>
      <c r="X442" s="237"/>
      <c r="Y442" s="237"/>
      <c r="Z442" s="237"/>
    </row>
    <row r="443" spans="1:26">
      <c r="A443" s="238"/>
      <c r="B443" s="237"/>
      <c r="D443" s="237"/>
      <c r="E443" s="237"/>
      <c r="F443" s="237"/>
      <c r="G443" s="237"/>
      <c r="H443" s="237"/>
      <c r="I443" s="237"/>
      <c r="J443" s="237"/>
      <c r="K443" s="237"/>
      <c r="L443" s="237"/>
      <c r="M443" s="237"/>
      <c r="N443" s="237"/>
      <c r="O443" s="237"/>
      <c r="P443" s="237"/>
      <c r="Q443" s="237"/>
      <c r="R443" s="237"/>
      <c r="S443" s="237"/>
      <c r="T443" s="237"/>
      <c r="U443" s="237"/>
      <c r="V443" s="237"/>
      <c r="W443" s="237"/>
      <c r="X443" s="237"/>
      <c r="Y443" s="237"/>
      <c r="Z443" s="237"/>
    </row>
    <row r="444" spans="1:26">
      <c r="A444" s="238"/>
      <c r="B444" s="237"/>
      <c r="D444" s="237"/>
      <c r="E444" s="237"/>
      <c r="F444" s="237"/>
      <c r="G444" s="237"/>
      <c r="H444" s="237"/>
      <c r="I444" s="237"/>
      <c r="J444" s="237"/>
      <c r="K444" s="237"/>
      <c r="L444" s="237"/>
      <c r="M444" s="237"/>
      <c r="N444" s="237"/>
      <c r="O444" s="237"/>
      <c r="P444" s="237"/>
      <c r="Q444" s="237"/>
      <c r="R444" s="237"/>
      <c r="S444" s="237"/>
      <c r="T444" s="237"/>
      <c r="U444" s="237"/>
      <c r="V444" s="237"/>
      <c r="W444" s="237"/>
      <c r="X444" s="237"/>
      <c r="Y444" s="237"/>
      <c r="Z444" s="237"/>
    </row>
    <row r="445" spans="1:26">
      <c r="A445" s="238"/>
      <c r="B445" s="237"/>
      <c r="D445" s="237"/>
      <c r="E445" s="237"/>
      <c r="F445" s="237"/>
      <c r="G445" s="237"/>
      <c r="H445" s="237"/>
      <c r="I445" s="237"/>
      <c r="J445" s="237"/>
      <c r="K445" s="237"/>
      <c r="L445" s="237"/>
      <c r="M445" s="237"/>
      <c r="N445" s="237"/>
      <c r="O445" s="237"/>
      <c r="P445" s="237"/>
      <c r="Q445" s="237"/>
      <c r="R445" s="237"/>
      <c r="S445" s="237"/>
      <c r="T445" s="237"/>
      <c r="U445" s="237"/>
      <c r="V445" s="237"/>
      <c r="W445" s="237"/>
      <c r="X445" s="237"/>
      <c r="Y445" s="237"/>
      <c r="Z445" s="237"/>
    </row>
    <row r="446" spans="1:26">
      <c r="A446" s="238"/>
      <c r="B446" s="237"/>
      <c r="D446" s="237"/>
      <c r="E446" s="237"/>
      <c r="F446" s="237"/>
      <c r="G446" s="237"/>
      <c r="H446" s="237"/>
      <c r="I446" s="237"/>
      <c r="J446" s="237"/>
      <c r="K446" s="237"/>
      <c r="L446" s="237"/>
      <c r="M446" s="237"/>
      <c r="N446" s="237"/>
      <c r="O446" s="237"/>
      <c r="P446" s="237"/>
      <c r="Q446" s="237"/>
      <c r="R446" s="237"/>
      <c r="S446" s="237"/>
      <c r="T446" s="237"/>
      <c r="U446" s="237"/>
      <c r="V446" s="237"/>
      <c r="W446" s="237"/>
      <c r="X446" s="237"/>
      <c r="Y446" s="237"/>
      <c r="Z446" s="237"/>
    </row>
    <row r="447" spans="1:26">
      <c r="A447" s="238"/>
      <c r="B447" s="237"/>
      <c r="D447" s="237"/>
      <c r="E447" s="237"/>
      <c r="F447" s="237"/>
      <c r="G447" s="237"/>
      <c r="H447" s="237"/>
      <c r="I447" s="237"/>
      <c r="J447" s="237"/>
      <c r="K447" s="237"/>
      <c r="L447" s="237"/>
      <c r="M447" s="237"/>
      <c r="N447" s="237"/>
      <c r="O447" s="237"/>
      <c r="P447" s="237"/>
      <c r="Q447" s="237"/>
      <c r="R447" s="237"/>
      <c r="S447" s="237"/>
      <c r="T447" s="237"/>
      <c r="U447" s="237"/>
      <c r="V447" s="237"/>
      <c r="W447" s="237"/>
      <c r="X447" s="237"/>
      <c r="Y447" s="237"/>
      <c r="Z447" s="237"/>
    </row>
    <row r="448" spans="1:26">
      <c r="A448" s="238"/>
      <c r="B448" s="237"/>
      <c r="D448" s="237"/>
      <c r="E448" s="237"/>
      <c r="F448" s="237"/>
      <c r="G448" s="237"/>
      <c r="H448" s="237"/>
      <c r="I448" s="237"/>
      <c r="J448" s="237"/>
      <c r="K448" s="237"/>
      <c r="L448" s="237"/>
      <c r="M448" s="237"/>
      <c r="N448" s="237"/>
      <c r="O448" s="237"/>
      <c r="P448" s="237"/>
      <c r="Q448" s="237"/>
      <c r="R448" s="237"/>
      <c r="S448" s="237"/>
      <c r="T448" s="237"/>
      <c r="U448" s="237"/>
      <c r="V448" s="237"/>
      <c r="W448" s="237"/>
      <c r="X448" s="237"/>
      <c r="Y448" s="237"/>
      <c r="Z448" s="237"/>
    </row>
    <row r="449" spans="1:26">
      <c r="A449" s="238"/>
      <c r="B449" s="237"/>
      <c r="D449" s="237"/>
      <c r="E449" s="237"/>
      <c r="F449" s="237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7"/>
      <c r="S449" s="237"/>
      <c r="T449" s="237"/>
      <c r="U449" s="237"/>
      <c r="V449" s="237"/>
      <c r="W449" s="237"/>
      <c r="X449" s="237"/>
      <c r="Y449" s="237"/>
      <c r="Z449" s="237"/>
    </row>
    <row r="450" spans="1:26">
      <c r="A450" s="238"/>
      <c r="B450" s="237"/>
      <c r="D450" s="237"/>
      <c r="E450" s="237"/>
      <c r="F450" s="237"/>
      <c r="G450" s="237"/>
      <c r="H450" s="237"/>
      <c r="I450" s="237"/>
      <c r="J450" s="237"/>
      <c r="K450" s="237"/>
      <c r="L450" s="237"/>
      <c r="M450" s="237"/>
      <c r="N450" s="237"/>
      <c r="O450" s="237"/>
      <c r="P450" s="237"/>
      <c r="Q450" s="237"/>
      <c r="R450" s="237"/>
      <c r="S450" s="237"/>
      <c r="T450" s="237"/>
      <c r="U450" s="237"/>
      <c r="V450" s="237"/>
      <c r="W450" s="237"/>
      <c r="X450" s="237"/>
      <c r="Y450" s="237"/>
      <c r="Z450" s="237"/>
    </row>
    <row r="451" spans="1:26">
      <c r="A451" s="238"/>
      <c r="B451" s="237"/>
      <c r="D451" s="237"/>
      <c r="E451" s="237"/>
      <c r="F451" s="237"/>
      <c r="G451" s="237"/>
      <c r="H451" s="237"/>
      <c r="I451" s="237"/>
      <c r="J451" s="237"/>
      <c r="K451" s="237"/>
      <c r="L451" s="237"/>
      <c r="M451" s="237"/>
      <c r="N451" s="237"/>
      <c r="O451" s="237"/>
      <c r="P451" s="237"/>
      <c r="Q451" s="237"/>
      <c r="R451" s="237"/>
      <c r="S451" s="237"/>
      <c r="T451" s="237"/>
      <c r="U451" s="237"/>
      <c r="V451" s="237"/>
      <c r="W451" s="237"/>
      <c r="X451" s="237"/>
      <c r="Y451" s="237"/>
      <c r="Z451" s="237"/>
    </row>
    <row r="452" spans="1:26">
      <c r="A452" s="238"/>
      <c r="B452" s="237"/>
      <c r="D452" s="237"/>
      <c r="E452" s="237"/>
      <c r="F452" s="237"/>
      <c r="G452" s="237"/>
      <c r="H452" s="237"/>
      <c r="I452" s="237"/>
      <c r="J452" s="237"/>
      <c r="K452" s="237"/>
      <c r="L452" s="237"/>
      <c r="M452" s="237"/>
      <c r="N452" s="237"/>
      <c r="O452" s="237"/>
      <c r="P452" s="237"/>
      <c r="Q452" s="237"/>
      <c r="R452" s="237"/>
      <c r="S452" s="237"/>
      <c r="T452" s="237"/>
      <c r="U452" s="237"/>
      <c r="V452" s="237"/>
      <c r="W452" s="237"/>
      <c r="X452" s="237"/>
      <c r="Y452" s="237"/>
      <c r="Z452" s="237"/>
    </row>
    <row r="453" spans="1:26">
      <c r="A453" s="238"/>
      <c r="B453" s="237"/>
      <c r="D453" s="237"/>
      <c r="E453" s="237"/>
      <c r="F453" s="237"/>
      <c r="G453" s="237"/>
      <c r="H453" s="237"/>
      <c r="I453" s="237"/>
      <c r="J453" s="237"/>
      <c r="K453" s="237"/>
      <c r="L453" s="237"/>
      <c r="M453" s="237"/>
      <c r="N453" s="237"/>
      <c r="O453" s="237"/>
      <c r="P453" s="237"/>
      <c r="Q453" s="237"/>
      <c r="R453" s="237"/>
      <c r="S453" s="237"/>
      <c r="T453" s="237"/>
      <c r="U453" s="237"/>
      <c r="V453" s="237"/>
      <c r="W453" s="237"/>
      <c r="X453" s="237"/>
      <c r="Y453" s="237"/>
      <c r="Z453" s="237"/>
    </row>
    <row r="454" spans="1:26">
      <c r="A454" s="238"/>
      <c r="B454" s="237"/>
      <c r="D454" s="237"/>
      <c r="E454" s="237"/>
      <c r="F454" s="237"/>
      <c r="G454" s="237"/>
      <c r="H454" s="237"/>
      <c r="I454" s="237"/>
      <c r="J454" s="237"/>
      <c r="K454" s="237"/>
      <c r="L454" s="237"/>
      <c r="M454" s="237"/>
      <c r="N454" s="237"/>
      <c r="O454" s="237"/>
      <c r="P454" s="237"/>
      <c r="Q454" s="237"/>
      <c r="R454" s="237"/>
      <c r="S454" s="237"/>
      <c r="T454" s="237"/>
      <c r="U454" s="237"/>
      <c r="V454" s="237"/>
      <c r="W454" s="237"/>
      <c r="X454" s="237"/>
      <c r="Y454" s="237"/>
      <c r="Z454" s="237"/>
    </row>
    <row r="455" spans="1:26">
      <c r="A455" s="238"/>
      <c r="B455" s="237"/>
      <c r="D455" s="237"/>
      <c r="E455" s="237"/>
      <c r="F455" s="237"/>
      <c r="G455" s="237"/>
      <c r="H455" s="237"/>
      <c r="I455" s="237"/>
      <c r="J455" s="237"/>
      <c r="K455" s="237"/>
      <c r="L455" s="237"/>
      <c r="M455" s="237"/>
      <c r="N455" s="237"/>
      <c r="O455" s="237"/>
      <c r="P455" s="237"/>
      <c r="Q455" s="237"/>
      <c r="R455" s="237"/>
      <c r="S455" s="237"/>
      <c r="T455" s="237"/>
      <c r="U455" s="237"/>
      <c r="V455" s="237"/>
      <c r="W455" s="237"/>
      <c r="X455" s="237"/>
      <c r="Y455" s="237"/>
      <c r="Z455" s="237"/>
    </row>
    <row r="456" spans="1:26">
      <c r="A456" s="238"/>
      <c r="B456" s="237"/>
      <c r="D456" s="237"/>
      <c r="E456" s="237"/>
      <c r="F456" s="237"/>
      <c r="G456" s="237"/>
      <c r="H456" s="237"/>
      <c r="I456" s="237"/>
      <c r="J456" s="237"/>
      <c r="K456" s="237"/>
      <c r="L456" s="237"/>
      <c r="M456" s="237"/>
      <c r="N456" s="237"/>
      <c r="O456" s="237"/>
      <c r="P456" s="237"/>
      <c r="Q456" s="237"/>
      <c r="R456" s="237"/>
      <c r="S456" s="237"/>
      <c r="T456" s="237"/>
      <c r="U456" s="237"/>
      <c r="V456" s="237"/>
      <c r="W456" s="237"/>
      <c r="X456" s="237"/>
      <c r="Y456" s="237"/>
      <c r="Z456" s="237"/>
    </row>
    <row r="457" spans="1:26">
      <c r="A457" s="238"/>
      <c r="B457" s="237"/>
      <c r="D457" s="237"/>
      <c r="E457" s="237"/>
      <c r="F457" s="237"/>
      <c r="G457" s="237"/>
      <c r="H457" s="237"/>
      <c r="I457" s="237"/>
      <c r="J457" s="237"/>
      <c r="K457" s="237"/>
      <c r="L457" s="237"/>
      <c r="M457" s="237"/>
      <c r="N457" s="237"/>
      <c r="O457" s="237"/>
      <c r="P457" s="237"/>
      <c r="Q457" s="237"/>
      <c r="R457" s="237"/>
      <c r="S457" s="237"/>
      <c r="T457" s="237"/>
      <c r="U457" s="237"/>
      <c r="V457" s="237"/>
      <c r="W457" s="237"/>
      <c r="X457" s="237"/>
      <c r="Y457" s="237"/>
      <c r="Z457" s="237"/>
    </row>
    <row r="458" spans="1:26">
      <c r="A458" s="238"/>
      <c r="B458" s="237"/>
      <c r="D458" s="237"/>
      <c r="E458" s="237"/>
      <c r="F458" s="237"/>
      <c r="G458" s="237"/>
      <c r="H458" s="237"/>
      <c r="I458" s="237"/>
      <c r="J458" s="237"/>
      <c r="K458" s="237"/>
      <c r="L458" s="237"/>
      <c r="M458" s="237"/>
      <c r="N458" s="237"/>
      <c r="O458" s="237"/>
      <c r="P458" s="237"/>
      <c r="Q458" s="237"/>
      <c r="R458" s="237"/>
      <c r="S458" s="237"/>
      <c r="T458" s="237"/>
      <c r="U458" s="237"/>
      <c r="V458" s="237"/>
      <c r="W458" s="237"/>
      <c r="X458" s="237"/>
      <c r="Y458" s="237"/>
      <c r="Z458" s="237"/>
    </row>
    <row r="459" spans="1:26">
      <c r="A459" s="238"/>
      <c r="B459" s="237"/>
      <c r="D459" s="237"/>
      <c r="E459" s="237"/>
      <c r="F459" s="237"/>
      <c r="G459" s="237"/>
      <c r="H459" s="237"/>
      <c r="I459" s="237"/>
      <c r="J459" s="237"/>
      <c r="K459" s="237"/>
      <c r="L459" s="237"/>
      <c r="M459" s="237"/>
      <c r="N459" s="237"/>
      <c r="O459" s="237"/>
      <c r="P459" s="237"/>
      <c r="Q459" s="237"/>
      <c r="R459" s="237"/>
      <c r="S459" s="237"/>
      <c r="T459" s="237"/>
      <c r="U459" s="237"/>
      <c r="V459" s="237"/>
      <c r="W459" s="237"/>
      <c r="X459" s="237"/>
      <c r="Y459" s="237"/>
      <c r="Z459" s="237"/>
    </row>
    <row r="460" spans="1:26">
      <c r="A460" s="238"/>
      <c r="B460" s="237"/>
      <c r="D460" s="237"/>
      <c r="E460" s="237"/>
      <c r="F460" s="237"/>
      <c r="G460" s="237"/>
      <c r="H460" s="237"/>
      <c r="I460" s="237"/>
      <c r="J460" s="237"/>
      <c r="K460" s="237"/>
      <c r="L460" s="237"/>
      <c r="M460" s="237"/>
      <c r="N460" s="237"/>
      <c r="O460" s="237"/>
      <c r="P460" s="237"/>
      <c r="Q460" s="237"/>
      <c r="R460" s="237"/>
      <c r="S460" s="237"/>
      <c r="T460" s="237"/>
      <c r="U460" s="237"/>
      <c r="V460" s="237"/>
      <c r="W460" s="237"/>
      <c r="X460" s="237"/>
      <c r="Y460" s="237"/>
      <c r="Z460" s="237"/>
    </row>
    <row r="461" spans="1:26">
      <c r="A461" s="238"/>
      <c r="B461" s="237"/>
      <c r="D461" s="237"/>
      <c r="E461" s="237"/>
      <c r="F461" s="237"/>
      <c r="G461" s="237"/>
      <c r="H461" s="237"/>
      <c r="I461" s="237"/>
      <c r="J461" s="237"/>
      <c r="K461" s="237"/>
      <c r="L461" s="237"/>
      <c r="M461" s="237"/>
      <c r="N461" s="237"/>
      <c r="O461" s="237"/>
      <c r="P461" s="237"/>
      <c r="Q461" s="237"/>
      <c r="R461" s="237"/>
      <c r="S461" s="237"/>
      <c r="T461" s="237"/>
      <c r="U461" s="237"/>
      <c r="V461" s="237"/>
      <c r="W461" s="237"/>
      <c r="X461" s="237"/>
      <c r="Y461" s="237"/>
      <c r="Z461" s="237"/>
    </row>
    <row r="462" spans="1:26">
      <c r="A462" s="238"/>
      <c r="B462" s="237"/>
      <c r="D462" s="237"/>
      <c r="E462" s="237"/>
      <c r="F462" s="237"/>
      <c r="G462" s="237"/>
      <c r="H462" s="237"/>
      <c r="I462" s="237"/>
      <c r="J462" s="237"/>
      <c r="K462" s="237"/>
      <c r="L462" s="237"/>
      <c r="M462" s="237"/>
      <c r="N462" s="237"/>
      <c r="O462" s="237"/>
      <c r="P462" s="237"/>
      <c r="Q462" s="237"/>
      <c r="R462" s="237"/>
      <c r="S462" s="237"/>
      <c r="T462" s="237"/>
      <c r="U462" s="237"/>
      <c r="V462" s="237"/>
      <c r="W462" s="237"/>
      <c r="X462" s="237"/>
      <c r="Y462" s="237"/>
      <c r="Z462" s="237"/>
    </row>
    <row r="463" spans="1:26">
      <c r="A463" s="238"/>
      <c r="B463" s="237"/>
      <c r="D463" s="237"/>
      <c r="E463" s="237"/>
      <c r="F463" s="237"/>
      <c r="G463" s="237"/>
      <c r="H463" s="237"/>
      <c r="I463" s="237"/>
      <c r="J463" s="237"/>
      <c r="K463" s="237"/>
      <c r="L463" s="237"/>
      <c r="M463" s="237"/>
      <c r="N463" s="237"/>
      <c r="O463" s="237"/>
      <c r="P463" s="237"/>
      <c r="Q463" s="237"/>
      <c r="R463" s="237"/>
      <c r="S463" s="237"/>
      <c r="T463" s="237"/>
      <c r="U463" s="237"/>
      <c r="V463" s="237"/>
      <c r="W463" s="237"/>
      <c r="X463" s="237"/>
      <c r="Y463" s="237"/>
      <c r="Z463" s="237"/>
    </row>
    <row r="464" spans="1:26">
      <c r="A464" s="238"/>
      <c r="B464" s="237"/>
      <c r="D464" s="237"/>
      <c r="E464" s="237"/>
      <c r="F464" s="237"/>
      <c r="G464" s="237"/>
      <c r="H464" s="237"/>
      <c r="I464" s="237"/>
      <c r="J464" s="237"/>
      <c r="K464" s="237"/>
      <c r="L464" s="237"/>
      <c r="M464" s="237"/>
      <c r="N464" s="237"/>
      <c r="O464" s="237"/>
      <c r="P464" s="237"/>
      <c r="Q464" s="237"/>
      <c r="R464" s="237"/>
      <c r="S464" s="237"/>
      <c r="T464" s="237"/>
      <c r="U464" s="237"/>
      <c r="V464" s="237"/>
      <c r="W464" s="237"/>
      <c r="X464" s="237"/>
      <c r="Y464" s="237"/>
      <c r="Z464" s="237"/>
    </row>
    <row r="465" spans="1:26">
      <c r="A465" s="238"/>
      <c r="B465" s="237"/>
      <c r="D465" s="237"/>
      <c r="E465" s="237"/>
      <c r="F465" s="237"/>
      <c r="G465" s="237"/>
      <c r="H465" s="237"/>
      <c r="I465" s="237"/>
      <c r="J465" s="237"/>
      <c r="K465" s="237"/>
      <c r="L465" s="237"/>
      <c r="M465" s="237"/>
      <c r="N465" s="237"/>
      <c r="O465" s="237"/>
      <c r="P465" s="237"/>
      <c r="Q465" s="237"/>
      <c r="R465" s="237"/>
      <c r="S465" s="237"/>
      <c r="T465" s="237"/>
      <c r="U465" s="237"/>
      <c r="V465" s="237"/>
      <c r="W465" s="237"/>
      <c r="X465" s="237"/>
      <c r="Y465" s="237"/>
      <c r="Z465" s="237"/>
    </row>
    <row r="466" spans="1:26">
      <c r="A466" s="238"/>
      <c r="B466" s="237"/>
      <c r="D466" s="237"/>
      <c r="E466" s="237"/>
      <c r="F466" s="237"/>
      <c r="G466" s="237"/>
      <c r="H466" s="237"/>
      <c r="I466" s="237"/>
      <c r="J466" s="237"/>
      <c r="K466" s="237"/>
      <c r="L466" s="237"/>
      <c r="M466" s="237"/>
      <c r="N466" s="237"/>
      <c r="O466" s="237"/>
      <c r="P466" s="237"/>
      <c r="Q466" s="237"/>
      <c r="R466" s="237"/>
      <c r="S466" s="237"/>
      <c r="T466" s="237"/>
      <c r="U466" s="237"/>
      <c r="V466" s="237"/>
      <c r="W466" s="237"/>
      <c r="X466" s="237"/>
      <c r="Y466" s="237"/>
      <c r="Z466" s="237"/>
    </row>
    <row r="467" spans="1:26">
      <c r="A467" s="238"/>
      <c r="B467" s="237"/>
      <c r="D467" s="237"/>
      <c r="E467" s="237"/>
      <c r="F467" s="237"/>
      <c r="G467" s="237"/>
      <c r="H467" s="237"/>
      <c r="I467" s="237"/>
      <c r="J467" s="237"/>
      <c r="K467" s="237"/>
      <c r="L467" s="237"/>
      <c r="M467" s="237"/>
      <c r="N467" s="237"/>
      <c r="O467" s="237"/>
      <c r="P467" s="237"/>
      <c r="Q467" s="237"/>
      <c r="R467" s="237"/>
      <c r="S467" s="237"/>
      <c r="T467" s="237"/>
      <c r="U467" s="237"/>
      <c r="V467" s="237"/>
      <c r="W467" s="237"/>
      <c r="X467" s="237"/>
      <c r="Y467" s="237"/>
      <c r="Z467" s="237"/>
    </row>
    <row r="468" spans="1:26">
      <c r="A468" s="238"/>
      <c r="B468" s="237"/>
      <c r="D468" s="237"/>
      <c r="E468" s="237"/>
      <c r="F468" s="237"/>
      <c r="G468" s="237"/>
      <c r="H468" s="237"/>
      <c r="I468" s="237"/>
      <c r="J468" s="237"/>
      <c r="K468" s="237"/>
      <c r="L468" s="237"/>
      <c r="M468" s="237"/>
      <c r="N468" s="237"/>
      <c r="O468" s="237"/>
      <c r="P468" s="237"/>
      <c r="Q468" s="237"/>
      <c r="R468" s="237"/>
      <c r="S468" s="237"/>
      <c r="T468" s="237"/>
      <c r="U468" s="237"/>
      <c r="V468" s="237"/>
      <c r="W468" s="237"/>
      <c r="X468" s="237"/>
      <c r="Y468" s="237"/>
      <c r="Z468" s="237"/>
    </row>
    <row r="469" spans="1:26">
      <c r="A469" s="238"/>
      <c r="B469" s="237"/>
      <c r="D469" s="237"/>
      <c r="E469" s="237"/>
      <c r="F469" s="237"/>
      <c r="G469" s="237"/>
      <c r="H469" s="237"/>
      <c r="I469" s="237"/>
      <c r="J469" s="237"/>
      <c r="K469" s="237"/>
      <c r="L469" s="237"/>
      <c r="M469" s="237"/>
      <c r="N469" s="237"/>
      <c r="O469" s="237"/>
      <c r="P469" s="237"/>
      <c r="Q469" s="237"/>
      <c r="R469" s="237"/>
      <c r="S469" s="237"/>
      <c r="T469" s="237"/>
      <c r="U469" s="237"/>
      <c r="V469" s="237"/>
      <c r="W469" s="237"/>
      <c r="X469" s="237"/>
      <c r="Y469" s="237"/>
      <c r="Z469" s="237"/>
    </row>
    <row r="470" spans="1:26">
      <c r="A470" s="238"/>
      <c r="B470" s="237"/>
      <c r="D470" s="237"/>
      <c r="E470" s="237"/>
      <c r="F470" s="237"/>
      <c r="G470" s="237"/>
      <c r="H470" s="237"/>
      <c r="I470" s="237"/>
      <c r="J470" s="237"/>
      <c r="K470" s="237"/>
      <c r="L470" s="237"/>
      <c r="M470" s="237"/>
      <c r="N470" s="237"/>
      <c r="O470" s="237"/>
      <c r="P470" s="237"/>
      <c r="Q470" s="237"/>
      <c r="R470" s="237"/>
      <c r="S470" s="237"/>
      <c r="T470" s="237"/>
      <c r="U470" s="237"/>
      <c r="V470" s="237"/>
      <c r="W470" s="237"/>
      <c r="X470" s="237"/>
      <c r="Y470" s="237"/>
      <c r="Z470" s="237"/>
    </row>
    <row r="471" spans="1:26">
      <c r="A471" s="238"/>
      <c r="B471" s="237"/>
      <c r="D471" s="237"/>
      <c r="E471" s="237"/>
      <c r="F471" s="237"/>
      <c r="G471" s="237"/>
      <c r="H471" s="237"/>
      <c r="I471" s="237"/>
      <c r="J471" s="237"/>
      <c r="K471" s="237"/>
      <c r="L471" s="237"/>
      <c r="M471" s="237"/>
      <c r="N471" s="237"/>
      <c r="O471" s="237"/>
      <c r="P471" s="237"/>
      <c r="Q471" s="237"/>
      <c r="R471" s="237"/>
      <c r="S471" s="237"/>
      <c r="T471" s="237"/>
      <c r="U471" s="237"/>
      <c r="V471" s="237"/>
      <c r="W471" s="237"/>
      <c r="X471" s="237"/>
      <c r="Y471" s="237"/>
      <c r="Z471" s="237"/>
    </row>
    <row r="472" spans="1:26">
      <c r="A472" s="238"/>
      <c r="B472" s="237"/>
      <c r="D472" s="237"/>
      <c r="E472" s="237"/>
      <c r="F472" s="237"/>
      <c r="G472" s="237"/>
      <c r="H472" s="237"/>
      <c r="I472" s="237"/>
      <c r="J472" s="237"/>
      <c r="K472" s="237"/>
      <c r="L472" s="237"/>
      <c r="M472" s="237"/>
      <c r="N472" s="237"/>
      <c r="O472" s="237"/>
      <c r="P472" s="237"/>
      <c r="Q472" s="237"/>
      <c r="R472" s="237"/>
      <c r="S472" s="237"/>
      <c r="T472" s="237"/>
      <c r="U472" s="237"/>
      <c r="V472" s="237"/>
      <c r="W472" s="237"/>
      <c r="X472" s="237"/>
      <c r="Y472" s="237"/>
      <c r="Z472" s="237"/>
    </row>
    <row r="473" spans="1:26">
      <c r="A473" s="238"/>
      <c r="B473" s="237"/>
      <c r="D473" s="237"/>
      <c r="E473" s="237"/>
      <c r="F473" s="237"/>
      <c r="G473" s="237"/>
      <c r="H473" s="237"/>
      <c r="I473" s="237"/>
      <c r="J473" s="237"/>
      <c r="K473" s="237"/>
      <c r="L473" s="237"/>
      <c r="M473" s="237"/>
      <c r="N473" s="237"/>
      <c r="O473" s="237"/>
      <c r="P473" s="237"/>
      <c r="Q473" s="237"/>
      <c r="R473" s="237"/>
      <c r="S473" s="237"/>
      <c r="T473" s="237"/>
      <c r="U473" s="237"/>
      <c r="V473" s="237"/>
      <c r="W473" s="237"/>
      <c r="X473" s="237"/>
      <c r="Y473" s="237"/>
      <c r="Z473" s="237"/>
    </row>
    <row r="474" spans="1:26">
      <c r="A474" s="238"/>
      <c r="B474" s="237"/>
      <c r="D474" s="237"/>
      <c r="E474" s="237"/>
      <c r="F474" s="237"/>
      <c r="G474" s="237"/>
      <c r="H474" s="237"/>
      <c r="I474" s="237"/>
      <c r="J474" s="237"/>
      <c r="K474" s="237"/>
      <c r="L474" s="237"/>
      <c r="M474" s="237"/>
      <c r="N474" s="237"/>
      <c r="O474" s="237"/>
      <c r="P474" s="237"/>
      <c r="Q474" s="237"/>
      <c r="R474" s="237"/>
      <c r="S474" s="237"/>
      <c r="T474" s="237"/>
      <c r="U474" s="237"/>
      <c r="V474" s="237"/>
      <c r="W474" s="237"/>
      <c r="X474" s="237"/>
      <c r="Y474" s="237"/>
      <c r="Z474" s="237"/>
    </row>
    <row r="475" spans="1:26">
      <c r="A475" s="238"/>
      <c r="B475" s="237"/>
      <c r="D475" s="237"/>
      <c r="E475" s="237"/>
      <c r="F475" s="237"/>
      <c r="G475" s="237"/>
      <c r="H475" s="237"/>
      <c r="I475" s="237"/>
      <c r="J475" s="237"/>
      <c r="K475" s="237"/>
      <c r="L475" s="237"/>
      <c r="M475" s="237"/>
      <c r="N475" s="237"/>
      <c r="O475" s="237"/>
      <c r="P475" s="237"/>
      <c r="Q475" s="237"/>
      <c r="R475" s="237"/>
      <c r="S475" s="237"/>
      <c r="T475" s="237"/>
      <c r="U475" s="237"/>
      <c r="V475" s="237"/>
      <c r="W475" s="237"/>
      <c r="X475" s="237"/>
      <c r="Y475" s="237"/>
      <c r="Z475" s="237"/>
    </row>
    <row r="476" spans="1:26">
      <c r="A476" s="238"/>
      <c r="B476" s="237"/>
      <c r="D476" s="237"/>
      <c r="E476" s="237"/>
      <c r="F476" s="237"/>
      <c r="G476" s="237"/>
      <c r="H476" s="237"/>
      <c r="I476" s="237"/>
      <c r="J476" s="237"/>
      <c r="K476" s="237"/>
      <c r="L476" s="237"/>
      <c r="M476" s="237"/>
      <c r="N476" s="237"/>
      <c r="O476" s="237"/>
      <c r="P476" s="237"/>
      <c r="Q476" s="237"/>
      <c r="R476" s="237"/>
      <c r="S476" s="237"/>
      <c r="T476" s="237"/>
      <c r="U476" s="237"/>
      <c r="V476" s="237"/>
      <c r="W476" s="237"/>
      <c r="X476" s="237"/>
      <c r="Y476" s="237"/>
      <c r="Z476" s="237"/>
    </row>
    <row r="477" spans="1:26">
      <c r="A477" s="238"/>
      <c r="B477" s="237"/>
      <c r="D477" s="237"/>
      <c r="E477" s="237"/>
      <c r="F477" s="237"/>
      <c r="G477" s="237"/>
      <c r="H477" s="237"/>
      <c r="I477" s="237"/>
      <c r="J477" s="237"/>
      <c r="K477" s="237"/>
      <c r="L477" s="237"/>
      <c r="M477" s="237"/>
      <c r="N477" s="237"/>
      <c r="O477" s="237"/>
      <c r="P477" s="237"/>
      <c r="Q477" s="237"/>
      <c r="R477" s="237"/>
      <c r="S477" s="237"/>
      <c r="T477" s="237"/>
      <c r="U477" s="237"/>
      <c r="V477" s="237"/>
      <c r="W477" s="237"/>
      <c r="X477" s="237"/>
      <c r="Y477" s="237"/>
      <c r="Z477" s="237"/>
    </row>
    <row r="478" spans="1:26">
      <c r="A478" s="238"/>
      <c r="B478" s="237"/>
      <c r="D478" s="237"/>
      <c r="E478" s="237"/>
      <c r="F478" s="237"/>
      <c r="G478" s="237"/>
      <c r="H478" s="237"/>
      <c r="I478" s="237"/>
      <c r="J478" s="237"/>
      <c r="K478" s="237"/>
      <c r="L478" s="237"/>
      <c r="M478" s="237"/>
      <c r="N478" s="237"/>
      <c r="O478" s="237"/>
      <c r="P478" s="237"/>
      <c r="Q478" s="237"/>
      <c r="R478" s="237"/>
      <c r="S478" s="237"/>
      <c r="T478" s="237"/>
      <c r="U478" s="237"/>
      <c r="V478" s="237"/>
      <c r="W478" s="237"/>
      <c r="X478" s="237"/>
      <c r="Y478" s="237"/>
      <c r="Z478" s="237"/>
    </row>
    <row r="479" spans="1:26">
      <c r="A479" s="238"/>
      <c r="B479" s="237"/>
      <c r="D479" s="237"/>
      <c r="E479" s="237"/>
      <c r="F479" s="237"/>
      <c r="G479" s="237"/>
      <c r="H479" s="237"/>
      <c r="I479" s="237"/>
      <c r="J479" s="237"/>
      <c r="K479" s="237"/>
      <c r="L479" s="237"/>
      <c r="M479" s="237"/>
      <c r="N479" s="237"/>
      <c r="O479" s="237"/>
      <c r="P479" s="237"/>
      <c r="Q479" s="237"/>
      <c r="R479" s="237"/>
      <c r="S479" s="237"/>
      <c r="T479" s="237"/>
      <c r="U479" s="237"/>
      <c r="V479" s="237"/>
      <c r="W479" s="237"/>
      <c r="X479" s="237"/>
      <c r="Y479" s="237"/>
      <c r="Z479" s="237"/>
    </row>
    <row r="480" spans="1:26">
      <c r="A480" s="238"/>
      <c r="B480" s="237"/>
      <c r="D480" s="237"/>
      <c r="E480" s="237"/>
      <c r="F480" s="237"/>
      <c r="G480" s="237"/>
      <c r="H480" s="237"/>
      <c r="I480" s="237"/>
      <c r="J480" s="237"/>
      <c r="K480" s="237"/>
      <c r="L480" s="237"/>
      <c r="M480" s="237"/>
      <c r="N480" s="237"/>
      <c r="O480" s="237"/>
      <c r="P480" s="237"/>
      <c r="Q480" s="237"/>
      <c r="R480" s="237"/>
      <c r="S480" s="237"/>
      <c r="T480" s="237"/>
      <c r="U480" s="237"/>
      <c r="V480" s="237"/>
      <c r="W480" s="237"/>
      <c r="X480" s="237"/>
      <c r="Y480" s="237"/>
      <c r="Z480" s="237"/>
    </row>
    <row r="481" spans="1:26">
      <c r="A481" s="238"/>
      <c r="B481" s="237"/>
      <c r="D481" s="237"/>
      <c r="E481" s="237"/>
      <c r="F481" s="237"/>
      <c r="G481" s="237"/>
      <c r="H481" s="237"/>
      <c r="I481" s="237"/>
      <c r="J481" s="237"/>
      <c r="K481" s="237"/>
      <c r="L481" s="237"/>
      <c r="M481" s="237"/>
      <c r="N481" s="237"/>
      <c r="O481" s="237"/>
      <c r="P481" s="237"/>
      <c r="Q481" s="237"/>
      <c r="R481" s="237"/>
      <c r="S481" s="237"/>
      <c r="T481" s="237"/>
      <c r="U481" s="237"/>
      <c r="V481" s="237"/>
      <c r="W481" s="237"/>
      <c r="X481" s="237"/>
      <c r="Y481" s="237"/>
      <c r="Z481" s="237"/>
    </row>
    <row r="482" spans="1:26">
      <c r="A482" s="238"/>
      <c r="B482" s="237"/>
      <c r="D482" s="237"/>
      <c r="E482" s="237"/>
      <c r="F482" s="237"/>
      <c r="G482" s="237"/>
      <c r="H482" s="237"/>
      <c r="I482" s="237"/>
      <c r="J482" s="237"/>
      <c r="K482" s="237"/>
      <c r="L482" s="237"/>
      <c r="M482" s="237"/>
      <c r="N482" s="237"/>
      <c r="O482" s="237"/>
      <c r="P482" s="237"/>
      <c r="Q482" s="237"/>
      <c r="R482" s="237"/>
      <c r="S482" s="237"/>
      <c r="T482" s="237"/>
      <c r="U482" s="237"/>
      <c r="V482" s="237"/>
      <c r="W482" s="237"/>
      <c r="X482" s="237"/>
      <c r="Y482" s="237"/>
      <c r="Z482" s="237"/>
    </row>
    <row r="483" spans="1:26">
      <c r="A483" s="238"/>
      <c r="B483" s="237"/>
      <c r="D483" s="237"/>
      <c r="E483" s="237"/>
      <c r="F483" s="237"/>
      <c r="G483" s="237"/>
      <c r="H483" s="237"/>
      <c r="I483" s="237"/>
      <c r="J483" s="237"/>
      <c r="K483" s="237"/>
      <c r="L483" s="237"/>
      <c r="M483" s="237"/>
      <c r="N483" s="237"/>
      <c r="O483" s="237"/>
      <c r="P483" s="237"/>
      <c r="Q483" s="237"/>
      <c r="R483" s="237"/>
      <c r="S483" s="237"/>
      <c r="T483" s="237"/>
      <c r="U483" s="237"/>
      <c r="V483" s="237"/>
      <c r="W483" s="237"/>
      <c r="X483" s="237"/>
      <c r="Y483" s="237"/>
      <c r="Z483" s="237"/>
    </row>
    <row r="484" spans="1:26">
      <c r="A484" s="238"/>
      <c r="B484" s="237"/>
      <c r="D484" s="237"/>
      <c r="E484" s="237"/>
      <c r="F484" s="237"/>
      <c r="G484" s="237"/>
      <c r="H484" s="237"/>
      <c r="I484" s="237"/>
      <c r="J484" s="237"/>
      <c r="K484" s="237"/>
      <c r="L484" s="237"/>
      <c r="M484" s="237"/>
      <c r="N484" s="237"/>
      <c r="O484" s="237"/>
      <c r="P484" s="237"/>
      <c r="Q484" s="237"/>
      <c r="R484" s="237"/>
      <c r="S484" s="237"/>
      <c r="T484" s="237"/>
      <c r="U484" s="237"/>
      <c r="V484" s="237"/>
      <c r="W484" s="237"/>
      <c r="X484" s="237"/>
      <c r="Y484" s="237"/>
      <c r="Z484" s="237"/>
    </row>
    <row r="485" spans="1:26">
      <c r="A485" s="238"/>
      <c r="B485" s="237"/>
      <c r="D485" s="237"/>
      <c r="E485" s="237"/>
      <c r="F485" s="237"/>
      <c r="G485" s="237"/>
      <c r="H485" s="237"/>
      <c r="I485" s="237"/>
      <c r="J485" s="237"/>
      <c r="K485" s="237"/>
      <c r="L485" s="237"/>
      <c r="M485" s="237"/>
      <c r="N485" s="237"/>
      <c r="O485" s="237"/>
      <c r="P485" s="237"/>
      <c r="Q485" s="237"/>
      <c r="R485" s="237"/>
      <c r="S485" s="237"/>
      <c r="T485" s="237"/>
      <c r="U485" s="237"/>
      <c r="V485" s="237"/>
      <c r="W485" s="237"/>
      <c r="X485" s="237"/>
      <c r="Y485" s="237"/>
      <c r="Z485" s="237"/>
    </row>
    <row r="486" spans="1:26">
      <c r="A486" s="238"/>
      <c r="B486" s="237"/>
      <c r="D486" s="237"/>
      <c r="E486" s="237"/>
      <c r="F486" s="237"/>
      <c r="G486" s="237"/>
      <c r="H486" s="237"/>
      <c r="I486" s="237"/>
      <c r="J486" s="237"/>
      <c r="K486" s="237"/>
      <c r="L486" s="237"/>
      <c r="M486" s="237"/>
      <c r="N486" s="237"/>
      <c r="O486" s="237"/>
      <c r="P486" s="237"/>
      <c r="Q486" s="237"/>
      <c r="R486" s="237"/>
      <c r="S486" s="237"/>
      <c r="T486" s="237"/>
      <c r="U486" s="237"/>
      <c r="V486" s="237"/>
      <c r="W486" s="237"/>
      <c r="X486" s="237"/>
      <c r="Y486" s="237"/>
      <c r="Z486" s="237"/>
    </row>
    <row r="487" spans="1:26">
      <c r="A487" s="238"/>
      <c r="B487" s="237"/>
      <c r="D487" s="237"/>
      <c r="E487" s="237"/>
      <c r="F487" s="237"/>
      <c r="G487" s="237"/>
      <c r="H487" s="237"/>
      <c r="I487" s="237"/>
      <c r="J487" s="237"/>
      <c r="K487" s="237"/>
      <c r="L487" s="237"/>
      <c r="M487" s="237"/>
      <c r="N487" s="237"/>
      <c r="O487" s="237"/>
      <c r="P487" s="237"/>
      <c r="Q487" s="237"/>
      <c r="R487" s="237"/>
      <c r="S487" s="237"/>
      <c r="T487" s="237"/>
      <c r="U487" s="237"/>
      <c r="V487" s="237"/>
      <c r="W487" s="237"/>
      <c r="X487" s="237"/>
      <c r="Y487" s="237"/>
      <c r="Z487" s="237"/>
    </row>
    <row r="488" spans="1:26">
      <c r="A488" s="238"/>
      <c r="B488" s="237"/>
      <c r="D488" s="237"/>
      <c r="E488" s="237"/>
      <c r="F488" s="237"/>
      <c r="G488" s="237"/>
      <c r="H488" s="237"/>
      <c r="I488" s="237"/>
      <c r="J488" s="237"/>
      <c r="K488" s="237"/>
      <c r="L488" s="237"/>
      <c r="M488" s="237"/>
      <c r="N488" s="237"/>
      <c r="O488" s="237"/>
      <c r="P488" s="237"/>
      <c r="Q488" s="237"/>
      <c r="R488" s="237"/>
      <c r="S488" s="237"/>
      <c r="T488" s="237"/>
      <c r="U488" s="237"/>
      <c r="V488" s="237"/>
      <c r="W488" s="237"/>
      <c r="X488" s="237"/>
      <c r="Y488" s="237"/>
      <c r="Z488" s="237"/>
    </row>
    <row r="489" spans="1:26">
      <c r="A489" s="238"/>
      <c r="B489" s="237"/>
      <c r="D489" s="237"/>
      <c r="E489" s="237"/>
      <c r="F489" s="237"/>
      <c r="G489" s="237"/>
      <c r="H489" s="237"/>
      <c r="I489" s="237"/>
      <c r="J489" s="237"/>
      <c r="K489" s="237"/>
      <c r="L489" s="237"/>
      <c r="M489" s="237"/>
      <c r="N489" s="237"/>
      <c r="O489" s="237"/>
      <c r="P489" s="237"/>
      <c r="Q489" s="237"/>
      <c r="R489" s="237"/>
      <c r="S489" s="237"/>
      <c r="T489" s="237"/>
      <c r="U489" s="237"/>
      <c r="V489" s="237"/>
      <c r="W489" s="237"/>
      <c r="X489" s="237"/>
      <c r="Y489" s="237"/>
      <c r="Z489" s="237"/>
    </row>
    <row r="490" spans="1:26">
      <c r="A490" s="238"/>
      <c r="B490" s="237"/>
      <c r="D490" s="237"/>
      <c r="E490" s="237"/>
      <c r="F490" s="237"/>
      <c r="G490" s="237"/>
      <c r="H490" s="237"/>
      <c r="I490" s="237"/>
      <c r="J490" s="237"/>
      <c r="K490" s="237"/>
      <c r="L490" s="237"/>
      <c r="M490" s="237"/>
      <c r="N490" s="237"/>
      <c r="O490" s="237"/>
      <c r="P490" s="237"/>
      <c r="Q490" s="237"/>
      <c r="R490" s="237"/>
      <c r="S490" s="237"/>
      <c r="T490" s="237"/>
      <c r="U490" s="237"/>
      <c r="V490" s="237"/>
      <c r="W490" s="237"/>
      <c r="X490" s="237"/>
      <c r="Y490" s="237"/>
      <c r="Z490" s="237"/>
    </row>
    <row r="491" spans="1:26">
      <c r="A491" s="238"/>
      <c r="B491" s="237"/>
      <c r="D491" s="237"/>
      <c r="E491" s="237"/>
      <c r="F491" s="237"/>
      <c r="G491" s="237"/>
      <c r="H491" s="237"/>
      <c r="I491" s="237"/>
      <c r="J491" s="237"/>
      <c r="K491" s="237"/>
      <c r="L491" s="237"/>
      <c r="M491" s="237"/>
      <c r="N491" s="237"/>
      <c r="O491" s="237"/>
      <c r="P491" s="237"/>
      <c r="Q491" s="237"/>
      <c r="R491" s="237"/>
      <c r="S491" s="237"/>
      <c r="T491" s="237"/>
      <c r="U491" s="237"/>
      <c r="V491" s="237"/>
      <c r="W491" s="237"/>
      <c r="X491" s="237"/>
      <c r="Y491" s="237"/>
      <c r="Z491" s="237"/>
    </row>
    <row r="492" spans="1:26">
      <c r="A492" s="238"/>
      <c r="B492" s="237"/>
      <c r="D492" s="237"/>
      <c r="E492" s="237"/>
      <c r="F492" s="237"/>
      <c r="G492" s="237"/>
      <c r="H492" s="237"/>
      <c r="I492" s="237"/>
      <c r="J492" s="237"/>
      <c r="K492" s="237"/>
      <c r="L492" s="237"/>
      <c r="M492" s="237"/>
      <c r="N492" s="237"/>
      <c r="O492" s="237"/>
      <c r="P492" s="237"/>
      <c r="Q492" s="237"/>
      <c r="R492" s="237"/>
      <c r="S492" s="237"/>
      <c r="T492" s="237"/>
      <c r="U492" s="237"/>
      <c r="V492" s="237"/>
      <c r="W492" s="237"/>
      <c r="X492" s="237"/>
      <c r="Y492" s="237"/>
      <c r="Z492" s="237"/>
    </row>
    <row r="493" spans="1:26">
      <c r="A493" s="238"/>
      <c r="B493" s="237"/>
      <c r="D493" s="237"/>
      <c r="E493" s="237"/>
      <c r="F493" s="237"/>
      <c r="G493" s="237"/>
      <c r="H493" s="237"/>
      <c r="I493" s="237"/>
      <c r="J493" s="237"/>
      <c r="K493" s="237"/>
      <c r="L493" s="237"/>
      <c r="M493" s="237"/>
      <c r="N493" s="237"/>
      <c r="O493" s="237"/>
      <c r="P493" s="237"/>
      <c r="Q493" s="237"/>
      <c r="R493" s="237"/>
      <c r="S493" s="237"/>
      <c r="T493" s="237"/>
      <c r="U493" s="237"/>
      <c r="V493" s="237"/>
      <c r="W493" s="237"/>
      <c r="X493" s="237"/>
      <c r="Y493" s="237"/>
      <c r="Z493" s="237"/>
    </row>
    <row r="494" spans="1:26">
      <c r="A494" s="238"/>
      <c r="B494" s="237"/>
      <c r="D494" s="237"/>
      <c r="E494" s="237"/>
      <c r="F494" s="237"/>
      <c r="G494" s="237"/>
      <c r="H494" s="237"/>
      <c r="I494" s="237"/>
      <c r="J494" s="237"/>
      <c r="K494" s="237"/>
      <c r="L494" s="237"/>
      <c r="M494" s="237"/>
      <c r="N494" s="237"/>
      <c r="O494" s="237"/>
      <c r="P494" s="237"/>
      <c r="Q494" s="237"/>
      <c r="R494" s="237"/>
      <c r="S494" s="237"/>
      <c r="T494" s="237"/>
      <c r="U494" s="237"/>
      <c r="V494" s="237"/>
      <c r="W494" s="237"/>
      <c r="X494" s="237"/>
      <c r="Y494" s="237"/>
      <c r="Z494" s="237"/>
    </row>
    <row r="495" spans="1:26">
      <c r="A495" s="238"/>
      <c r="B495" s="237"/>
      <c r="D495" s="237"/>
      <c r="E495" s="237"/>
      <c r="F495" s="237"/>
      <c r="G495" s="237"/>
      <c r="H495" s="237"/>
      <c r="I495" s="237"/>
      <c r="J495" s="237"/>
      <c r="K495" s="237"/>
      <c r="L495" s="237"/>
      <c r="M495" s="237"/>
      <c r="N495" s="237"/>
      <c r="O495" s="237"/>
      <c r="P495" s="237"/>
      <c r="Q495" s="237"/>
      <c r="R495" s="237"/>
      <c r="S495" s="237"/>
      <c r="T495" s="237"/>
      <c r="U495" s="237"/>
      <c r="V495" s="237"/>
      <c r="W495" s="237"/>
      <c r="X495" s="237"/>
      <c r="Y495" s="237"/>
      <c r="Z495" s="237"/>
    </row>
    <row r="496" spans="1:26">
      <c r="A496" s="238"/>
      <c r="B496" s="237"/>
      <c r="D496" s="237"/>
      <c r="E496" s="237"/>
      <c r="F496" s="237"/>
      <c r="G496" s="237"/>
      <c r="H496" s="237"/>
      <c r="I496" s="237"/>
      <c r="J496" s="237"/>
      <c r="K496" s="237"/>
      <c r="L496" s="237"/>
      <c r="M496" s="237"/>
      <c r="N496" s="237"/>
      <c r="O496" s="237"/>
      <c r="P496" s="237"/>
      <c r="Q496" s="237"/>
      <c r="R496" s="237"/>
      <c r="S496" s="237"/>
      <c r="T496" s="237"/>
      <c r="U496" s="237"/>
      <c r="V496" s="237"/>
      <c r="W496" s="237"/>
      <c r="X496" s="237"/>
      <c r="Y496" s="237"/>
      <c r="Z496" s="237"/>
    </row>
    <row r="497" spans="1:26">
      <c r="A497" s="238"/>
      <c r="B497" s="237"/>
      <c r="D497" s="237"/>
      <c r="E497" s="237"/>
      <c r="F497" s="237"/>
      <c r="G497" s="237"/>
      <c r="H497" s="237"/>
      <c r="I497" s="237"/>
      <c r="J497" s="237"/>
      <c r="K497" s="237"/>
      <c r="L497" s="237"/>
      <c r="M497" s="237"/>
      <c r="N497" s="237"/>
      <c r="O497" s="237"/>
      <c r="P497" s="237"/>
      <c r="Q497" s="237"/>
      <c r="R497" s="237"/>
      <c r="S497" s="237"/>
      <c r="T497" s="237"/>
      <c r="U497" s="237"/>
      <c r="V497" s="237"/>
      <c r="W497" s="237"/>
      <c r="X497" s="237"/>
      <c r="Y497" s="237"/>
      <c r="Z497" s="237"/>
    </row>
    <row r="498" spans="1:26">
      <c r="A498" s="238"/>
      <c r="B498" s="237"/>
      <c r="D498" s="237"/>
      <c r="E498" s="237"/>
      <c r="F498" s="237"/>
      <c r="G498" s="237"/>
      <c r="H498" s="237"/>
      <c r="I498" s="237"/>
      <c r="J498" s="237"/>
      <c r="K498" s="237"/>
      <c r="L498" s="237"/>
      <c r="M498" s="237"/>
      <c r="N498" s="237"/>
      <c r="O498" s="237"/>
      <c r="P498" s="237"/>
      <c r="Q498" s="237"/>
      <c r="R498" s="237"/>
      <c r="S498" s="237"/>
      <c r="T498" s="237"/>
      <c r="U498" s="237"/>
      <c r="V498" s="237"/>
      <c r="W498" s="237"/>
      <c r="X498" s="237"/>
      <c r="Y498" s="237"/>
      <c r="Z498" s="237"/>
    </row>
    <row r="499" spans="1:26">
      <c r="A499" s="238"/>
      <c r="B499" s="237"/>
      <c r="D499" s="237"/>
      <c r="E499" s="237"/>
      <c r="F499" s="237"/>
      <c r="G499" s="237"/>
      <c r="H499" s="237"/>
      <c r="I499" s="237"/>
      <c r="J499" s="237"/>
      <c r="K499" s="237"/>
      <c r="L499" s="237"/>
      <c r="M499" s="237"/>
      <c r="N499" s="237"/>
      <c r="O499" s="237"/>
      <c r="P499" s="237"/>
      <c r="Q499" s="237"/>
      <c r="R499" s="237"/>
      <c r="S499" s="237"/>
      <c r="T499" s="237"/>
      <c r="U499" s="237"/>
      <c r="V499" s="237"/>
      <c r="W499" s="237"/>
      <c r="X499" s="237"/>
      <c r="Y499" s="237"/>
      <c r="Z499" s="237"/>
    </row>
    <row r="500" spans="1:26">
      <c r="A500" s="238"/>
      <c r="B500" s="237"/>
      <c r="D500" s="237"/>
      <c r="E500" s="237"/>
      <c r="F500" s="237"/>
      <c r="G500" s="237"/>
      <c r="H500" s="237"/>
      <c r="I500" s="237"/>
      <c r="J500" s="237"/>
      <c r="K500" s="237"/>
      <c r="L500" s="237"/>
      <c r="M500" s="237"/>
      <c r="N500" s="237"/>
      <c r="O500" s="237"/>
      <c r="P500" s="237"/>
      <c r="Q500" s="237"/>
      <c r="R500" s="237"/>
      <c r="S500" s="237"/>
      <c r="T500" s="237"/>
      <c r="U500" s="237"/>
      <c r="V500" s="237"/>
      <c r="W500" s="237"/>
      <c r="X500" s="237"/>
      <c r="Y500" s="237"/>
      <c r="Z500" s="237"/>
    </row>
    <row r="501" spans="1:26">
      <c r="A501" s="238"/>
      <c r="B501" s="237"/>
      <c r="D501" s="237"/>
      <c r="E501" s="237"/>
      <c r="F501" s="237"/>
      <c r="G501" s="237"/>
      <c r="H501" s="237"/>
      <c r="I501" s="237"/>
      <c r="J501" s="237"/>
      <c r="K501" s="237"/>
      <c r="L501" s="237"/>
      <c r="M501" s="237"/>
      <c r="N501" s="237"/>
      <c r="O501" s="237"/>
      <c r="P501" s="237"/>
      <c r="Q501" s="237"/>
      <c r="R501" s="237"/>
      <c r="S501" s="237"/>
      <c r="T501" s="237"/>
      <c r="U501" s="237"/>
      <c r="V501" s="237"/>
      <c r="W501" s="237"/>
      <c r="X501" s="237"/>
      <c r="Y501" s="237"/>
      <c r="Z501" s="237"/>
    </row>
    <row r="502" spans="1:26">
      <c r="A502" s="238"/>
      <c r="B502" s="237"/>
      <c r="D502" s="237"/>
      <c r="E502" s="237"/>
      <c r="F502" s="237"/>
      <c r="G502" s="237"/>
      <c r="H502" s="237"/>
      <c r="I502" s="237"/>
      <c r="J502" s="237"/>
      <c r="K502" s="237"/>
      <c r="L502" s="237"/>
      <c r="M502" s="237"/>
      <c r="N502" s="237"/>
      <c r="O502" s="237"/>
      <c r="P502" s="237"/>
      <c r="Q502" s="237"/>
      <c r="R502" s="237"/>
      <c r="S502" s="237"/>
      <c r="T502" s="237"/>
      <c r="U502" s="237"/>
      <c r="V502" s="237"/>
      <c r="W502" s="237"/>
      <c r="X502" s="237"/>
      <c r="Y502" s="237"/>
      <c r="Z502" s="237"/>
    </row>
    <row r="503" spans="1:26">
      <c r="A503" s="238"/>
      <c r="B503" s="237"/>
      <c r="D503" s="237"/>
      <c r="E503" s="237"/>
      <c r="F503" s="237"/>
      <c r="G503" s="237"/>
      <c r="H503" s="237"/>
      <c r="I503" s="237"/>
      <c r="J503" s="237"/>
      <c r="K503" s="237"/>
      <c r="L503" s="237"/>
      <c r="M503" s="237"/>
      <c r="N503" s="237"/>
      <c r="O503" s="237"/>
      <c r="P503" s="237"/>
      <c r="Q503" s="237"/>
      <c r="R503" s="237"/>
      <c r="S503" s="237"/>
      <c r="T503" s="237"/>
      <c r="U503" s="237"/>
      <c r="V503" s="237"/>
      <c r="W503" s="237"/>
      <c r="X503" s="237"/>
      <c r="Y503" s="237"/>
      <c r="Z503" s="237"/>
    </row>
    <row r="504" spans="1:26">
      <c r="A504" s="238"/>
      <c r="B504" s="237"/>
      <c r="D504" s="237"/>
      <c r="E504" s="237"/>
      <c r="F504" s="237"/>
      <c r="G504" s="237"/>
      <c r="H504" s="237"/>
      <c r="I504" s="237"/>
      <c r="J504" s="237"/>
      <c r="K504" s="237"/>
      <c r="L504" s="237"/>
      <c r="M504" s="237"/>
      <c r="N504" s="237"/>
      <c r="O504" s="237"/>
      <c r="P504" s="237"/>
      <c r="Q504" s="237"/>
      <c r="R504" s="237"/>
      <c r="S504" s="237"/>
      <c r="T504" s="237"/>
      <c r="U504" s="237"/>
      <c r="V504" s="237"/>
      <c r="W504" s="237"/>
      <c r="X504" s="237"/>
      <c r="Y504" s="237"/>
      <c r="Z504" s="237"/>
    </row>
    <row r="505" spans="1:26">
      <c r="A505" s="238"/>
      <c r="B505" s="237"/>
      <c r="D505" s="237"/>
      <c r="E505" s="237"/>
      <c r="F505" s="237"/>
      <c r="G505" s="237"/>
      <c r="H505" s="237"/>
      <c r="I505" s="237"/>
      <c r="J505" s="237"/>
      <c r="K505" s="237"/>
      <c r="L505" s="237"/>
      <c r="M505" s="237"/>
      <c r="N505" s="237"/>
      <c r="O505" s="237"/>
      <c r="P505" s="237"/>
      <c r="Q505" s="237"/>
      <c r="R505" s="237"/>
      <c r="S505" s="237"/>
      <c r="T505" s="237"/>
      <c r="U505" s="237"/>
      <c r="V505" s="237"/>
      <c r="W505" s="237"/>
      <c r="X505" s="237"/>
      <c r="Y505" s="237"/>
      <c r="Z505" s="237"/>
    </row>
    <row r="506" spans="1:26">
      <c r="A506" s="238"/>
      <c r="B506" s="237"/>
      <c r="D506" s="237"/>
      <c r="E506" s="237"/>
      <c r="F506" s="237"/>
      <c r="G506" s="237"/>
      <c r="H506" s="237"/>
      <c r="I506" s="237"/>
      <c r="J506" s="237"/>
      <c r="K506" s="237"/>
      <c r="L506" s="237"/>
      <c r="M506" s="237"/>
      <c r="N506" s="237"/>
      <c r="O506" s="237"/>
      <c r="P506" s="237"/>
      <c r="Q506" s="237"/>
      <c r="R506" s="237"/>
      <c r="S506" s="237"/>
      <c r="T506" s="237"/>
      <c r="U506" s="237"/>
      <c r="V506" s="237"/>
      <c r="W506" s="237"/>
      <c r="X506" s="237"/>
      <c r="Y506" s="237"/>
      <c r="Z506" s="237"/>
    </row>
    <row r="507" spans="1:26">
      <c r="A507" s="238"/>
      <c r="B507" s="237"/>
      <c r="D507" s="237"/>
      <c r="E507" s="237"/>
      <c r="F507" s="237"/>
      <c r="G507" s="237"/>
      <c r="H507" s="237"/>
      <c r="I507" s="237"/>
      <c r="J507" s="237"/>
      <c r="K507" s="237"/>
      <c r="L507" s="237"/>
      <c r="M507" s="237"/>
      <c r="N507" s="237"/>
      <c r="O507" s="237"/>
      <c r="P507" s="237"/>
      <c r="Q507" s="237"/>
      <c r="R507" s="237"/>
      <c r="S507" s="237"/>
      <c r="T507" s="237"/>
      <c r="U507" s="237"/>
      <c r="V507" s="237"/>
      <c r="W507" s="237"/>
      <c r="X507" s="237"/>
      <c r="Y507" s="237"/>
      <c r="Z507" s="237"/>
    </row>
    <row r="508" spans="1:26">
      <c r="A508" s="238"/>
      <c r="B508" s="237"/>
      <c r="D508" s="237"/>
      <c r="E508" s="237"/>
      <c r="F508" s="237"/>
      <c r="G508" s="237"/>
      <c r="H508" s="237"/>
      <c r="I508" s="237"/>
      <c r="J508" s="237"/>
      <c r="K508" s="237"/>
      <c r="L508" s="237"/>
      <c r="M508" s="237"/>
      <c r="N508" s="237"/>
      <c r="O508" s="237"/>
      <c r="P508" s="237"/>
      <c r="Q508" s="237"/>
      <c r="R508" s="237"/>
      <c r="S508" s="237"/>
      <c r="T508" s="237"/>
      <c r="U508" s="237"/>
      <c r="V508" s="237"/>
      <c r="W508" s="237"/>
      <c r="X508" s="237"/>
      <c r="Y508" s="237"/>
      <c r="Z508" s="237"/>
    </row>
    <row r="509" spans="1:26">
      <c r="A509" s="238"/>
      <c r="B509" s="237"/>
      <c r="D509" s="237"/>
      <c r="E509" s="237"/>
      <c r="F509" s="237"/>
      <c r="G509" s="237"/>
      <c r="H509" s="237"/>
      <c r="I509" s="237"/>
      <c r="J509" s="237"/>
      <c r="K509" s="237"/>
      <c r="L509" s="237"/>
      <c r="M509" s="237"/>
      <c r="N509" s="237"/>
      <c r="O509" s="237"/>
      <c r="P509" s="237"/>
      <c r="Q509" s="237"/>
      <c r="R509" s="237"/>
      <c r="S509" s="237"/>
      <c r="T509" s="237"/>
      <c r="U509" s="237"/>
      <c r="V509" s="237"/>
      <c r="W509" s="237"/>
      <c r="X509" s="237"/>
      <c r="Y509" s="237"/>
      <c r="Z509" s="237"/>
    </row>
    <row r="510" spans="1:26">
      <c r="A510" s="238"/>
      <c r="B510" s="237"/>
      <c r="D510" s="237"/>
      <c r="E510" s="237"/>
      <c r="F510" s="237"/>
      <c r="G510" s="237"/>
      <c r="H510" s="237"/>
      <c r="I510" s="237"/>
      <c r="J510" s="237"/>
      <c r="K510" s="237"/>
      <c r="L510" s="237"/>
      <c r="M510" s="237"/>
      <c r="N510" s="237"/>
      <c r="O510" s="237"/>
      <c r="P510" s="237"/>
      <c r="Q510" s="237"/>
      <c r="R510" s="237"/>
      <c r="S510" s="237"/>
      <c r="T510" s="237"/>
      <c r="U510" s="237"/>
      <c r="V510" s="237"/>
      <c r="W510" s="237"/>
      <c r="X510" s="237"/>
      <c r="Y510" s="237"/>
      <c r="Z510" s="237"/>
    </row>
    <row r="511" spans="1:26">
      <c r="A511" s="238"/>
      <c r="B511" s="237"/>
      <c r="D511" s="237"/>
      <c r="E511" s="237"/>
      <c r="F511" s="237"/>
      <c r="G511" s="237"/>
      <c r="H511" s="237"/>
      <c r="I511" s="237"/>
      <c r="J511" s="237"/>
      <c r="K511" s="237"/>
      <c r="L511" s="237"/>
      <c r="M511" s="237"/>
      <c r="N511" s="237"/>
      <c r="O511" s="237"/>
      <c r="P511" s="237"/>
      <c r="Q511" s="237"/>
      <c r="R511" s="237"/>
      <c r="S511" s="237"/>
      <c r="T511" s="237"/>
      <c r="U511" s="237"/>
      <c r="V511" s="237"/>
      <c r="W511" s="237"/>
      <c r="X511" s="237"/>
      <c r="Y511" s="237"/>
      <c r="Z511" s="237"/>
    </row>
    <row r="512" spans="1:26">
      <c r="A512" s="238"/>
      <c r="B512" s="237"/>
      <c r="D512" s="237"/>
      <c r="E512" s="237"/>
      <c r="F512" s="237"/>
      <c r="G512" s="237"/>
      <c r="H512" s="237"/>
      <c r="I512" s="237"/>
      <c r="J512" s="237"/>
      <c r="K512" s="237"/>
      <c r="L512" s="237"/>
      <c r="M512" s="237"/>
      <c r="N512" s="237"/>
      <c r="O512" s="237"/>
      <c r="P512" s="237"/>
      <c r="Q512" s="237"/>
      <c r="R512" s="237"/>
      <c r="S512" s="237"/>
      <c r="T512" s="237"/>
      <c r="U512" s="237"/>
      <c r="V512" s="237"/>
      <c r="W512" s="237"/>
      <c r="X512" s="237"/>
      <c r="Y512" s="237"/>
      <c r="Z512" s="237"/>
    </row>
    <row r="513" spans="1:26">
      <c r="A513" s="238"/>
      <c r="B513" s="237"/>
      <c r="D513" s="237"/>
      <c r="E513" s="237"/>
      <c r="F513" s="237"/>
      <c r="G513" s="237"/>
      <c r="H513" s="237"/>
      <c r="I513" s="237"/>
      <c r="J513" s="237"/>
      <c r="K513" s="237"/>
      <c r="L513" s="237"/>
      <c r="M513" s="237"/>
      <c r="N513" s="237"/>
      <c r="O513" s="237"/>
      <c r="P513" s="237"/>
      <c r="Q513" s="237"/>
      <c r="R513" s="237"/>
      <c r="S513" s="237"/>
      <c r="T513" s="237"/>
      <c r="U513" s="237"/>
      <c r="V513" s="237"/>
      <c r="W513" s="237"/>
      <c r="X513" s="237"/>
      <c r="Y513" s="237"/>
      <c r="Z513" s="237"/>
    </row>
    <row r="514" spans="1:26">
      <c r="A514" s="238"/>
      <c r="B514" s="237"/>
      <c r="D514" s="237"/>
      <c r="E514" s="237"/>
      <c r="F514" s="237"/>
      <c r="G514" s="237"/>
      <c r="H514" s="237"/>
      <c r="I514" s="237"/>
      <c r="J514" s="237"/>
      <c r="K514" s="237"/>
      <c r="L514" s="237"/>
      <c r="M514" s="237"/>
      <c r="N514" s="237"/>
      <c r="O514" s="237"/>
      <c r="P514" s="237"/>
      <c r="Q514" s="237"/>
      <c r="R514" s="237"/>
      <c r="S514" s="237"/>
      <c r="T514" s="237"/>
      <c r="U514" s="237"/>
      <c r="V514" s="237"/>
      <c r="W514" s="237"/>
      <c r="X514" s="237"/>
      <c r="Y514" s="237"/>
      <c r="Z514" s="237"/>
    </row>
    <row r="515" spans="1:26">
      <c r="A515" s="238"/>
      <c r="B515" s="237"/>
      <c r="D515" s="237"/>
      <c r="E515" s="237"/>
      <c r="F515" s="237"/>
      <c r="G515" s="237"/>
      <c r="H515" s="237"/>
      <c r="I515" s="237"/>
      <c r="J515" s="237"/>
      <c r="K515" s="237"/>
      <c r="L515" s="237"/>
      <c r="M515" s="237"/>
      <c r="N515" s="237"/>
      <c r="O515" s="237"/>
      <c r="P515" s="237"/>
      <c r="Q515" s="237"/>
      <c r="R515" s="237"/>
      <c r="S515" s="237"/>
      <c r="T515" s="237"/>
      <c r="U515" s="237"/>
      <c r="V515" s="237"/>
      <c r="W515" s="237"/>
      <c r="X515" s="237"/>
      <c r="Y515" s="237"/>
      <c r="Z515" s="237"/>
    </row>
    <row r="516" spans="1:26">
      <c r="A516" s="238"/>
      <c r="B516" s="237"/>
      <c r="D516" s="237"/>
      <c r="E516" s="237"/>
      <c r="F516" s="237"/>
      <c r="G516" s="237"/>
      <c r="H516" s="237"/>
      <c r="I516" s="237"/>
      <c r="J516" s="237"/>
      <c r="K516" s="237"/>
      <c r="L516" s="237"/>
      <c r="M516" s="237"/>
      <c r="N516" s="237"/>
      <c r="O516" s="237"/>
      <c r="P516" s="237"/>
      <c r="Q516" s="237"/>
      <c r="R516" s="237"/>
      <c r="S516" s="237"/>
      <c r="T516" s="237"/>
      <c r="U516" s="237"/>
      <c r="V516" s="237"/>
      <c r="W516" s="237"/>
      <c r="X516" s="237"/>
      <c r="Y516" s="237"/>
      <c r="Z516" s="237"/>
    </row>
    <row r="517" spans="1:26">
      <c r="A517" s="238"/>
      <c r="B517" s="237"/>
      <c r="D517" s="237"/>
      <c r="E517" s="237"/>
      <c r="F517" s="237"/>
      <c r="G517" s="237"/>
      <c r="H517" s="237"/>
      <c r="I517" s="237"/>
      <c r="J517" s="237"/>
      <c r="K517" s="237"/>
      <c r="L517" s="237"/>
      <c r="M517" s="237"/>
      <c r="N517" s="237"/>
      <c r="O517" s="237"/>
      <c r="P517" s="237"/>
      <c r="Q517" s="237"/>
      <c r="R517" s="237"/>
      <c r="S517" s="237"/>
      <c r="T517" s="237"/>
      <c r="U517" s="237"/>
      <c r="V517" s="237"/>
      <c r="W517" s="237"/>
      <c r="X517" s="237"/>
      <c r="Y517" s="237"/>
      <c r="Z517" s="237"/>
    </row>
    <row r="518" spans="1:26">
      <c r="A518" s="238"/>
      <c r="B518" s="237"/>
      <c r="D518" s="237"/>
      <c r="E518" s="237"/>
      <c r="F518" s="237"/>
      <c r="G518" s="237"/>
      <c r="H518" s="237"/>
      <c r="I518" s="237"/>
      <c r="J518" s="237"/>
      <c r="K518" s="237"/>
      <c r="L518" s="237"/>
      <c r="M518" s="237"/>
      <c r="N518" s="237"/>
      <c r="O518" s="237"/>
      <c r="P518" s="237"/>
      <c r="Q518" s="237"/>
      <c r="R518" s="237"/>
      <c r="S518" s="237"/>
      <c r="T518" s="237"/>
      <c r="U518" s="237"/>
      <c r="V518" s="237"/>
      <c r="W518" s="237"/>
      <c r="X518" s="237"/>
      <c r="Y518" s="237"/>
      <c r="Z518" s="237"/>
    </row>
    <row r="519" spans="1:26">
      <c r="A519" s="238"/>
      <c r="B519" s="237"/>
      <c r="D519" s="237"/>
      <c r="E519" s="237"/>
      <c r="F519" s="237"/>
      <c r="G519" s="237"/>
      <c r="H519" s="237"/>
      <c r="I519" s="237"/>
      <c r="J519" s="237"/>
      <c r="K519" s="237"/>
      <c r="L519" s="237"/>
      <c r="M519" s="237"/>
      <c r="N519" s="237"/>
      <c r="O519" s="237"/>
      <c r="P519" s="237"/>
      <c r="Q519" s="237"/>
      <c r="R519" s="237"/>
      <c r="S519" s="237"/>
      <c r="T519" s="237"/>
      <c r="U519" s="237"/>
      <c r="V519" s="237"/>
      <c r="W519" s="237"/>
      <c r="X519" s="237"/>
      <c r="Y519" s="237"/>
      <c r="Z519" s="237"/>
    </row>
    <row r="520" spans="1:26">
      <c r="A520" s="238"/>
      <c r="B520" s="237"/>
      <c r="D520" s="237"/>
      <c r="E520" s="237"/>
      <c r="F520" s="237"/>
      <c r="G520" s="237"/>
      <c r="H520" s="237"/>
      <c r="I520" s="237"/>
      <c r="J520" s="237"/>
      <c r="K520" s="237"/>
      <c r="L520" s="237"/>
      <c r="M520" s="237"/>
      <c r="N520" s="237"/>
      <c r="O520" s="237"/>
      <c r="P520" s="237"/>
      <c r="Q520" s="237"/>
      <c r="R520" s="237"/>
      <c r="S520" s="237"/>
      <c r="T520" s="237"/>
      <c r="U520" s="237"/>
      <c r="V520" s="237"/>
      <c r="W520" s="237"/>
      <c r="X520" s="237"/>
      <c r="Y520" s="237"/>
      <c r="Z520" s="237"/>
    </row>
    <row r="521" spans="1:26">
      <c r="A521" s="238"/>
      <c r="B521" s="237"/>
      <c r="D521" s="237"/>
      <c r="E521" s="237"/>
      <c r="F521" s="237"/>
      <c r="G521" s="237"/>
      <c r="H521" s="237"/>
      <c r="I521" s="237"/>
      <c r="J521" s="237"/>
      <c r="K521" s="237"/>
      <c r="L521" s="237"/>
      <c r="M521" s="237"/>
      <c r="N521" s="237"/>
      <c r="O521" s="237"/>
      <c r="P521" s="237"/>
      <c r="Q521" s="237"/>
      <c r="R521" s="237"/>
      <c r="S521" s="237"/>
      <c r="T521" s="237"/>
      <c r="U521" s="237"/>
      <c r="V521" s="237"/>
      <c r="W521" s="237"/>
      <c r="X521" s="237"/>
      <c r="Y521" s="237"/>
      <c r="Z521" s="237"/>
    </row>
    <row r="522" spans="1:26">
      <c r="A522" s="238"/>
      <c r="B522" s="237"/>
      <c r="D522" s="237"/>
      <c r="E522" s="237"/>
      <c r="F522" s="237"/>
      <c r="G522" s="237"/>
      <c r="H522" s="237"/>
      <c r="I522" s="237"/>
      <c r="J522" s="237"/>
      <c r="K522" s="237"/>
      <c r="L522" s="237"/>
      <c r="M522" s="237"/>
      <c r="N522" s="237"/>
      <c r="O522" s="237"/>
      <c r="P522" s="237"/>
      <c r="Q522" s="237"/>
      <c r="R522" s="237"/>
      <c r="S522" s="237"/>
      <c r="T522" s="237"/>
      <c r="U522" s="237"/>
      <c r="V522" s="237"/>
      <c r="W522" s="237"/>
      <c r="X522" s="237"/>
      <c r="Y522" s="237"/>
      <c r="Z522" s="237"/>
    </row>
    <row r="523" spans="1:26">
      <c r="A523" s="238"/>
      <c r="B523" s="237"/>
      <c r="D523" s="237"/>
      <c r="E523" s="237"/>
      <c r="F523" s="237"/>
      <c r="G523" s="237"/>
      <c r="H523" s="237"/>
      <c r="I523" s="237"/>
      <c r="J523" s="237"/>
      <c r="K523" s="237"/>
      <c r="L523" s="237"/>
      <c r="M523" s="237"/>
      <c r="N523" s="237"/>
      <c r="O523" s="237"/>
      <c r="P523" s="237"/>
      <c r="Q523" s="237"/>
      <c r="R523" s="237"/>
      <c r="S523" s="237"/>
      <c r="T523" s="237"/>
      <c r="U523" s="237"/>
      <c r="V523" s="237"/>
      <c r="W523" s="237"/>
      <c r="X523" s="237"/>
      <c r="Y523" s="237"/>
      <c r="Z523" s="237"/>
    </row>
    <row r="524" spans="1:26">
      <c r="A524" s="238"/>
      <c r="B524" s="237"/>
      <c r="D524" s="237"/>
      <c r="E524" s="237"/>
      <c r="F524" s="237"/>
      <c r="G524" s="237"/>
      <c r="H524" s="237"/>
      <c r="I524" s="237"/>
      <c r="J524" s="237"/>
      <c r="K524" s="237"/>
      <c r="L524" s="237"/>
      <c r="M524" s="237"/>
      <c r="N524" s="237"/>
      <c r="O524" s="237"/>
      <c r="P524" s="237"/>
      <c r="Q524" s="237"/>
      <c r="R524" s="237"/>
      <c r="S524" s="237"/>
      <c r="T524" s="237"/>
      <c r="U524" s="237"/>
      <c r="V524" s="237"/>
      <c r="W524" s="237"/>
      <c r="X524" s="237"/>
      <c r="Y524" s="237"/>
      <c r="Z524" s="237"/>
    </row>
    <row r="525" spans="1:26">
      <c r="A525" s="238"/>
      <c r="B525" s="237"/>
      <c r="D525" s="237"/>
      <c r="E525" s="237"/>
      <c r="F525" s="237"/>
      <c r="G525" s="237"/>
      <c r="H525" s="237"/>
      <c r="I525" s="237"/>
      <c r="J525" s="237"/>
      <c r="K525" s="237"/>
      <c r="L525" s="237"/>
      <c r="M525" s="237"/>
      <c r="N525" s="237"/>
      <c r="O525" s="237"/>
      <c r="P525" s="237"/>
      <c r="Q525" s="237"/>
      <c r="R525" s="237"/>
      <c r="S525" s="237"/>
      <c r="T525" s="237"/>
      <c r="U525" s="237"/>
      <c r="V525" s="237"/>
      <c r="W525" s="237"/>
      <c r="X525" s="237"/>
      <c r="Y525" s="237"/>
      <c r="Z525" s="237"/>
    </row>
    <row r="526" spans="1:26">
      <c r="A526" s="238"/>
      <c r="B526" s="237"/>
      <c r="D526" s="237"/>
      <c r="E526" s="237"/>
      <c r="F526" s="237"/>
      <c r="G526" s="237"/>
      <c r="H526" s="237"/>
      <c r="I526" s="237"/>
      <c r="J526" s="237"/>
      <c r="K526" s="237"/>
      <c r="L526" s="237"/>
      <c r="M526" s="237"/>
      <c r="N526" s="237"/>
      <c r="O526" s="237"/>
      <c r="P526" s="237"/>
      <c r="Q526" s="237"/>
      <c r="R526" s="237"/>
      <c r="S526" s="237"/>
      <c r="T526" s="237"/>
      <c r="U526" s="237"/>
      <c r="V526" s="237"/>
      <c r="W526" s="237"/>
      <c r="X526" s="237"/>
      <c r="Y526" s="237"/>
      <c r="Z526" s="237"/>
    </row>
    <row r="527" spans="1:26">
      <c r="A527" s="238"/>
      <c r="B527" s="237"/>
      <c r="D527" s="237"/>
      <c r="E527" s="237"/>
      <c r="F527" s="237"/>
      <c r="G527" s="237"/>
      <c r="H527" s="237"/>
      <c r="I527" s="237"/>
      <c r="J527" s="237"/>
      <c r="K527" s="237"/>
      <c r="L527" s="237"/>
      <c r="M527" s="237"/>
      <c r="N527" s="237"/>
      <c r="O527" s="237"/>
      <c r="P527" s="237"/>
      <c r="Q527" s="237"/>
      <c r="R527" s="237"/>
      <c r="S527" s="237"/>
      <c r="T527" s="237"/>
      <c r="U527" s="237"/>
      <c r="V527" s="237"/>
      <c r="W527" s="237"/>
      <c r="X527" s="237"/>
      <c r="Y527" s="237"/>
      <c r="Z527" s="237"/>
    </row>
    <row r="528" spans="1:26">
      <c r="A528" s="238"/>
      <c r="B528" s="237"/>
      <c r="D528" s="237"/>
      <c r="E528" s="237"/>
      <c r="F528" s="237"/>
      <c r="G528" s="237"/>
      <c r="H528" s="237"/>
      <c r="I528" s="237"/>
      <c r="J528" s="237"/>
      <c r="K528" s="237"/>
      <c r="L528" s="237"/>
      <c r="M528" s="237"/>
      <c r="N528" s="237"/>
      <c r="O528" s="237"/>
      <c r="P528" s="237"/>
      <c r="Q528" s="237"/>
      <c r="R528" s="237"/>
      <c r="S528" s="237"/>
      <c r="T528" s="237"/>
      <c r="U528" s="237"/>
      <c r="V528" s="237"/>
      <c r="W528" s="237"/>
      <c r="X528" s="237"/>
      <c r="Y528" s="237"/>
      <c r="Z528" s="237"/>
    </row>
    <row r="529" spans="1:26">
      <c r="A529" s="238"/>
      <c r="B529" s="237"/>
      <c r="D529" s="237"/>
      <c r="E529" s="237"/>
      <c r="F529" s="237"/>
      <c r="G529" s="237"/>
      <c r="H529" s="237"/>
      <c r="I529" s="237"/>
      <c r="J529" s="237"/>
      <c r="K529" s="237"/>
      <c r="L529" s="237"/>
      <c r="M529" s="237"/>
      <c r="N529" s="237"/>
      <c r="O529" s="237"/>
      <c r="P529" s="237"/>
      <c r="Q529" s="237"/>
      <c r="R529" s="237"/>
      <c r="S529" s="237"/>
      <c r="T529" s="237"/>
      <c r="U529" s="237"/>
      <c r="V529" s="237"/>
      <c r="W529" s="237"/>
      <c r="X529" s="237"/>
      <c r="Y529" s="237"/>
      <c r="Z529" s="237"/>
    </row>
    <row r="530" spans="1:26">
      <c r="A530" s="238"/>
      <c r="B530" s="237"/>
      <c r="D530" s="237"/>
      <c r="E530" s="237"/>
      <c r="F530" s="237"/>
      <c r="G530" s="237"/>
      <c r="H530" s="237"/>
      <c r="I530" s="237"/>
      <c r="J530" s="237"/>
      <c r="K530" s="237"/>
      <c r="L530" s="237"/>
      <c r="M530" s="237"/>
      <c r="N530" s="237"/>
      <c r="O530" s="237"/>
      <c r="P530" s="237"/>
      <c r="Q530" s="237"/>
      <c r="R530" s="237"/>
      <c r="S530" s="237"/>
      <c r="T530" s="237"/>
      <c r="U530" s="237"/>
      <c r="V530" s="237"/>
      <c r="W530" s="237"/>
      <c r="X530" s="237"/>
      <c r="Y530" s="237"/>
      <c r="Z530" s="237"/>
    </row>
    <row r="531" spans="1:26">
      <c r="A531" s="238"/>
      <c r="B531" s="237"/>
      <c r="D531" s="237"/>
      <c r="E531" s="237"/>
      <c r="F531" s="237"/>
      <c r="G531" s="237"/>
      <c r="H531" s="237"/>
      <c r="I531" s="237"/>
      <c r="J531" s="237"/>
      <c r="K531" s="237"/>
      <c r="L531" s="237"/>
      <c r="M531" s="237"/>
      <c r="N531" s="237"/>
      <c r="O531" s="237"/>
      <c r="P531" s="237"/>
      <c r="Q531" s="237"/>
      <c r="R531" s="237"/>
      <c r="S531" s="237"/>
      <c r="T531" s="237"/>
      <c r="U531" s="237"/>
      <c r="V531" s="237"/>
      <c r="W531" s="237"/>
      <c r="X531" s="237"/>
      <c r="Y531" s="237"/>
      <c r="Z531" s="237"/>
    </row>
    <row r="532" spans="1:26">
      <c r="A532" s="238"/>
      <c r="B532" s="237"/>
      <c r="D532" s="237"/>
      <c r="E532" s="237"/>
      <c r="F532" s="237"/>
      <c r="G532" s="237"/>
      <c r="H532" s="237"/>
      <c r="I532" s="237"/>
      <c r="J532" s="237"/>
      <c r="K532" s="237"/>
      <c r="L532" s="237"/>
      <c r="M532" s="237"/>
      <c r="N532" s="237"/>
      <c r="O532" s="237"/>
      <c r="P532" s="237"/>
      <c r="Q532" s="237"/>
      <c r="R532" s="237"/>
      <c r="S532" s="237"/>
      <c r="T532" s="237"/>
      <c r="U532" s="237"/>
      <c r="V532" s="237"/>
      <c r="W532" s="237"/>
      <c r="X532" s="237"/>
      <c r="Y532" s="237"/>
      <c r="Z532" s="237"/>
    </row>
    <row r="533" spans="1:26">
      <c r="A533" s="238"/>
      <c r="B533" s="237"/>
      <c r="D533" s="237"/>
      <c r="E533" s="237"/>
      <c r="F533" s="237"/>
      <c r="G533" s="237"/>
      <c r="H533" s="237"/>
      <c r="I533" s="237"/>
      <c r="J533" s="237"/>
      <c r="K533" s="237"/>
      <c r="L533" s="237"/>
      <c r="M533" s="237"/>
      <c r="N533" s="237"/>
      <c r="O533" s="237"/>
      <c r="P533" s="237"/>
      <c r="Q533" s="237"/>
      <c r="R533" s="237"/>
      <c r="S533" s="237"/>
      <c r="T533" s="237"/>
      <c r="U533" s="237"/>
      <c r="V533" s="237"/>
      <c r="W533" s="237"/>
      <c r="X533" s="237"/>
      <c r="Y533" s="237"/>
      <c r="Z533" s="237"/>
    </row>
    <row r="534" spans="1:26">
      <c r="A534" s="238"/>
      <c r="B534" s="237"/>
      <c r="D534" s="237"/>
      <c r="E534" s="237"/>
      <c r="F534" s="237"/>
      <c r="G534" s="237"/>
      <c r="H534" s="237"/>
      <c r="I534" s="237"/>
      <c r="J534" s="237"/>
      <c r="K534" s="237"/>
      <c r="L534" s="237"/>
      <c r="M534" s="237"/>
      <c r="N534" s="237"/>
      <c r="O534" s="237"/>
      <c r="P534" s="237"/>
      <c r="Q534" s="237"/>
      <c r="R534" s="237"/>
      <c r="S534" s="237"/>
      <c r="T534" s="237"/>
      <c r="U534" s="237"/>
      <c r="V534" s="237"/>
      <c r="W534" s="237"/>
      <c r="X534" s="237"/>
      <c r="Y534" s="237"/>
      <c r="Z534" s="237"/>
    </row>
    <row r="535" spans="1:26">
      <c r="A535" s="238"/>
      <c r="B535" s="237"/>
      <c r="D535" s="237"/>
      <c r="E535" s="237"/>
      <c r="F535" s="237"/>
      <c r="G535" s="237"/>
      <c r="H535" s="237"/>
      <c r="I535" s="237"/>
      <c r="J535" s="237"/>
      <c r="K535" s="237"/>
      <c r="L535" s="237"/>
      <c r="M535" s="237"/>
      <c r="N535" s="237"/>
      <c r="O535" s="237"/>
      <c r="P535" s="237"/>
      <c r="Q535" s="237"/>
      <c r="R535" s="237"/>
      <c r="S535" s="237"/>
      <c r="T535" s="237"/>
      <c r="U535" s="237"/>
      <c r="V535" s="237"/>
      <c r="W535" s="237"/>
      <c r="X535" s="237"/>
      <c r="Y535" s="237"/>
      <c r="Z535" s="237"/>
    </row>
    <row r="536" spans="1:26">
      <c r="A536" s="238"/>
      <c r="B536" s="237"/>
      <c r="D536" s="237"/>
      <c r="E536" s="237"/>
      <c r="F536" s="237"/>
      <c r="G536" s="237"/>
      <c r="H536" s="237"/>
      <c r="I536" s="237"/>
      <c r="J536" s="237"/>
      <c r="K536" s="237"/>
      <c r="L536" s="237"/>
      <c r="M536" s="237"/>
      <c r="N536" s="237"/>
      <c r="O536" s="237"/>
      <c r="P536" s="237"/>
      <c r="Q536" s="237"/>
      <c r="R536" s="237"/>
      <c r="S536" s="237"/>
      <c r="T536" s="237"/>
      <c r="U536" s="237"/>
      <c r="V536" s="237"/>
      <c r="W536" s="237"/>
      <c r="X536" s="237"/>
      <c r="Y536" s="237"/>
      <c r="Z536" s="237"/>
    </row>
    <row r="537" spans="1:26">
      <c r="A537" s="238"/>
      <c r="B537" s="237"/>
      <c r="D537" s="237"/>
      <c r="E537" s="237"/>
      <c r="F537" s="237"/>
      <c r="G537" s="237"/>
      <c r="H537" s="237"/>
      <c r="I537" s="237"/>
      <c r="J537" s="237"/>
      <c r="K537" s="237"/>
      <c r="L537" s="237"/>
      <c r="M537" s="237"/>
      <c r="N537" s="237"/>
      <c r="O537" s="237"/>
      <c r="P537" s="237"/>
      <c r="Q537" s="237"/>
      <c r="R537" s="237"/>
      <c r="S537" s="237"/>
      <c r="T537" s="237"/>
      <c r="U537" s="237"/>
      <c r="V537" s="237"/>
      <c r="W537" s="237"/>
      <c r="X537" s="237"/>
      <c r="Y537" s="237"/>
      <c r="Z537" s="237"/>
    </row>
    <row r="538" spans="1:26">
      <c r="A538" s="238"/>
      <c r="B538" s="237"/>
      <c r="D538" s="237"/>
      <c r="E538" s="237"/>
      <c r="F538" s="237"/>
      <c r="G538" s="237"/>
      <c r="H538" s="237"/>
      <c r="I538" s="237"/>
      <c r="J538" s="237"/>
      <c r="K538" s="237"/>
      <c r="L538" s="237"/>
      <c r="M538" s="237"/>
      <c r="N538" s="237"/>
      <c r="O538" s="237"/>
      <c r="P538" s="237"/>
      <c r="Q538" s="237"/>
      <c r="R538" s="237"/>
      <c r="S538" s="237"/>
      <c r="T538" s="237"/>
      <c r="U538" s="237"/>
      <c r="V538" s="237"/>
      <c r="W538" s="237"/>
      <c r="X538" s="237"/>
      <c r="Y538" s="237"/>
      <c r="Z538" s="237"/>
    </row>
    <row r="539" spans="1:26">
      <c r="A539" s="238"/>
      <c r="B539" s="237"/>
      <c r="D539" s="237"/>
      <c r="E539" s="237"/>
      <c r="F539" s="237"/>
      <c r="G539" s="237"/>
      <c r="H539" s="237"/>
      <c r="I539" s="237"/>
      <c r="J539" s="237"/>
      <c r="K539" s="237"/>
      <c r="L539" s="237"/>
      <c r="M539" s="237"/>
      <c r="N539" s="237"/>
      <c r="O539" s="237"/>
      <c r="P539" s="237"/>
      <c r="Q539" s="237"/>
      <c r="R539" s="237"/>
      <c r="S539" s="237"/>
      <c r="T539" s="237"/>
      <c r="U539" s="237"/>
      <c r="V539" s="237"/>
      <c r="W539" s="237"/>
      <c r="X539" s="237"/>
      <c r="Y539" s="237"/>
      <c r="Z539" s="237"/>
    </row>
    <row r="540" spans="1:26">
      <c r="A540" s="238"/>
      <c r="B540" s="237"/>
      <c r="D540" s="237"/>
      <c r="E540" s="237"/>
      <c r="F540" s="237"/>
      <c r="G540" s="237"/>
      <c r="H540" s="237"/>
      <c r="I540" s="237"/>
      <c r="J540" s="237"/>
      <c r="K540" s="237"/>
      <c r="L540" s="237"/>
      <c r="M540" s="237"/>
      <c r="N540" s="237"/>
      <c r="O540" s="237"/>
      <c r="P540" s="237"/>
      <c r="Q540" s="237"/>
      <c r="R540" s="237"/>
      <c r="S540" s="237"/>
      <c r="T540" s="237"/>
      <c r="U540" s="237"/>
      <c r="V540" s="237"/>
      <c r="W540" s="237"/>
      <c r="X540" s="237"/>
      <c r="Y540" s="237"/>
      <c r="Z540" s="237"/>
    </row>
    <row r="541" spans="1:26">
      <c r="A541" s="238"/>
      <c r="B541" s="237"/>
      <c r="D541" s="237"/>
      <c r="E541" s="237"/>
      <c r="F541" s="237"/>
      <c r="G541" s="237"/>
      <c r="H541" s="237"/>
      <c r="I541" s="237"/>
      <c r="J541" s="237"/>
      <c r="K541" s="237"/>
      <c r="L541" s="237"/>
      <c r="M541" s="237"/>
      <c r="N541" s="237"/>
      <c r="O541" s="237"/>
      <c r="P541" s="237"/>
      <c r="Q541" s="237"/>
      <c r="R541" s="237"/>
      <c r="S541" s="237"/>
      <c r="T541" s="237"/>
      <c r="U541" s="237"/>
      <c r="V541" s="237"/>
      <c r="W541" s="237"/>
      <c r="X541" s="237"/>
      <c r="Y541" s="237"/>
      <c r="Z541" s="237"/>
    </row>
    <row r="542" spans="1:26">
      <c r="A542" s="238"/>
      <c r="B542" s="237"/>
      <c r="D542" s="237"/>
      <c r="E542" s="237"/>
      <c r="F542" s="237"/>
      <c r="G542" s="237"/>
      <c r="H542" s="237"/>
      <c r="I542" s="237"/>
      <c r="J542" s="237"/>
      <c r="K542" s="237"/>
      <c r="L542" s="237"/>
      <c r="M542" s="237"/>
      <c r="N542" s="237"/>
      <c r="O542" s="237"/>
      <c r="P542" s="237"/>
      <c r="Q542" s="237"/>
      <c r="R542" s="237"/>
      <c r="S542" s="237"/>
      <c r="T542" s="237"/>
      <c r="U542" s="237"/>
      <c r="V542" s="237"/>
      <c r="W542" s="237"/>
      <c r="X542" s="237"/>
      <c r="Y542" s="237"/>
      <c r="Z542" s="237"/>
    </row>
    <row r="543" spans="1:26">
      <c r="A543" s="238"/>
      <c r="B543" s="237"/>
      <c r="D543" s="237"/>
      <c r="E543" s="237"/>
      <c r="F543" s="237"/>
      <c r="G543" s="237"/>
      <c r="H543" s="237"/>
      <c r="I543" s="237"/>
      <c r="J543" s="237"/>
      <c r="K543" s="237"/>
      <c r="L543" s="237"/>
      <c r="M543" s="237"/>
      <c r="N543" s="237"/>
      <c r="O543" s="237"/>
      <c r="P543" s="237"/>
      <c r="Q543" s="237"/>
      <c r="R543" s="237"/>
      <c r="S543" s="237"/>
      <c r="T543" s="237"/>
      <c r="U543" s="237"/>
      <c r="V543" s="237"/>
      <c r="W543" s="237"/>
      <c r="X543" s="237"/>
      <c r="Y543" s="237"/>
      <c r="Z543" s="237"/>
    </row>
    <row r="544" spans="1:26">
      <c r="A544" s="238"/>
      <c r="B544" s="237"/>
      <c r="D544" s="237"/>
      <c r="E544" s="237"/>
      <c r="F544" s="237"/>
      <c r="G544" s="237"/>
      <c r="H544" s="237"/>
      <c r="I544" s="237"/>
      <c r="J544" s="237"/>
      <c r="K544" s="237"/>
      <c r="L544" s="237"/>
      <c r="M544" s="237"/>
      <c r="N544" s="237"/>
      <c r="O544" s="237"/>
      <c r="P544" s="237"/>
      <c r="Q544" s="237"/>
      <c r="R544" s="237"/>
      <c r="S544" s="237"/>
      <c r="T544" s="237"/>
      <c r="U544" s="237"/>
      <c r="V544" s="237"/>
      <c r="W544" s="237"/>
      <c r="X544" s="237"/>
      <c r="Y544" s="237"/>
      <c r="Z544" s="237"/>
    </row>
    <row r="545" spans="1:26">
      <c r="A545" s="238"/>
      <c r="B545" s="237"/>
      <c r="D545" s="237"/>
      <c r="E545" s="237"/>
      <c r="F545" s="237"/>
      <c r="G545" s="237"/>
      <c r="H545" s="237"/>
      <c r="I545" s="237"/>
      <c r="J545" s="237"/>
      <c r="K545" s="237"/>
      <c r="L545" s="237"/>
      <c r="M545" s="237"/>
      <c r="N545" s="237"/>
      <c r="O545" s="237"/>
      <c r="P545" s="237"/>
      <c r="Q545" s="237"/>
      <c r="R545" s="237"/>
      <c r="S545" s="237"/>
      <c r="T545" s="237"/>
      <c r="U545" s="237"/>
      <c r="V545" s="237"/>
      <c r="W545" s="237"/>
      <c r="X545" s="237"/>
      <c r="Y545" s="237"/>
      <c r="Z545" s="237"/>
    </row>
    <row r="546" spans="1:26">
      <c r="A546" s="238"/>
      <c r="B546" s="237"/>
      <c r="D546" s="237"/>
      <c r="E546" s="237"/>
      <c r="F546" s="237"/>
      <c r="G546" s="237"/>
      <c r="H546" s="237"/>
      <c r="I546" s="237"/>
      <c r="J546" s="237"/>
      <c r="K546" s="237"/>
      <c r="L546" s="237"/>
      <c r="M546" s="237"/>
      <c r="N546" s="237"/>
      <c r="O546" s="237"/>
      <c r="P546" s="237"/>
      <c r="Q546" s="237"/>
      <c r="R546" s="237"/>
      <c r="S546" s="237"/>
      <c r="T546" s="237"/>
      <c r="U546" s="237"/>
      <c r="V546" s="237"/>
      <c r="W546" s="237"/>
      <c r="X546" s="237"/>
      <c r="Y546" s="237"/>
      <c r="Z546" s="237"/>
    </row>
    <row r="547" spans="1:26">
      <c r="A547" s="238"/>
      <c r="B547" s="237"/>
      <c r="D547" s="237"/>
      <c r="E547" s="237"/>
      <c r="F547" s="237"/>
      <c r="G547" s="237"/>
      <c r="H547" s="237"/>
      <c r="I547" s="237"/>
      <c r="J547" s="237"/>
      <c r="K547" s="237"/>
      <c r="L547" s="237"/>
      <c r="M547" s="237"/>
      <c r="N547" s="237"/>
      <c r="O547" s="237"/>
      <c r="P547" s="237"/>
      <c r="Q547" s="237"/>
      <c r="R547" s="237"/>
      <c r="S547" s="237"/>
      <c r="T547" s="237"/>
      <c r="U547" s="237"/>
      <c r="V547" s="237"/>
      <c r="W547" s="237"/>
      <c r="X547" s="237"/>
      <c r="Y547" s="237"/>
      <c r="Z547" s="237"/>
    </row>
    <row r="548" spans="1:26">
      <c r="A548" s="238"/>
      <c r="B548" s="237"/>
      <c r="D548" s="237"/>
      <c r="E548" s="237"/>
      <c r="F548" s="237"/>
      <c r="G548" s="237"/>
      <c r="H548" s="237"/>
      <c r="I548" s="237"/>
      <c r="J548" s="237"/>
      <c r="K548" s="237"/>
      <c r="L548" s="237"/>
      <c r="M548" s="237"/>
      <c r="N548" s="237"/>
      <c r="O548" s="237"/>
      <c r="P548" s="237"/>
      <c r="Q548" s="237"/>
      <c r="R548" s="237"/>
      <c r="S548" s="237"/>
      <c r="T548" s="237"/>
      <c r="U548" s="237"/>
      <c r="V548" s="237"/>
      <c r="W548" s="237"/>
      <c r="X548" s="237"/>
      <c r="Y548" s="237"/>
      <c r="Z548" s="237"/>
    </row>
    <row r="549" spans="1:26">
      <c r="A549" s="238"/>
      <c r="B549" s="237"/>
      <c r="D549" s="237"/>
      <c r="E549" s="237"/>
      <c r="F549" s="237"/>
      <c r="G549" s="237"/>
      <c r="H549" s="237"/>
      <c r="I549" s="237"/>
      <c r="J549" s="237"/>
      <c r="K549" s="237"/>
      <c r="L549" s="237"/>
      <c r="M549" s="237"/>
      <c r="N549" s="237"/>
      <c r="O549" s="237"/>
      <c r="P549" s="237"/>
      <c r="Q549" s="237"/>
      <c r="R549" s="237"/>
      <c r="S549" s="237"/>
      <c r="T549" s="237"/>
      <c r="U549" s="237"/>
      <c r="V549" s="237"/>
      <c r="W549" s="237"/>
      <c r="X549" s="237"/>
      <c r="Y549" s="237"/>
      <c r="Z549" s="237"/>
    </row>
    <row r="550" spans="1:26">
      <c r="A550" s="238"/>
      <c r="B550" s="237"/>
      <c r="D550" s="237"/>
      <c r="E550" s="237"/>
      <c r="F550" s="237"/>
      <c r="G550" s="237"/>
      <c r="H550" s="237"/>
      <c r="I550" s="237"/>
      <c r="J550" s="237"/>
      <c r="K550" s="237"/>
      <c r="L550" s="237"/>
      <c r="M550" s="237"/>
      <c r="N550" s="237"/>
      <c r="O550" s="237"/>
      <c r="P550" s="237"/>
      <c r="Q550" s="237"/>
      <c r="R550" s="237"/>
      <c r="S550" s="237"/>
      <c r="T550" s="237"/>
      <c r="U550" s="237"/>
      <c r="V550" s="237"/>
      <c r="W550" s="237"/>
      <c r="X550" s="237"/>
      <c r="Y550" s="237"/>
      <c r="Z550" s="237"/>
    </row>
    <row r="551" spans="1:26">
      <c r="A551" s="238"/>
      <c r="B551" s="237"/>
      <c r="D551" s="237"/>
      <c r="E551" s="237"/>
      <c r="F551" s="237"/>
      <c r="G551" s="237"/>
      <c r="H551" s="237"/>
      <c r="I551" s="237"/>
      <c r="J551" s="237"/>
      <c r="K551" s="237"/>
      <c r="L551" s="237"/>
      <c r="M551" s="237"/>
      <c r="N551" s="237"/>
      <c r="O551" s="237"/>
      <c r="P551" s="237"/>
      <c r="Q551" s="237"/>
      <c r="R551" s="237"/>
      <c r="S551" s="237"/>
      <c r="T551" s="237"/>
      <c r="U551" s="237"/>
      <c r="V551" s="237"/>
      <c r="W551" s="237"/>
      <c r="X551" s="237"/>
      <c r="Y551" s="237"/>
      <c r="Z551" s="237"/>
    </row>
    <row r="552" spans="1:26">
      <c r="A552" s="238"/>
      <c r="B552" s="237"/>
      <c r="D552" s="237"/>
      <c r="E552" s="237"/>
      <c r="F552" s="237"/>
      <c r="G552" s="237"/>
      <c r="H552" s="237"/>
      <c r="I552" s="237"/>
      <c r="J552" s="237"/>
      <c r="K552" s="237"/>
      <c r="L552" s="237"/>
      <c r="M552" s="237"/>
      <c r="N552" s="237"/>
      <c r="O552" s="237"/>
      <c r="P552" s="237"/>
      <c r="Q552" s="237"/>
      <c r="R552" s="237"/>
      <c r="S552" s="237"/>
      <c r="T552" s="237"/>
      <c r="U552" s="237"/>
      <c r="V552" s="237"/>
      <c r="W552" s="237"/>
      <c r="X552" s="237"/>
      <c r="Y552" s="237"/>
      <c r="Z552" s="237"/>
    </row>
    <row r="553" spans="1:26">
      <c r="A553" s="238"/>
      <c r="B553" s="237"/>
      <c r="D553" s="237"/>
      <c r="E553" s="237"/>
      <c r="F553" s="237"/>
      <c r="G553" s="237"/>
      <c r="H553" s="237"/>
      <c r="I553" s="237"/>
      <c r="J553" s="237"/>
      <c r="K553" s="237"/>
      <c r="L553" s="237"/>
      <c r="M553" s="237"/>
      <c r="N553" s="237"/>
      <c r="O553" s="237"/>
      <c r="P553" s="237"/>
      <c r="Q553" s="237"/>
      <c r="R553" s="237"/>
      <c r="S553" s="237"/>
      <c r="T553" s="237"/>
      <c r="U553" s="237"/>
      <c r="V553" s="237"/>
      <c r="W553" s="237"/>
      <c r="X553" s="237"/>
      <c r="Y553" s="237"/>
      <c r="Z553" s="237"/>
    </row>
    <row r="554" spans="1:26">
      <c r="A554" s="238"/>
      <c r="B554" s="237"/>
      <c r="D554" s="237"/>
      <c r="E554" s="237"/>
      <c r="F554" s="237"/>
      <c r="G554" s="237"/>
      <c r="H554" s="237"/>
      <c r="I554" s="237"/>
      <c r="J554" s="237"/>
      <c r="K554" s="237"/>
      <c r="L554" s="237"/>
      <c r="M554" s="237"/>
      <c r="N554" s="237"/>
      <c r="O554" s="237"/>
      <c r="P554" s="237"/>
      <c r="Q554" s="237"/>
      <c r="R554" s="237"/>
      <c r="S554" s="237"/>
      <c r="T554" s="237"/>
      <c r="U554" s="237"/>
      <c r="V554" s="237"/>
      <c r="W554" s="237"/>
      <c r="X554" s="237"/>
      <c r="Y554" s="237"/>
      <c r="Z554" s="237"/>
    </row>
    <row r="555" spans="1:26">
      <c r="A555" s="238"/>
      <c r="B555" s="237"/>
      <c r="D555" s="237"/>
      <c r="E555" s="237"/>
      <c r="F555" s="237"/>
      <c r="G555" s="237"/>
      <c r="H555" s="237"/>
      <c r="I555" s="237"/>
      <c r="J555" s="237"/>
      <c r="K555" s="237"/>
      <c r="L555" s="237"/>
      <c r="M555" s="237"/>
      <c r="N555" s="237"/>
      <c r="O555" s="237"/>
      <c r="P555" s="237"/>
      <c r="Q555" s="237"/>
      <c r="R555" s="237"/>
      <c r="S555" s="237"/>
      <c r="T555" s="237"/>
      <c r="U555" s="237"/>
      <c r="V555" s="237"/>
      <c r="W555" s="237"/>
      <c r="X555" s="237"/>
      <c r="Y555" s="237"/>
      <c r="Z555" s="237"/>
    </row>
    <row r="556" spans="1:26">
      <c r="A556" s="238"/>
      <c r="B556" s="237"/>
      <c r="D556" s="237"/>
      <c r="E556" s="237"/>
      <c r="F556" s="237"/>
      <c r="G556" s="237"/>
      <c r="H556" s="237"/>
      <c r="I556" s="237"/>
      <c r="J556" s="237"/>
      <c r="K556" s="237"/>
      <c r="L556" s="237"/>
      <c r="M556" s="237"/>
      <c r="N556" s="237"/>
      <c r="O556" s="237"/>
      <c r="P556" s="237"/>
      <c r="Q556" s="237"/>
      <c r="R556" s="237"/>
      <c r="S556" s="237"/>
      <c r="T556" s="237"/>
      <c r="U556" s="237"/>
      <c r="V556" s="237"/>
      <c r="W556" s="237"/>
      <c r="X556" s="237"/>
      <c r="Y556" s="237"/>
      <c r="Z556" s="237"/>
    </row>
    <row r="557" spans="1:26">
      <c r="A557" s="238"/>
      <c r="B557" s="237"/>
      <c r="D557" s="237"/>
      <c r="E557" s="237"/>
      <c r="F557" s="237"/>
      <c r="G557" s="237"/>
      <c r="H557" s="237"/>
      <c r="I557" s="237"/>
      <c r="J557" s="237"/>
      <c r="K557" s="237"/>
      <c r="L557" s="237"/>
      <c r="M557" s="237"/>
      <c r="N557" s="237"/>
      <c r="O557" s="237"/>
      <c r="P557" s="237"/>
      <c r="Q557" s="237"/>
      <c r="R557" s="237"/>
      <c r="S557" s="237"/>
      <c r="T557" s="237"/>
      <c r="U557" s="237"/>
      <c r="V557" s="237"/>
      <c r="W557" s="237"/>
      <c r="X557" s="237"/>
      <c r="Y557" s="237"/>
      <c r="Z557" s="237"/>
    </row>
    <row r="558" spans="1:26">
      <c r="A558" s="238"/>
      <c r="B558" s="237"/>
      <c r="D558" s="237"/>
      <c r="E558" s="237"/>
      <c r="F558" s="237"/>
      <c r="G558" s="237"/>
      <c r="H558" s="237"/>
      <c r="I558" s="237"/>
      <c r="J558" s="237"/>
      <c r="K558" s="237"/>
      <c r="L558" s="237"/>
      <c r="M558" s="237"/>
      <c r="N558" s="237"/>
      <c r="O558" s="237"/>
      <c r="P558" s="237"/>
      <c r="Q558" s="237"/>
      <c r="R558" s="237"/>
      <c r="S558" s="237"/>
      <c r="T558" s="237"/>
      <c r="U558" s="237"/>
      <c r="V558" s="237"/>
      <c r="W558" s="237"/>
      <c r="X558" s="237"/>
      <c r="Y558" s="237"/>
      <c r="Z558" s="237"/>
    </row>
    <row r="559" spans="1:26">
      <c r="A559" s="238"/>
      <c r="B559" s="237"/>
      <c r="D559" s="237"/>
      <c r="E559" s="237"/>
      <c r="F559" s="237"/>
      <c r="G559" s="237"/>
      <c r="H559" s="237"/>
      <c r="I559" s="237"/>
      <c r="J559" s="237"/>
      <c r="K559" s="237"/>
      <c r="L559" s="237"/>
      <c r="M559" s="237"/>
      <c r="N559" s="237"/>
      <c r="O559" s="237"/>
      <c r="P559" s="237"/>
      <c r="Q559" s="237"/>
      <c r="R559" s="237"/>
      <c r="S559" s="237"/>
      <c r="T559" s="237"/>
      <c r="U559" s="237"/>
      <c r="V559" s="237"/>
      <c r="W559" s="237"/>
      <c r="X559" s="237"/>
      <c r="Y559" s="237"/>
      <c r="Z559" s="237"/>
    </row>
    <row r="560" spans="1:26">
      <c r="A560" s="238"/>
      <c r="B560" s="237"/>
      <c r="D560" s="237"/>
      <c r="E560" s="237"/>
      <c r="F560" s="237"/>
      <c r="G560" s="237"/>
      <c r="H560" s="237"/>
      <c r="I560" s="237"/>
      <c r="J560" s="237"/>
      <c r="K560" s="237"/>
      <c r="L560" s="237"/>
      <c r="M560" s="237"/>
      <c r="N560" s="237"/>
      <c r="O560" s="237"/>
      <c r="P560" s="237"/>
      <c r="Q560" s="237"/>
      <c r="R560" s="237"/>
      <c r="S560" s="237"/>
      <c r="T560" s="237"/>
      <c r="U560" s="237"/>
      <c r="V560" s="237"/>
      <c r="W560" s="237"/>
      <c r="X560" s="237"/>
      <c r="Y560" s="237"/>
      <c r="Z560" s="237"/>
    </row>
    <row r="561" spans="1:26">
      <c r="A561" s="238"/>
      <c r="B561" s="237"/>
      <c r="D561" s="237"/>
      <c r="E561" s="237"/>
      <c r="F561" s="237"/>
      <c r="G561" s="237"/>
      <c r="H561" s="237"/>
      <c r="I561" s="237"/>
      <c r="J561" s="237"/>
      <c r="K561" s="237"/>
      <c r="L561" s="237"/>
      <c r="M561" s="237"/>
      <c r="N561" s="237"/>
      <c r="O561" s="237"/>
      <c r="P561" s="237"/>
      <c r="Q561" s="237"/>
      <c r="R561" s="237"/>
      <c r="S561" s="237"/>
      <c r="T561" s="237"/>
      <c r="U561" s="237"/>
      <c r="V561" s="237"/>
      <c r="W561" s="237"/>
      <c r="X561" s="237"/>
      <c r="Y561" s="237"/>
      <c r="Z561" s="237"/>
    </row>
    <row r="562" spans="1:26">
      <c r="A562" s="238"/>
      <c r="B562" s="237"/>
      <c r="D562" s="237"/>
      <c r="E562" s="237"/>
      <c r="F562" s="237"/>
      <c r="G562" s="237"/>
      <c r="H562" s="237"/>
      <c r="I562" s="237"/>
      <c r="J562" s="237"/>
      <c r="K562" s="237"/>
      <c r="L562" s="237"/>
      <c r="M562" s="237"/>
      <c r="N562" s="237"/>
      <c r="O562" s="237"/>
      <c r="P562" s="237"/>
      <c r="Q562" s="237"/>
      <c r="R562" s="237"/>
      <c r="S562" s="237"/>
      <c r="T562" s="237"/>
      <c r="U562" s="237"/>
      <c r="V562" s="237"/>
      <c r="W562" s="237"/>
      <c r="X562" s="237"/>
      <c r="Y562" s="237"/>
      <c r="Z562" s="237"/>
    </row>
    <row r="563" spans="1:26">
      <c r="A563" s="238"/>
      <c r="B563" s="237"/>
      <c r="D563" s="237"/>
      <c r="E563" s="237"/>
      <c r="F563" s="237"/>
      <c r="G563" s="237"/>
      <c r="H563" s="237"/>
      <c r="I563" s="237"/>
      <c r="J563" s="237"/>
      <c r="K563" s="237"/>
      <c r="L563" s="237"/>
      <c r="M563" s="237"/>
      <c r="N563" s="237"/>
      <c r="O563" s="237"/>
      <c r="P563" s="237"/>
      <c r="Q563" s="237"/>
      <c r="R563" s="237"/>
      <c r="S563" s="237"/>
      <c r="T563" s="237"/>
      <c r="U563" s="237"/>
      <c r="V563" s="237"/>
      <c r="W563" s="237"/>
      <c r="X563" s="237"/>
      <c r="Y563" s="237"/>
      <c r="Z563" s="237"/>
    </row>
    <row r="564" spans="1:26">
      <c r="A564" s="238"/>
      <c r="B564" s="237"/>
      <c r="D564" s="237"/>
      <c r="E564" s="237"/>
      <c r="F564" s="237"/>
      <c r="G564" s="237"/>
      <c r="H564" s="237"/>
      <c r="I564" s="237"/>
      <c r="J564" s="237"/>
      <c r="K564" s="237"/>
      <c r="L564" s="237"/>
      <c r="M564" s="237"/>
      <c r="N564" s="237"/>
      <c r="O564" s="237"/>
      <c r="P564" s="237"/>
      <c r="Q564" s="237"/>
      <c r="R564" s="237"/>
      <c r="S564" s="237"/>
      <c r="T564" s="237"/>
      <c r="U564" s="237"/>
      <c r="V564" s="237"/>
      <c r="W564" s="237"/>
      <c r="X564" s="237"/>
      <c r="Y564" s="237"/>
      <c r="Z564" s="237"/>
    </row>
    <row r="565" spans="1:26">
      <c r="A565" s="238"/>
      <c r="B565" s="237"/>
      <c r="D565" s="237"/>
      <c r="E565" s="237"/>
      <c r="F565" s="237"/>
      <c r="G565" s="237"/>
      <c r="H565" s="237"/>
      <c r="I565" s="237"/>
      <c r="J565" s="237"/>
      <c r="K565" s="237"/>
      <c r="L565" s="237"/>
      <c r="M565" s="237"/>
      <c r="N565" s="237"/>
      <c r="O565" s="237"/>
      <c r="P565" s="237"/>
      <c r="Q565" s="237"/>
      <c r="R565" s="237"/>
      <c r="S565" s="237"/>
      <c r="T565" s="237"/>
      <c r="U565" s="237"/>
      <c r="V565" s="237"/>
      <c r="W565" s="237"/>
      <c r="X565" s="237"/>
      <c r="Y565" s="237"/>
      <c r="Z565" s="237"/>
    </row>
    <row r="566" spans="1:26">
      <c r="A566" s="238"/>
      <c r="B566" s="237"/>
      <c r="D566" s="237"/>
      <c r="E566" s="237"/>
      <c r="F566" s="237"/>
      <c r="G566" s="237"/>
      <c r="H566" s="237"/>
      <c r="I566" s="237"/>
      <c r="J566" s="237"/>
      <c r="K566" s="237"/>
      <c r="L566" s="237"/>
      <c r="M566" s="237"/>
      <c r="N566" s="237"/>
      <c r="O566" s="237"/>
      <c r="P566" s="237"/>
      <c r="Q566" s="237"/>
      <c r="R566" s="237"/>
      <c r="S566" s="237"/>
      <c r="T566" s="237"/>
      <c r="U566" s="237"/>
      <c r="V566" s="237"/>
      <c r="W566" s="237"/>
      <c r="X566" s="237"/>
      <c r="Y566" s="237"/>
      <c r="Z566" s="237"/>
    </row>
    <row r="567" spans="1:26">
      <c r="A567" s="238"/>
      <c r="B567" s="237"/>
      <c r="D567" s="237"/>
      <c r="E567" s="237"/>
      <c r="F567" s="237"/>
      <c r="G567" s="237"/>
      <c r="H567" s="237"/>
      <c r="I567" s="237"/>
      <c r="J567" s="237"/>
      <c r="K567" s="237"/>
      <c r="L567" s="237"/>
      <c r="M567" s="237"/>
      <c r="N567" s="237"/>
      <c r="O567" s="237"/>
      <c r="P567" s="237"/>
      <c r="Q567" s="237"/>
      <c r="R567" s="237"/>
      <c r="S567" s="237"/>
      <c r="T567" s="237"/>
      <c r="U567" s="237"/>
      <c r="V567" s="237"/>
      <c r="W567" s="237"/>
      <c r="X567" s="237"/>
      <c r="Y567" s="237"/>
      <c r="Z567" s="237"/>
    </row>
    <row r="568" spans="1:26">
      <c r="A568" s="238"/>
      <c r="B568" s="237"/>
      <c r="D568" s="237"/>
      <c r="E568" s="237"/>
      <c r="F568" s="237"/>
      <c r="G568" s="237"/>
      <c r="H568" s="237"/>
      <c r="I568" s="237"/>
      <c r="J568" s="237"/>
      <c r="K568" s="237"/>
      <c r="L568" s="237"/>
      <c r="M568" s="237"/>
      <c r="N568" s="237"/>
      <c r="O568" s="237"/>
      <c r="P568" s="237"/>
      <c r="Q568" s="237"/>
      <c r="R568" s="237"/>
      <c r="S568" s="237"/>
      <c r="T568" s="237"/>
      <c r="U568" s="237"/>
      <c r="V568" s="237"/>
      <c r="W568" s="237"/>
      <c r="X568" s="237"/>
      <c r="Y568" s="237"/>
      <c r="Z568" s="237"/>
    </row>
    <row r="569" spans="1:26">
      <c r="A569" s="238"/>
      <c r="B569" s="237"/>
      <c r="D569" s="237"/>
      <c r="E569" s="237"/>
      <c r="F569" s="237"/>
      <c r="G569" s="237"/>
      <c r="H569" s="237"/>
      <c r="I569" s="237"/>
      <c r="J569" s="237"/>
      <c r="K569" s="237"/>
      <c r="L569" s="237"/>
      <c r="M569" s="237"/>
      <c r="N569" s="237"/>
      <c r="O569" s="237"/>
      <c r="P569" s="237"/>
      <c r="Q569" s="237"/>
      <c r="R569" s="237"/>
      <c r="S569" s="237"/>
      <c r="T569" s="237"/>
      <c r="U569" s="237"/>
      <c r="V569" s="237"/>
      <c r="W569" s="237"/>
      <c r="X569" s="237"/>
      <c r="Y569" s="237"/>
      <c r="Z569" s="237"/>
    </row>
    <row r="570" spans="1:26">
      <c r="A570" s="238"/>
      <c r="B570" s="237"/>
      <c r="D570" s="237"/>
      <c r="E570" s="237"/>
      <c r="F570" s="237"/>
      <c r="G570" s="237"/>
      <c r="H570" s="237"/>
      <c r="I570" s="237"/>
      <c r="J570" s="237"/>
      <c r="K570" s="237"/>
      <c r="L570" s="237"/>
      <c r="M570" s="237"/>
      <c r="N570" s="237"/>
      <c r="O570" s="237"/>
      <c r="P570" s="237"/>
      <c r="Q570" s="237"/>
      <c r="R570" s="237"/>
      <c r="S570" s="237"/>
      <c r="T570" s="237"/>
      <c r="U570" s="237"/>
      <c r="V570" s="237"/>
      <c r="W570" s="237"/>
      <c r="X570" s="237"/>
      <c r="Y570" s="237"/>
      <c r="Z570" s="237"/>
    </row>
    <row r="571" spans="1:26">
      <c r="A571" s="238"/>
      <c r="B571" s="237"/>
      <c r="D571" s="237"/>
      <c r="E571" s="237"/>
      <c r="F571" s="237"/>
      <c r="G571" s="237"/>
      <c r="H571" s="237"/>
      <c r="I571" s="237"/>
      <c r="J571" s="237"/>
      <c r="K571" s="237"/>
      <c r="L571" s="237"/>
      <c r="M571" s="237"/>
      <c r="N571" s="237"/>
      <c r="O571" s="237"/>
      <c r="P571" s="237"/>
      <c r="Q571" s="237"/>
      <c r="R571" s="237"/>
      <c r="S571" s="237"/>
      <c r="T571" s="237"/>
      <c r="U571" s="237"/>
      <c r="V571" s="237"/>
      <c r="W571" s="237"/>
      <c r="X571" s="237"/>
      <c r="Y571" s="237"/>
      <c r="Z571" s="237"/>
    </row>
    <row r="572" spans="1:26">
      <c r="A572" s="238"/>
      <c r="B572" s="237"/>
      <c r="D572" s="237"/>
      <c r="E572" s="237"/>
      <c r="F572" s="237"/>
      <c r="G572" s="237"/>
      <c r="H572" s="237"/>
      <c r="I572" s="237"/>
      <c r="J572" s="237"/>
      <c r="K572" s="237"/>
      <c r="L572" s="237"/>
      <c r="M572" s="237"/>
      <c r="N572" s="237"/>
      <c r="O572" s="237"/>
      <c r="P572" s="237"/>
      <c r="Q572" s="237"/>
      <c r="R572" s="237"/>
      <c r="S572" s="237"/>
      <c r="T572" s="237"/>
      <c r="U572" s="237"/>
      <c r="V572" s="237"/>
      <c r="W572" s="237"/>
      <c r="X572" s="237"/>
      <c r="Y572" s="237"/>
      <c r="Z572" s="237"/>
    </row>
    <row r="573" spans="1:26">
      <c r="A573" s="238"/>
      <c r="B573" s="237"/>
      <c r="D573" s="237"/>
      <c r="E573" s="237"/>
      <c r="F573" s="237"/>
      <c r="G573" s="237"/>
      <c r="H573" s="237"/>
      <c r="I573" s="237"/>
      <c r="J573" s="237"/>
      <c r="K573" s="237"/>
      <c r="L573" s="237"/>
      <c r="M573" s="237"/>
      <c r="N573" s="237"/>
      <c r="O573" s="237"/>
      <c r="P573" s="237"/>
      <c r="Q573" s="237"/>
      <c r="R573" s="237"/>
      <c r="S573" s="237"/>
      <c r="T573" s="237"/>
      <c r="U573" s="237"/>
      <c r="V573" s="237"/>
      <c r="W573" s="237"/>
      <c r="X573" s="237"/>
      <c r="Y573" s="237"/>
      <c r="Z573" s="237"/>
    </row>
    <row r="574" spans="1:26">
      <c r="A574" s="238"/>
      <c r="B574" s="237"/>
      <c r="D574" s="237"/>
      <c r="E574" s="237"/>
      <c r="F574" s="237"/>
      <c r="G574" s="237"/>
      <c r="H574" s="237"/>
      <c r="I574" s="237"/>
      <c r="J574" s="237"/>
      <c r="K574" s="237"/>
      <c r="L574" s="237"/>
      <c r="M574" s="237"/>
      <c r="N574" s="237"/>
      <c r="O574" s="237"/>
      <c r="P574" s="237"/>
      <c r="Q574" s="237"/>
      <c r="R574" s="237"/>
      <c r="S574" s="237"/>
      <c r="T574" s="237"/>
      <c r="U574" s="237"/>
      <c r="V574" s="237"/>
      <c r="W574" s="237"/>
      <c r="X574" s="237"/>
      <c r="Y574" s="237"/>
      <c r="Z574" s="237"/>
    </row>
    <row r="575" spans="1:26">
      <c r="A575" s="238"/>
      <c r="B575" s="237"/>
      <c r="D575" s="237"/>
      <c r="E575" s="237"/>
      <c r="F575" s="237"/>
      <c r="G575" s="237"/>
      <c r="H575" s="237"/>
      <c r="I575" s="237"/>
      <c r="J575" s="237"/>
      <c r="K575" s="237"/>
      <c r="L575" s="237"/>
      <c r="M575" s="237"/>
      <c r="N575" s="237"/>
      <c r="O575" s="237"/>
      <c r="P575" s="237"/>
      <c r="Q575" s="237"/>
      <c r="R575" s="237"/>
      <c r="S575" s="237"/>
      <c r="T575" s="237"/>
      <c r="U575" s="237"/>
      <c r="V575" s="237"/>
      <c r="W575" s="237"/>
      <c r="X575" s="237"/>
      <c r="Y575" s="237"/>
      <c r="Z575" s="237"/>
    </row>
    <row r="576" spans="1:26">
      <c r="A576" s="238"/>
      <c r="B576" s="237"/>
      <c r="D576" s="237"/>
      <c r="E576" s="237"/>
      <c r="F576" s="237"/>
      <c r="G576" s="237"/>
      <c r="H576" s="237"/>
      <c r="I576" s="237"/>
      <c r="J576" s="237"/>
      <c r="K576" s="237"/>
      <c r="L576" s="237"/>
      <c r="M576" s="237"/>
      <c r="N576" s="237"/>
      <c r="O576" s="237"/>
      <c r="P576" s="237"/>
      <c r="Q576" s="237"/>
      <c r="R576" s="237"/>
      <c r="S576" s="237"/>
      <c r="T576" s="237"/>
      <c r="U576" s="237"/>
      <c r="V576" s="237"/>
      <c r="W576" s="237"/>
      <c r="X576" s="237"/>
      <c r="Y576" s="237"/>
      <c r="Z576" s="237"/>
    </row>
    <row r="577" spans="1:26">
      <c r="A577" s="238"/>
      <c r="B577" s="237"/>
      <c r="D577" s="237"/>
      <c r="E577" s="237"/>
      <c r="F577" s="237"/>
      <c r="G577" s="237"/>
      <c r="H577" s="237"/>
      <c r="I577" s="237"/>
      <c r="J577" s="237"/>
      <c r="K577" s="237"/>
      <c r="L577" s="237"/>
      <c r="M577" s="237"/>
      <c r="N577" s="237"/>
      <c r="O577" s="237"/>
      <c r="P577" s="237"/>
      <c r="Q577" s="237"/>
      <c r="R577" s="237"/>
      <c r="S577" s="237"/>
      <c r="T577" s="237"/>
      <c r="U577" s="237"/>
      <c r="V577" s="237"/>
      <c r="W577" s="237"/>
      <c r="X577" s="237"/>
      <c r="Y577" s="237"/>
      <c r="Z577" s="237"/>
    </row>
    <row r="578" spans="1:26">
      <c r="A578" s="238"/>
      <c r="B578" s="237"/>
      <c r="D578" s="237"/>
      <c r="E578" s="237"/>
      <c r="F578" s="237"/>
      <c r="G578" s="237"/>
      <c r="H578" s="237"/>
      <c r="I578" s="237"/>
      <c r="J578" s="237"/>
      <c r="K578" s="237"/>
      <c r="L578" s="237"/>
      <c r="M578" s="237"/>
      <c r="N578" s="237"/>
      <c r="O578" s="237"/>
      <c r="P578" s="237"/>
      <c r="Q578" s="237"/>
      <c r="R578" s="237"/>
      <c r="S578" s="237"/>
      <c r="T578" s="237"/>
      <c r="U578" s="237"/>
      <c r="V578" s="237"/>
      <c r="W578" s="237"/>
      <c r="X578" s="237"/>
      <c r="Y578" s="237"/>
      <c r="Z578" s="237"/>
    </row>
    <row r="579" spans="1:26">
      <c r="A579" s="238"/>
      <c r="B579" s="237"/>
      <c r="D579" s="237"/>
      <c r="E579" s="237"/>
      <c r="F579" s="237"/>
      <c r="G579" s="237"/>
      <c r="H579" s="237"/>
      <c r="I579" s="237"/>
      <c r="J579" s="237"/>
      <c r="K579" s="237"/>
      <c r="L579" s="237"/>
      <c r="M579" s="237"/>
      <c r="N579" s="237"/>
      <c r="O579" s="237"/>
      <c r="P579" s="237"/>
      <c r="Q579" s="237"/>
      <c r="R579" s="237"/>
      <c r="S579" s="237"/>
      <c r="T579" s="237"/>
      <c r="U579" s="237"/>
      <c r="V579" s="237"/>
      <c r="W579" s="237"/>
      <c r="X579" s="237"/>
      <c r="Y579" s="237"/>
      <c r="Z579" s="237"/>
    </row>
    <row r="580" spans="1:26">
      <c r="A580" s="238"/>
      <c r="B580" s="237"/>
      <c r="D580" s="237"/>
      <c r="E580" s="237"/>
      <c r="F580" s="237"/>
      <c r="G580" s="237"/>
      <c r="H580" s="237"/>
      <c r="I580" s="237"/>
      <c r="J580" s="237"/>
      <c r="K580" s="237"/>
      <c r="L580" s="237"/>
      <c r="M580" s="237"/>
      <c r="N580" s="237"/>
      <c r="O580" s="237"/>
      <c r="P580" s="237"/>
      <c r="Q580" s="237"/>
      <c r="R580" s="237"/>
      <c r="S580" s="237"/>
      <c r="T580" s="237"/>
      <c r="U580" s="237"/>
      <c r="V580" s="237"/>
      <c r="W580" s="237"/>
      <c r="X580" s="237"/>
      <c r="Y580" s="237"/>
      <c r="Z580" s="237"/>
    </row>
    <row r="581" spans="1:26">
      <c r="A581" s="238"/>
      <c r="B581" s="237"/>
      <c r="D581" s="237"/>
      <c r="E581" s="237"/>
      <c r="F581" s="237"/>
      <c r="G581" s="237"/>
      <c r="H581" s="237"/>
      <c r="I581" s="237"/>
      <c r="J581" s="237"/>
      <c r="K581" s="237"/>
      <c r="L581" s="237"/>
      <c r="M581" s="237"/>
      <c r="N581" s="237"/>
      <c r="O581" s="237"/>
      <c r="P581" s="237"/>
      <c r="Q581" s="237"/>
      <c r="R581" s="237"/>
      <c r="S581" s="237"/>
      <c r="T581" s="237"/>
      <c r="U581" s="237"/>
      <c r="V581" s="237"/>
      <c r="W581" s="237"/>
      <c r="X581" s="237"/>
      <c r="Y581" s="237"/>
      <c r="Z581" s="237"/>
    </row>
    <row r="582" spans="1:26">
      <c r="A582" s="238"/>
      <c r="B582" s="237"/>
      <c r="D582" s="237"/>
      <c r="E582" s="237"/>
      <c r="F582" s="237"/>
      <c r="G582" s="237"/>
      <c r="H582" s="237"/>
      <c r="I582" s="237"/>
      <c r="J582" s="237"/>
      <c r="K582" s="237"/>
      <c r="L582" s="237"/>
      <c r="M582" s="237"/>
      <c r="N582" s="237"/>
      <c r="O582" s="237"/>
      <c r="P582" s="237"/>
      <c r="Q582" s="237"/>
      <c r="R582" s="237"/>
      <c r="S582" s="237"/>
      <c r="T582" s="237"/>
      <c r="U582" s="237"/>
      <c r="V582" s="237"/>
      <c r="W582" s="237"/>
      <c r="X582" s="237"/>
      <c r="Y582" s="237"/>
      <c r="Z582" s="237"/>
    </row>
    <row r="583" spans="1:26">
      <c r="A583" s="238"/>
      <c r="B583" s="237"/>
      <c r="D583" s="237"/>
      <c r="E583" s="237"/>
      <c r="F583" s="237"/>
      <c r="G583" s="237"/>
      <c r="H583" s="237"/>
      <c r="I583" s="237"/>
      <c r="J583" s="237"/>
      <c r="K583" s="237"/>
      <c r="L583" s="237"/>
      <c r="M583" s="237"/>
      <c r="N583" s="237"/>
      <c r="O583" s="237"/>
      <c r="P583" s="237"/>
      <c r="Q583" s="237"/>
      <c r="R583" s="237"/>
      <c r="S583" s="237"/>
      <c r="T583" s="237"/>
      <c r="U583" s="237"/>
      <c r="V583" s="237"/>
      <c r="W583" s="237"/>
      <c r="X583" s="237"/>
      <c r="Y583" s="237"/>
      <c r="Z583" s="237"/>
    </row>
    <row r="584" spans="1:26">
      <c r="A584" s="238"/>
      <c r="B584" s="237"/>
      <c r="D584" s="237"/>
      <c r="E584" s="237"/>
      <c r="F584" s="237"/>
      <c r="G584" s="237"/>
      <c r="H584" s="237"/>
      <c r="I584" s="237"/>
      <c r="J584" s="237"/>
      <c r="K584" s="237"/>
      <c r="L584" s="237"/>
      <c r="M584" s="237"/>
      <c r="N584" s="237"/>
      <c r="O584" s="237"/>
      <c r="P584" s="237"/>
      <c r="Q584" s="237"/>
      <c r="R584" s="237"/>
      <c r="S584" s="237"/>
      <c r="T584" s="237"/>
      <c r="U584" s="237"/>
      <c r="V584" s="237"/>
      <c r="W584" s="237"/>
      <c r="X584" s="237"/>
      <c r="Y584" s="237"/>
      <c r="Z584" s="237"/>
    </row>
    <row r="585" spans="1:26">
      <c r="A585" s="238"/>
      <c r="B585" s="237"/>
      <c r="D585" s="237"/>
      <c r="E585" s="237"/>
      <c r="F585" s="237"/>
      <c r="G585" s="237"/>
      <c r="H585" s="237"/>
      <c r="I585" s="237"/>
      <c r="J585" s="237"/>
      <c r="K585" s="237"/>
      <c r="L585" s="237"/>
      <c r="M585" s="237"/>
      <c r="N585" s="237"/>
      <c r="O585" s="237"/>
      <c r="P585" s="237"/>
      <c r="Q585" s="237"/>
      <c r="R585" s="237"/>
      <c r="S585" s="237"/>
      <c r="T585" s="237"/>
      <c r="U585" s="237"/>
      <c r="V585" s="237"/>
      <c r="W585" s="237"/>
      <c r="X585" s="237"/>
      <c r="Y585" s="237"/>
      <c r="Z585" s="237"/>
    </row>
    <row r="586" spans="1:26">
      <c r="A586" s="238"/>
      <c r="B586" s="237"/>
      <c r="D586" s="237"/>
      <c r="E586" s="237"/>
      <c r="F586" s="237"/>
      <c r="G586" s="237"/>
      <c r="H586" s="237"/>
      <c r="I586" s="237"/>
      <c r="J586" s="237"/>
      <c r="K586" s="237"/>
      <c r="L586" s="237"/>
      <c r="M586" s="237"/>
      <c r="N586" s="237"/>
      <c r="O586" s="237"/>
      <c r="P586" s="237"/>
      <c r="Q586" s="237"/>
      <c r="R586" s="237"/>
      <c r="S586" s="237"/>
      <c r="T586" s="237"/>
      <c r="U586" s="237"/>
      <c r="V586" s="237"/>
      <c r="W586" s="237"/>
      <c r="X586" s="237"/>
      <c r="Y586" s="237"/>
      <c r="Z586" s="237"/>
    </row>
    <row r="587" spans="1:26">
      <c r="A587" s="238"/>
      <c r="B587" s="237"/>
      <c r="D587" s="237"/>
      <c r="E587" s="237"/>
      <c r="F587" s="237"/>
      <c r="G587" s="237"/>
      <c r="H587" s="237"/>
      <c r="I587" s="237"/>
      <c r="J587" s="237"/>
      <c r="K587" s="237"/>
      <c r="L587" s="237"/>
      <c r="M587" s="237"/>
      <c r="N587" s="237"/>
      <c r="O587" s="237"/>
      <c r="P587" s="237"/>
      <c r="Q587" s="237"/>
      <c r="R587" s="237"/>
      <c r="S587" s="237"/>
      <c r="T587" s="237"/>
      <c r="U587" s="237"/>
      <c r="V587" s="237"/>
      <c r="W587" s="237"/>
      <c r="X587" s="237"/>
      <c r="Y587" s="237"/>
      <c r="Z587" s="237"/>
    </row>
    <row r="588" spans="1:26">
      <c r="A588" s="238"/>
      <c r="B588" s="237"/>
      <c r="D588" s="237"/>
      <c r="E588" s="237"/>
      <c r="F588" s="237"/>
      <c r="G588" s="237"/>
      <c r="H588" s="237"/>
      <c r="I588" s="237"/>
      <c r="J588" s="237"/>
      <c r="K588" s="237"/>
      <c r="L588" s="237"/>
      <c r="M588" s="237"/>
      <c r="N588" s="237"/>
      <c r="O588" s="237"/>
      <c r="P588" s="237"/>
      <c r="Q588" s="237"/>
      <c r="R588" s="237"/>
      <c r="S588" s="237"/>
      <c r="T588" s="237"/>
      <c r="U588" s="237"/>
      <c r="V588" s="237"/>
      <c r="W588" s="237"/>
      <c r="X588" s="237"/>
      <c r="Y588" s="237"/>
      <c r="Z588" s="237"/>
    </row>
    <row r="589" spans="1:26">
      <c r="A589" s="238"/>
      <c r="B589" s="237"/>
      <c r="D589" s="237"/>
      <c r="E589" s="237"/>
      <c r="F589" s="237"/>
      <c r="G589" s="237"/>
      <c r="H589" s="237"/>
      <c r="I589" s="237"/>
      <c r="J589" s="237"/>
      <c r="K589" s="237"/>
      <c r="L589" s="237"/>
      <c r="M589" s="237"/>
      <c r="N589" s="237"/>
      <c r="O589" s="237"/>
      <c r="P589" s="237"/>
      <c r="Q589" s="237"/>
      <c r="R589" s="237"/>
      <c r="S589" s="237"/>
      <c r="T589" s="237"/>
      <c r="U589" s="237"/>
      <c r="V589" s="237"/>
      <c r="W589" s="237"/>
      <c r="X589" s="237"/>
      <c r="Y589" s="237"/>
      <c r="Z589" s="237"/>
    </row>
    <row r="590" spans="1:26">
      <c r="A590" s="238"/>
      <c r="B590" s="237"/>
      <c r="D590" s="237"/>
      <c r="E590" s="237"/>
      <c r="F590" s="237"/>
      <c r="G590" s="237"/>
      <c r="H590" s="237"/>
      <c r="I590" s="237"/>
      <c r="J590" s="237"/>
      <c r="K590" s="237"/>
      <c r="L590" s="237"/>
      <c r="M590" s="237"/>
      <c r="N590" s="237"/>
      <c r="O590" s="237"/>
      <c r="P590" s="237"/>
      <c r="Q590" s="237"/>
      <c r="R590" s="237"/>
      <c r="S590" s="237"/>
      <c r="T590" s="237"/>
      <c r="U590" s="237"/>
      <c r="V590" s="237"/>
      <c r="W590" s="237"/>
      <c r="X590" s="237"/>
      <c r="Y590" s="237"/>
      <c r="Z590" s="237"/>
    </row>
    <row r="591" spans="1:26">
      <c r="A591" s="238"/>
      <c r="B591" s="237"/>
      <c r="D591" s="237"/>
      <c r="E591" s="237"/>
      <c r="F591" s="237"/>
      <c r="G591" s="237"/>
      <c r="H591" s="237"/>
      <c r="I591" s="237"/>
      <c r="J591" s="237"/>
      <c r="K591" s="237"/>
      <c r="L591" s="237"/>
      <c r="M591" s="237"/>
      <c r="N591" s="237"/>
      <c r="O591" s="237"/>
      <c r="P591" s="237"/>
      <c r="Q591" s="237"/>
      <c r="R591" s="237"/>
      <c r="S591" s="237"/>
      <c r="T591" s="237"/>
      <c r="U591" s="237"/>
      <c r="V591" s="237"/>
      <c r="W591" s="237"/>
      <c r="X591" s="237"/>
      <c r="Y591" s="237"/>
      <c r="Z591" s="237"/>
    </row>
    <row r="592" spans="1:26">
      <c r="A592" s="238"/>
      <c r="B592" s="237"/>
      <c r="D592" s="237"/>
      <c r="E592" s="237"/>
      <c r="F592" s="237"/>
      <c r="G592" s="237"/>
      <c r="H592" s="237"/>
      <c r="I592" s="237"/>
      <c r="J592" s="237"/>
      <c r="K592" s="237"/>
      <c r="L592" s="237"/>
      <c r="M592" s="237"/>
      <c r="N592" s="237"/>
      <c r="O592" s="237"/>
      <c r="P592" s="237"/>
      <c r="Q592" s="237"/>
      <c r="R592" s="237"/>
      <c r="S592" s="237"/>
      <c r="T592" s="237"/>
      <c r="U592" s="237"/>
      <c r="V592" s="237"/>
      <c r="W592" s="237"/>
      <c r="X592" s="237"/>
      <c r="Y592" s="237"/>
      <c r="Z592" s="237"/>
    </row>
    <row r="593" spans="1:26">
      <c r="A593" s="238"/>
      <c r="B593" s="237"/>
      <c r="D593" s="237"/>
      <c r="E593" s="237"/>
      <c r="F593" s="237"/>
      <c r="G593" s="237"/>
      <c r="H593" s="237"/>
      <c r="I593" s="237"/>
      <c r="J593" s="237"/>
      <c r="K593" s="237"/>
      <c r="L593" s="237"/>
      <c r="M593" s="237"/>
      <c r="N593" s="237"/>
      <c r="O593" s="237"/>
      <c r="P593" s="237"/>
      <c r="Q593" s="237"/>
      <c r="R593" s="237"/>
      <c r="S593" s="237"/>
      <c r="T593" s="237"/>
      <c r="U593" s="237"/>
      <c r="V593" s="237"/>
      <c r="W593" s="237"/>
      <c r="X593" s="237"/>
      <c r="Y593" s="237"/>
      <c r="Z593" s="237"/>
    </row>
    <row r="594" spans="1:26">
      <c r="A594" s="238"/>
      <c r="B594" s="237"/>
      <c r="D594" s="237"/>
      <c r="E594" s="237"/>
      <c r="F594" s="237"/>
      <c r="G594" s="237"/>
      <c r="H594" s="237"/>
      <c r="I594" s="237"/>
      <c r="J594" s="237"/>
      <c r="K594" s="237"/>
      <c r="L594" s="237"/>
      <c r="M594" s="237"/>
      <c r="N594" s="237"/>
      <c r="O594" s="237"/>
      <c r="P594" s="237"/>
      <c r="Q594" s="237"/>
      <c r="R594" s="237"/>
      <c r="S594" s="237"/>
      <c r="T594" s="237"/>
      <c r="U594" s="237"/>
      <c r="V594" s="237"/>
      <c r="W594" s="237"/>
      <c r="X594" s="237"/>
      <c r="Y594" s="237"/>
      <c r="Z594" s="237"/>
    </row>
    <row r="595" spans="1:26">
      <c r="A595" s="238"/>
      <c r="B595" s="237"/>
      <c r="D595" s="237"/>
      <c r="E595" s="237"/>
      <c r="F595" s="237"/>
      <c r="G595" s="237"/>
      <c r="H595" s="237"/>
      <c r="I595" s="237"/>
      <c r="J595" s="237"/>
      <c r="K595" s="237"/>
      <c r="L595" s="237"/>
      <c r="M595" s="237"/>
      <c r="N595" s="237"/>
      <c r="O595" s="237"/>
      <c r="P595" s="237"/>
      <c r="Q595" s="237"/>
      <c r="R595" s="237"/>
      <c r="S595" s="237"/>
      <c r="T595" s="237"/>
      <c r="U595" s="237"/>
      <c r="V595" s="237"/>
      <c r="W595" s="237"/>
      <c r="X595" s="237"/>
      <c r="Y595" s="237"/>
      <c r="Z595" s="237"/>
    </row>
    <row r="596" spans="1:26">
      <c r="A596" s="238"/>
      <c r="B596" s="237"/>
      <c r="D596" s="237"/>
      <c r="E596" s="237"/>
      <c r="F596" s="237"/>
      <c r="G596" s="237"/>
      <c r="H596" s="237"/>
      <c r="I596" s="237"/>
      <c r="J596" s="237"/>
      <c r="K596" s="237"/>
      <c r="L596" s="237"/>
      <c r="M596" s="237"/>
      <c r="N596" s="237"/>
      <c r="O596" s="237"/>
      <c r="P596" s="237"/>
      <c r="Q596" s="237"/>
      <c r="R596" s="237"/>
      <c r="S596" s="237"/>
      <c r="T596" s="237"/>
      <c r="U596" s="237"/>
      <c r="V596" s="237"/>
      <c r="W596" s="237"/>
      <c r="X596" s="237"/>
      <c r="Y596" s="237"/>
      <c r="Z596" s="237"/>
    </row>
    <row r="597" spans="1:26">
      <c r="A597" s="238"/>
      <c r="B597" s="237"/>
      <c r="D597" s="237"/>
      <c r="E597" s="237"/>
      <c r="F597" s="237"/>
      <c r="G597" s="237"/>
      <c r="H597" s="237"/>
      <c r="I597" s="237"/>
      <c r="J597" s="237"/>
      <c r="K597" s="237"/>
      <c r="L597" s="237"/>
      <c r="M597" s="237"/>
      <c r="N597" s="237"/>
      <c r="O597" s="237"/>
      <c r="P597" s="237"/>
      <c r="Q597" s="237"/>
      <c r="R597" s="237"/>
      <c r="S597" s="237"/>
      <c r="T597" s="237"/>
      <c r="U597" s="237"/>
      <c r="V597" s="237"/>
      <c r="W597" s="237"/>
      <c r="X597" s="237"/>
      <c r="Y597" s="237"/>
      <c r="Z597" s="237"/>
    </row>
    <row r="598" spans="1:26">
      <c r="A598" s="238"/>
      <c r="B598" s="237"/>
      <c r="D598" s="237"/>
      <c r="E598" s="237"/>
      <c r="F598" s="237"/>
      <c r="G598" s="237"/>
      <c r="H598" s="237"/>
      <c r="I598" s="237"/>
      <c r="J598" s="237"/>
      <c r="K598" s="237"/>
      <c r="L598" s="237"/>
      <c r="M598" s="237"/>
      <c r="N598" s="237"/>
      <c r="O598" s="237"/>
      <c r="P598" s="237"/>
      <c r="Q598" s="237"/>
      <c r="R598" s="237"/>
      <c r="S598" s="237"/>
      <c r="T598" s="237"/>
      <c r="U598" s="237"/>
      <c r="V598" s="237"/>
      <c r="W598" s="237"/>
      <c r="X598" s="237"/>
      <c r="Y598" s="237"/>
      <c r="Z598" s="237"/>
    </row>
    <row r="599" spans="1:26">
      <c r="A599" s="238"/>
      <c r="B599" s="237"/>
      <c r="D599" s="237"/>
      <c r="E599" s="237"/>
      <c r="F599" s="237"/>
      <c r="G599" s="237"/>
      <c r="H599" s="237"/>
      <c r="I599" s="237"/>
      <c r="J599" s="237"/>
      <c r="K599" s="237"/>
      <c r="L599" s="237"/>
      <c r="M599" s="237"/>
      <c r="N599" s="237"/>
      <c r="O599" s="237"/>
      <c r="P599" s="237"/>
      <c r="Q599" s="237"/>
      <c r="R599" s="237"/>
      <c r="S599" s="237"/>
      <c r="T599" s="237"/>
      <c r="U599" s="237"/>
      <c r="V599" s="237"/>
      <c r="W599" s="237"/>
      <c r="X599" s="237"/>
      <c r="Y599" s="237"/>
      <c r="Z599" s="237"/>
    </row>
    <row r="600" spans="1:26">
      <c r="A600" s="238"/>
      <c r="B600" s="237"/>
      <c r="D600" s="237"/>
      <c r="E600" s="237"/>
      <c r="F600" s="237"/>
      <c r="G600" s="237"/>
      <c r="H600" s="237"/>
      <c r="I600" s="237"/>
      <c r="J600" s="237"/>
      <c r="K600" s="237"/>
      <c r="L600" s="237"/>
      <c r="M600" s="237"/>
      <c r="N600" s="237"/>
      <c r="O600" s="237"/>
      <c r="P600" s="237"/>
      <c r="Q600" s="237"/>
      <c r="R600" s="237"/>
      <c r="S600" s="237"/>
      <c r="T600" s="237"/>
      <c r="U600" s="237"/>
      <c r="V600" s="237"/>
      <c r="W600" s="237"/>
      <c r="X600" s="237"/>
      <c r="Y600" s="237"/>
      <c r="Z600" s="237"/>
    </row>
    <row r="601" spans="1:26">
      <c r="A601" s="238"/>
      <c r="B601" s="237"/>
      <c r="D601" s="237"/>
      <c r="E601" s="237"/>
      <c r="F601" s="237"/>
      <c r="G601" s="237"/>
      <c r="H601" s="237"/>
      <c r="I601" s="237"/>
      <c r="J601" s="237"/>
      <c r="K601" s="237"/>
      <c r="L601" s="237"/>
      <c r="M601" s="237"/>
      <c r="N601" s="237"/>
      <c r="O601" s="237"/>
      <c r="P601" s="237"/>
      <c r="Q601" s="237"/>
      <c r="R601" s="237"/>
      <c r="S601" s="237"/>
      <c r="T601" s="237"/>
      <c r="U601" s="237"/>
      <c r="V601" s="237"/>
      <c r="W601" s="237"/>
      <c r="X601" s="237"/>
      <c r="Y601" s="237"/>
      <c r="Z601" s="237"/>
    </row>
    <row r="602" spans="1:26">
      <c r="A602" s="238"/>
      <c r="B602" s="237"/>
      <c r="D602" s="237"/>
      <c r="E602" s="237"/>
      <c r="F602" s="237"/>
      <c r="G602" s="237"/>
      <c r="H602" s="237"/>
      <c r="I602" s="237"/>
      <c r="J602" s="237"/>
      <c r="K602" s="237"/>
      <c r="L602" s="237"/>
      <c r="M602" s="237"/>
      <c r="N602" s="237"/>
      <c r="O602" s="237"/>
      <c r="P602" s="237"/>
      <c r="Q602" s="237"/>
      <c r="R602" s="237"/>
      <c r="S602" s="237"/>
      <c r="T602" s="237"/>
      <c r="U602" s="237"/>
      <c r="V602" s="237"/>
      <c r="W602" s="237"/>
      <c r="X602" s="237"/>
      <c r="Y602" s="237"/>
      <c r="Z602" s="237"/>
    </row>
    <row r="603" spans="1:26">
      <c r="A603" s="238"/>
      <c r="B603" s="237"/>
      <c r="D603" s="237"/>
      <c r="E603" s="237"/>
      <c r="F603" s="237"/>
      <c r="G603" s="237"/>
      <c r="H603" s="237"/>
      <c r="I603" s="237"/>
      <c r="J603" s="237"/>
      <c r="K603" s="237"/>
      <c r="L603" s="237"/>
      <c r="M603" s="237"/>
      <c r="N603" s="237"/>
      <c r="O603" s="237"/>
      <c r="P603" s="237"/>
      <c r="Q603" s="237"/>
      <c r="R603" s="237"/>
      <c r="S603" s="237"/>
      <c r="T603" s="237"/>
      <c r="U603" s="237"/>
      <c r="V603" s="237"/>
      <c r="W603" s="237"/>
      <c r="X603" s="237"/>
      <c r="Y603" s="237"/>
      <c r="Z603" s="237"/>
    </row>
    <row r="604" spans="1:26">
      <c r="A604" s="238"/>
      <c r="B604" s="237"/>
      <c r="D604" s="237"/>
      <c r="E604" s="237"/>
      <c r="F604" s="237"/>
      <c r="G604" s="237"/>
      <c r="H604" s="237"/>
      <c r="I604" s="237"/>
      <c r="J604" s="237"/>
      <c r="K604" s="237"/>
      <c r="L604" s="237"/>
      <c r="M604" s="237"/>
      <c r="N604" s="237"/>
      <c r="O604" s="237"/>
      <c r="P604" s="237"/>
      <c r="Q604" s="237"/>
      <c r="R604" s="237"/>
      <c r="S604" s="237"/>
      <c r="T604" s="237"/>
      <c r="U604" s="237"/>
      <c r="V604" s="237"/>
      <c r="W604" s="237"/>
      <c r="X604" s="237"/>
      <c r="Y604" s="237"/>
      <c r="Z604" s="237"/>
    </row>
    <row r="605" spans="1:26">
      <c r="A605" s="238"/>
      <c r="B605" s="237"/>
      <c r="D605" s="237"/>
      <c r="E605" s="237"/>
      <c r="F605" s="237"/>
      <c r="G605" s="237"/>
      <c r="H605" s="237"/>
      <c r="I605" s="237"/>
      <c r="J605" s="237"/>
      <c r="K605" s="237"/>
      <c r="L605" s="237"/>
      <c r="M605" s="237"/>
      <c r="N605" s="237"/>
      <c r="O605" s="237"/>
      <c r="P605" s="237"/>
      <c r="Q605" s="237"/>
      <c r="R605" s="237"/>
      <c r="S605" s="237"/>
      <c r="T605" s="237"/>
      <c r="U605" s="237"/>
      <c r="V605" s="237"/>
      <c r="W605" s="237"/>
      <c r="X605" s="237"/>
      <c r="Y605" s="237"/>
      <c r="Z605" s="237"/>
    </row>
    <row r="606" spans="1:26">
      <c r="A606" s="238"/>
      <c r="B606" s="237"/>
      <c r="D606" s="237"/>
      <c r="E606" s="237"/>
      <c r="F606" s="237"/>
      <c r="G606" s="237"/>
      <c r="H606" s="237"/>
      <c r="I606" s="237"/>
      <c r="J606" s="237"/>
      <c r="K606" s="237"/>
      <c r="L606" s="237"/>
      <c r="M606" s="237"/>
      <c r="N606" s="237"/>
      <c r="O606" s="237"/>
      <c r="P606" s="237"/>
      <c r="Q606" s="237"/>
      <c r="R606" s="237"/>
      <c r="S606" s="237"/>
      <c r="T606" s="237"/>
      <c r="U606" s="237"/>
      <c r="V606" s="237"/>
      <c r="W606" s="237"/>
      <c r="X606" s="237"/>
      <c r="Y606" s="237"/>
      <c r="Z606" s="237"/>
    </row>
    <row r="607" spans="1:26">
      <c r="A607" s="238"/>
      <c r="B607" s="237"/>
      <c r="D607" s="237"/>
      <c r="E607" s="237"/>
      <c r="F607" s="237"/>
      <c r="G607" s="237"/>
      <c r="H607" s="237"/>
      <c r="I607" s="237"/>
      <c r="J607" s="237"/>
      <c r="K607" s="237"/>
      <c r="L607" s="237"/>
      <c r="M607" s="237"/>
      <c r="N607" s="237"/>
      <c r="O607" s="237"/>
      <c r="P607" s="237"/>
      <c r="Q607" s="237"/>
      <c r="R607" s="237"/>
      <c r="S607" s="237"/>
      <c r="T607" s="237"/>
      <c r="U607" s="237"/>
      <c r="V607" s="237"/>
      <c r="W607" s="237"/>
      <c r="X607" s="237"/>
      <c r="Y607" s="237"/>
      <c r="Z607" s="237"/>
    </row>
    <row r="608" spans="1:26">
      <c r="A608" s="238"/>
      <c r="B608" s="237"/>
      <c r="D608" s="237"/>
      <c r="E608" s="237"/>
      <c r="F608" s="237"/>
      <c r="G608" s="237"/>
      <c r="H608" s="237"/>
      <c r="I608" s="237"/>
      <c r="J608" s="237"/>
      <c r="K608" s="237"/>
      <c r="L608" s="237"/>
      <c r="M608" s="237"/>
      <c r="N608" s="237"/>
      <c r="O608" s="237"/>
      <c r="P608" s="237"/>
      <c r="Q608" s="237"/>
      <c r="R608" s="237"/>
      <c r="S608" s="237"/>
      <c r="T608" s="237"/>
      <c r="U608" s="237"/>
      <c r="V608" s="237"/>
      <c r="W608" s="237"/>
      <c r="X608" s="237"/>
      <c r="Y608" s="237"/>
      <c r="Z608" s="237"/>
    </row>
    <row r="609" spans="1:26">
      <c r="A609" s="238"/>
      <c r="B609" s="237"/>
      <c r="D609" s="237"/>
      <c r="E609" s="237"/>
      <c r="F609" s="237"/>
      <c r="G609" s="237"/>
      <c r="H609" s="237"/>
      <c r="I609" s="237"/>
      <c r="J609" s="237"/>
      <c r="K609" s="237"/>
      <c r="L609" s="237"/>
      <c r="M609" s="237"/>
      <c r="N609" s="237"/>
      <c r="O609" s="237"/>
      <c r="P609" s="237"/>
      <c r="Q609" s="237"/>
      <c r="R609" s="237"/>
      <c r="S609" s="237"/>
      <c r="T609" s="237"/>
      <c r="U609" s="237"/>
      <c r="V609" s="237"/>
      <c r="W609" s="237"/>
      <c r="X609" s="237"/>
      <c r="Y609" s="237"/>
      <c r="Z609" s="237"/>
    </row>
    <row r="610" spans="1:26">
      <c r="A610" s="238"/>
      <c r="B610" s="237"/>
      <c r="D610" s="237"/>
      <c r="E610" s="237"/>
      <c r="F610" s="237"/>
      <c r="G610" s="237"/>
      <c r="H610" s="237"/>
      <c r="I610" s="237"/>
      <c r="J610" s="237"/>
      <c r="K610" s="237"/>
      <c r="L610" s="237"/>
      <c r="M610" s="237"/>
      <c r="N610" s="237"/>
      <c r="O610" s="237"/>
      <c r="P610" s="237"/>
      <c r="Q610" s="237"/>
      <c r="R610" s="237"/>
      <c r="S610" s="237"/>
      <c r="T610" s="237"/>
      <c r="U610" s="237"/>
      <c r="V610" s="237"/>
      <c r="W610" s="237"/>
      <c r="X610" s="237"/>
      <c r="Y610" s="237"/>
      <c r="Z610" s="237"/>
    </row>
    <row r="611" spans="1:26">
      <c r="A611" s="238"/>
      <c r="B611" s="237"/>
      <c r="D611" s="237"/>
      <c r="E611" s="237"/>
      <c r="F611" s="237"/>
      <c r="G611" s="237"/>
      <c r="H611" s="237"/>
      <c r="I611" s="237"/>
      <c r="J611" s="237"/>
      <c r="K611" s="237"/>
      <c r="L611" s="237"/>
      <c r="M611" s="237"/>
      <c r="N611" s="237"/>
      <c r="O611" s="237"/>
      <c r="P611" s="237"/>
      <c r="Q611" s="237"/>
      <c r="R611" s="237"/>
      <c r="S611" s="237"/>
      <c r="T611" s="237"/>
      <c r="U611" s="237"/>
      <c r="V611" s="237"/>
      <c r="W611" s="237"/>
      <c r="X611" s="237"/>
      <c r="Y611" s="237"/>
      <c r="Z611" s="237"/>
    </row>
    <row r="612" spans="1:26">
      <c r="A612" s="238"/>
      <c r="B612" s="237"/>
      <c r="D612" s="237"/>
      <c r="E612" s="237"/>
      <c r="F612" s="237"/>
      <c r="G612" s="237"/>
      <c r="H612" s="237"/>
      <c r="I612" s="237"/>
      <c r="J612" s="237"/>
      <c r="K612" s="237"/>
      <c r="L612" s="237"/>
      <c r="M612" s="237"/>
      <c r="N612" s="237"/>
      <c r="O612" s="237"/>
      <c r="P612" s="237"/>
      <c r="Q612" s="237"/>
      <c r="R612" s="237"/>
      <c r="S612" s="237"/>
      <c r="T612" s="237"/>
      <c r="U612" s="237"/>
      <c r="V612" s="237"/>
      <c r="W612" s="237"/>
      <c r="X612" s="237"/>
      <c r="Y612" s="237"/>
      <c r="Z612" s="237"/>
    </row>
    <row r="613" spans="1:26">
      <c r="A613" s="238"/>
      <c r="B613" s="237"/>
      <c r="D613" s="237"/>
      <c r="E613" s="237"/>
      <c r="F613" s="237"/>
      <c r="G613" s="237"/>
      <c r="H613" s="237"/>
      <c r="I613" s="237"/>
      <c r="J613" s="237"/>
      <c r="K613" s="237"/>
      <c r="L613" s="237"/>
      <c r="M613" s="237"/>
      <c r="N613" s="237"/>
      <c r="O613" s="237"/>
      <c r="P613" s="237"/>
      <c r="Q613" s="237"/>
      <c r="R613" s="237"/>
      <c r="S613" s="237"/>
      <c r="T613" s="237"/>
      <c r="U613" s="237"/>
      <c r="V613" s="237"/>
      <c r="W613" s="237"/>
      <c r="X613" s="237"/>
      <c r="Y613" s="237"/>
      <c r="Z613" s="237"/>
    </row>
    <row r="614" spans="1:26">
      <c r="A614" s="238"/>
      <c r="B614" s="237"/>
      <c r="D614" s="237"/>
      <c r="E614" s="237"/>
      <c r="F614" s="237"/>
      <c r="G614" s="237"/>
      <c r="H614" s="237"/>
      <c r="I614" s="237"/>
      <c r="J614" s="237"/>
      <c r="K614" s="237"/>
      <c r="L614" s="237"/>
      <c r="M614" s="237"/>
      <c r="N614" s="237"/>
      <c r="O614" s="237"/>
      <c r="P614" s="237"/>
      <c r="Q614" s="237"/>
      <c r="R614" s="237"/>
      <c r="S614" s="237"/>
      <c r="T614" s="237"/>
      <c r="U614" s="237"/>
      <c r="V614" s="237"/>
      <c r="W614" s="237"/>
      <c r="X614" s="237"/>
      <c r="Y614" s="237"/>
      <c r="Z614" s="237"/>
    </row>
    <row r="615" spans="1:26">
      <c r="A615" s="238"/>
      <c r="B615" s="237"/>
      <c r="D615" s="237"/>
      <c r="E615" s="237"/>
      <c r="F615" s="237"/>
      <c r="G615" s="237"/>
      <c r="H615" s="237"/>
      <c r="I615" s="237"/>
      <c r="J615" s="237"/>
      <c r="K615" s="237"/>
      <c r="L615" s="237"/>
      <c r="M615" s="237"/>
      <c r="N615" s="237"/>
      <c r="O615" s="237"/>
      <c r="P615" s="237"/>
      <c r="Q615" s="237"/>
      <c r="R615" s="237"/>
      <c r="S615" s="237"/>
      <c r="T615" s="237"/>
      <c r="U615" s="237"/>
      <c r="V615" s="237"/>
      <c r="W615" s="237"/>
      <c r="X615" s="237"/>
      <c r="Y615" s="237"/>
      <c r="Z615" s="237"/>
    </row>
    <row r="616" spans="1:26">
      <c r="A616" s="238"/>
      <c r="B616" s="237"/>
      <c r="D616" s="237"/>
      <c r="E616" s="237"/>
      <c r="F616" s="237"/>
      <c r="G616" s="237"/>
      <c r="H616" s="237"/>
      <c r="I616" s="237"/>
      <c r="J616" s="237"/>
      <c r="K616" s="237"/>
      <c r="L616" s="237"/>
      <c r="M616" s="237"/>
      <c r="N616" s="237"/>
      <c r="O616" s="237"/>
      <c r="P616" s="237"/>
      <c r="Q616" s="237"/>
      <c r="R616" s="237"/>
      <c r="S616" s="237"/>
      <c r="T616" s="237"/>
      <c r="U616" s="237"/>
      <c r="V616" s="237"/>
      <c r="W616" s="237"/>
      <c r="X616" s="237"/>
      <c r="Y616" s="237"/>
      <c r="Z616" s="237"/>
    </row>
    <row r="617" spans="1:26">
      <c r="A617" s="238"/>
      <c r="B617" s="237"/>
      <c r="D617" s="237"/>
      <c r="E617" s="237"/>
      <c r="F617" s="237"/>
      <c r="G617" s="237"/>
      <c r="H617" s="237"/>
      <c r="I617" s="237"/>
      <c r="J617" s="237"/>
      <c r="K617" s="237"/>
      <c r="L617" s="237"/>
      <c r="M617" s="237"/>
      <c r="N617" s="237"/>
      <c r="O617" s="237"/>
      <c r="P617" s="237"/>
      <c r="Q617" s="237"/>
      <c r="R617" s="237"/>
      <c r="S617" s="237"/>
      <c r="T617" s="237"/>
      <c r="U617" s="237"/>
      <c r="V617" s="237"/>
      <c r="W617" s="237"/>
      <c r="X617" s="237"/>
      <c r="Y617" s="237"/>
      <c r="Z617" s="237"/>
    </row>
    <row r="618" spans="1:26">
      <c r="A618" s="238"/>
      <c r="B618" s="237"/>
      <c r="D618" s="237"/>
      <c r="E618" s="237"/>
      <c r="F618" s="237"/>
      <c r="G618" s="237"/>
      <c r="H618" s="237"/>
      <c r="I618" s="237"/>
      <c r="J618" s="237"/>
      <c r="K618" s="237"/>
      <c r="L618" s="237"/>
      <c r="M618" s="237"/>
      <c r="N618" s="237"/>
      <c r="O618" s="237"/>
      <c r="P618" s="237"/>
      <c r="Q618" s="237"/>
      <c r="R618" s="237"/>
      <c r="S618" s="237"/>
      <c r="T618" s="237"/>
      <c r="U618" s="237"/>
      <c r="V618" s="237"/>
      <c r="W618" s="237"/>
      <c r="X618" s="237"/>
      <c r="Y618" s="237"/>
      <c r="Z618" s="237"/>
    </row>
    <row r="619" spans="1:26">
      <c r="A619" s="238"/>
      <c r="B619" s="237"/>
      <c r="D619" s="237"/>
      <c r="E619" s="237"/>
      <c r="F619" s="237"/>
      <c r="G619" s="237"/>
      <c r="H619" s="237"/>
      <c r="I619" s="237"/>
      <c r="J619" s="237"/>
      <c r="K619" s="237"/>
      <c r="L619" s="237"/>
      <c r="M619" s="237"/>
      <c r="N619" s="237"/>
      <c r="O619" s="237"/>
      <c r="P619" s="237"/>
      <c r="Q619" s="237"/>
      <c r="R619" s="237"/>
      <c r="S619" s="237"/>
      <c r="T619" s="237"/>
      <c r="U619" s="237"/>
      <c r="V619" s="237"/>
      <c r="W619" s="237"/>
      <c r="X619" s="237"/>
      <c r="Y619" s="237"/>
      <c r="Z619" s="237"/>
    </row>
    <row r="620" spans="1:26">
      <c r="A620" s="238"/>
      <c r="B620" s="237"/>
      <c r="D620" s="237"/>
      <c r="E620" s="237"/>
      <c r="F620" s="237"/>
      <c r="G620" s="237"/>
      <c r="H620" s="237"/>
      <c r="I620" s="237"/>
      <c r="J620" s="237"/>
      <c r="K620" s="237"/>
      <c r="L620" s="237"/>
      <c r="M620" s="237"/>
      <c r="N620" s="237"/>
      <c r="O620" s="237"/>
      <c r="P620" s="237"/>
      <c r="Q620" s="237"/>
      <c r="R620" s="237"/>
      <c r="S620" s="237"/>
      <c r="T620" s="237"/>
      <c r="U620" s="237"/>
      <c r="V620" s="237"/>
      <c r="W620" s="237"/>
      <c r="X620" s="237"/>
      <c r="Y620" s="237"/>
      <c r="Z620" s="237"/>
    </row>
    <row r="621" spans="1:26">
      <c r="A621" s="238"/>
      <c r="B621" s="237"/>
      <c r="D621" s="237"/>
      <c r="E621" s="237"/>
      <c r="F621" s="237"/>
      <c r="G621" s="237"/>
      <c r="H621" s="237"/>
      <c r="I621" s="237"/>
      <c r="J621" s="237"/>
      <c r="K621" s="237"/>
      <c r="L621" s="237"/>
      <c r="M621" s="237"/>
      <c r="N621" s="237"/>
      <c r="O621" s="237"/>
      <c r="P621" s="237"/>
      <c r="Q621" s="237"/>
      <c r="R621" s="237"/>
      <c r="S621" s="237"/>
      <c r="T621" s="237"/>
      <c r="U621" s="237"/>
      <c r="V621" s="237"/>
      <c r="W621" s="237"/>
      <c r="X621" s="237"/>
      <c r="Y621" s="237"/>
      <c r="Z621" s="237"/>
    </row>
    <row r="622" spans="1:26">
      <c r="A622" s="238"/>
      <c r="B622" s="237"/>
      <c r="D622" s="237"/>
      <c r="E622" s="237"/>
      <c r="F622" s="237"/>
      <c r="G622" s="237"/>
      <c r="H622" s="237"/>
      <c r="I622" s="237"/>
      <c r="J622" s="237"/>
      <c r="K622" s="237"/>
      <c r="L622" s="237"/>
      <c r="M622" s="237"/>
      <c r="N622" s="237"/>
      <c r="O622" s="237"/>
      <c r="P622" s="237"/>
      <c r="Q622" s="237"/>
      <c r="R622" s="237"/>
      <c r="S622" s="237"/>
      <c r="T622" s="237"/>
      <c r="U622" s="237"/>
      <c r="V622" s="237"/>
      <c r="W622" s="237"/>
      <c r="X622" s="237"/>
      <c r="Y622" s="237"/>
      <c r="Z622" s="237"/>
    </row>
    <row r="623" spans="1:26">
      <c r="A623" s="238"/>
      <c r="B623" s="237"/>
      <c r="D623" s="237"/>
      <c r="E623" s="237"/>
      <c r="F623" s="237"/>
      <c r="G623" s="237"/>
      <c r="H623" s="237"/>
      <c r="I623" s="237"/>
      <c r="J623" s="237"/>
      <c r="K623" s="237"/>
      <c r="L623" s="237"/>
      <c r="M623" s="237"/>
      <c r="N623" s="237"/>
      <c r="O623" s="237"/>
      <c r="P623" s="237"/>
      <c r="Q623" s="237"/>
      <c r="R623" s="237"/>
      <c r="S623" s="237"/>
      <c r="T623" s="237"/>
      <c r="U623" s="237"/>
      <c r="V623" s="237"/>
      <c r="W623" s="237"/>
      <c r="X623" s="237"/>
      <c r="Y623" s="237"/>
      <c r="Z623" s="237"/>
    </row>
    <row r="624" spans="1:26">
      <c r="A624" s="238"/>
      <c r="B624" s="237"/>
      <c r="D624" s="237"/>
      <c r="E624" s="237"/>
      <c r="F624" s="237"/>
      <c r="G624" s="237"/>
      <c r="H624" s="237"/>
      <c r="I624" s="237"/>
      <c r="J624" s="237"/>
      <c r="K624" s="237"/>
      <c r="L624" s="237"/>
      <c r="M624" s="237"/>
      <c r="N624" s="237"/>
      <c r="O624" s="237"/>
      <c r="P624" s="237"/>
      <c r="Q624" s="237"/>
      <c r="R624" s="237"/>
      <c r="S624" s="237"/>
      <c r="T624" s="237"/>
      <c r="U624" s="237"/>
      <c r="V624" s="237"/>
      <c r="W624" s="237"/>
      <c r="X624" s="237"/>
      <c r="Y624" s="237"/>
      <c r="Z624" s="237"/>
    </row>
    <row r="625" spans="1:26">
      <c r="A625" s="238"/>
      <c r="B625" s="237"/>
      <c r="D625" s="237"/>
      <c r="E625" s="237"/>
      <c r="F625" s="237"/>
      <c r="G625" s="237"/>
      <c r="H625" s="237"/>
      <c r="I625" s="237"/>
      <c r="J625" s="237"/>
      <c r="K625" s="237"/>
      <c r="L625" s="237"/>
      <c r="M625" s="237"/>
      <c r="N625" s="237"/>
      <c r="O625" s="237"/>
      <c r="P625" s="237"/>
      <c r="Q625" s="237"/>
      <c r="R625" s="237"/>
      <c r="S625" s="237"/>
      <c r="T625" s="237"/>
      <c r="U625" s="237"/>
      <c r="V625" s="237"/>
      <c r="W625" s="237"/>
      <c r="X625" s="237"/>
      <c r="Y625" s="237"/>
      <c r="Z625" s="237"/>
    </row>
    <row r="626" spans="1:26">
      <c r="A626" s="238"/>
      <c r="B626" s="237"/>
      <c r="D626" s="237"/>
      <c r="E626" s="237"/>
      <c r="F626" s="237"/>
      <c r="G626" s="237"/>
      <c r="H626" s="237"/>
      <c r="I626" s="237"/>
      <c r="J626" s="237"/>
      <c r="K626" s="237"/>
      <c r="L626" s="237"/>
      <c r="M626" s="237"/>
      <c r="N626" s="237"/>
      <c r="O626" s="237"/>
      <c r="P626" s="237"/>
      <c r="Q626" s="237"/>
      <c r="R626" s="237"/>
      <c r="S626" s="237"/>
      <c r="T626" s="237"/>
      <c r="U626" s="237"/>
      <c r="V626" s="237"/>
      <c r="W626" s="237"/>
      <c r="X626" s="237"/>
      <c r="Y626" s="237"/>
      <c r="Z626" s="237"/>
    </row>
    <row r="627" spans="1:26">
      <c r="A627" s="238"/>
      <c r="B627" s="237"/>
      <c r="D627" s="237"/>
      <c r="E627" s="237"/>
      <c r="F627" s="237"/>
      <c r="G627" s="237"/>
      <c r="H627" s="237"/>
      <c r="I627" s="237"/>
      <c r="J627" s="237"/>
      <c r="K627" s="237"/>
      <c r="L627" s="237"/>
      <c r="M627" s="237"/>
      <c r="N627" s="237"/>
      <c r="O627" s="237"/>
      <c r="P627" s="237"/>
      <c r="Q627" s="237"/>
      <c r="R627" s="237"/>
      <c r="S627" s="237"/>
      <c r="T627" s="237"/>
      <c r="U627" s="237"/>
      <c r="V627" s="237"/>
      <c r="W627" s="237"/>
      <c r="X627" s="237"/>
      <c r="Y627" s="237"/>
      <c r="Z627" s="237"/>
    </row>
    <row r="628" spans="1:26">
      <c r="A628" s="238"/>
      <c r="B628" s="237"/>
      <c r="D628" s="237"/>
      <c r="E628" s="237"/>
      <c r="F628" s="237"/>
      <c r="G628" s="237"/>
      <c r="H628" s="237"/>
      <c r="I628" s="237"/>
      <c r="J628" s="237"/>
      <c r="K628" s="237"/>
      <c r="L628" s="237"/>
      <c r="M628" s="237"/>
      <c r="N628" s="237"/>
      <c r="O628" s="237"/>
      <c r="P628" s="237"/>
      <c r="Q628" s="237"/>
      <c r="R628" s="237"/>
      <c r="S628" s="237"/>
      <c r="T628" s="237"/>
      <c r="U628" s="237"/>
      <c r="V628" s="237"/>
      <c r="W628" s="237"/>
      <c r="X628" s="237"/>
      <c r="Y628" s="237"/>
      <c r="Z628" s="237"/>
    </row>
    <row r="629" spans="1:26">
      <c r="A629" s="238"/>
      <c r="B629" s="237"/>
      <c r="D629" s="237"/>
      <c r="E629" s="237"/>
      <c r="F629" s="237"/>
      <c r="G629" s="237"/>
      <c r="H629" s="237"/>
      <c r="I629" s="237"/>
      <c r="J629" s="237"/>
      <c r="K629" s="237"/>
      <c r="L629" s="237"/>
      <c r="M629" s="237"/>
      <c r="N629" s="237"/>
      <c r="O629" s="237"/>
      <c r="P629" s="237"/>
      <c r="Q629" s="237"/>
      <c r="R629" s="237"/>
      <c r="S629" s="237"/>
      <c r="T629" s="237"/>
      <c r="U629" s="237"/>
      <c r="V629" s="237"/>
      <c r="W629" s="237"/>
      <c r="X629" s="237"/>
      <c r="Y629" s="237"/>
      <c r="Z629" s="237"/>
    </row>
    <row r="630" spans="1:26">
      <c r="A630" s="238"/>
      <c r="B630" s="237"/>
      <c r="D630" s="237"/>
      <c r="E630" s="237"/>
      <c r="F630" s="237"/>
      <c r="G630" s="237"/>
      <c r="H630" s="237"/>
      <c r="I630" s="237"/>
      <c r="J630" s="237"/>
      <c r="K630" s="237"/>
      <c r="L630" s="237"/>
      <c r="M630" s="237"/>
      <c r="N630" s="237"/>
      <c r="O630" s="237"/>
      <c r="P630" s="237"/>
      <c r="Q630" s="237"/>
      <c r="R630" s="237"/>
      <c r="S630" s="237"/>
      <c r="T630" s="237"/>
      <c r="U630" s="237"/>
      <c r="V630" s="237"/>
      <c r="W630" s="237"/>
      <c r="X630" s="237"/>
      <c r="Y630" s="237"/>
      <c r="Z630" s="237"/>
    </row>
    <row r="631" spans="1:26">
      <c r="A631" s="238"/>
      <c r="B631" s="237"/>
      <c r="D631" s="237"/>
      <c r="E631" s="237"/>
      <c r="F631" s="237"/>
      <c r="G631" s="237"/>
      <c r="H631" s="237"/>
      <c r="I631" s="237"/>
      <c r="J631" s="237"/>
      <c r="K631" s="237"/>
      <c r="L631" s="237"/>
      <c r="M631" s="237"/>
      <c r="N631" s="237"/>
      <c r="O631" s="237"/>
      <c r="P631" s="237"/>
      <c r="Q631" s="237"/>
      <c r="R631" s="237"/>
      <c r="S631" s="237"/>
      <c r="T631" s="237"/>
      <c r="U631" s="237"/>
      <c r="V631" s="237"/>
      <c r="W631" s="237"/>
      <c r="X631" s="237"/>
      <c r="Y631" s="237"/>
      <c r="Z631" s="237"/>
    </row>
    <row r="632" spans="1:26">
      <c r="A632" s="238"/>
      <c r="B632" s="237"/>
      <c r="D632" s="237"/>
      <c r="E632" s="237"/>
      <c r="F632" s="237"/>
      <c r="G632" s="237"/>
      <c r="H632" s="237"/>
      <c r="I632" s="237"/>
      <c r="J632" s="237"/>
      <c r="K632" s="237"/>
      <c r="L632" s="237"/>
      <c r="M632" s="237"/>
      <c r="N632" s="237"/>
      <c r="O632" s="237"/>
      <c r="P632" s="237"/>
      <c r="Q632" s="237"/>
      <c r="R632" s="237"/>
      <c r="S632" s="237"/>
      <c r="T632" s="237"/>
      <c r="U632" s="237"/>
      <c r="V632" s="237"/>
      <c r="W632" s="237"/>
      <c r="X632" s="237"/>
      <c r="Y632" s="237"/>
      <c r="Z632" s="237"/>
    </row>
    <row r="633" spans="1:26">
      <c r="A633" s="238"/>
      <c r="B633" s="237"/>
      <c r="D633" s="237"/>
      <c r="E633" s="237"/>
      <c r="F633" s="237"/>
      <c r="G633" s="237"/>
      <c r="H633" s="237"/>
      <c r="I633" s="237"/>
      <c r="J633" s="237"/>
      <c r="K633" s="237"/>
      <c r="L633" s="237"/>
      <c r="M633" s="237"/>
      <c r="N633" s="237"/>
      <c r="O633" s="237"/>
      <c r="P633" s="237"/>
      <c r="Q633" s="237"/>
      <c r="R633" s="237"/>
      <c r="S633" s="237"/>
      <c r="T633" s="237"/>
      <c r="U633" s="237"/>
      <c r="V633" s="237"/>
      <c r="W633" s="237"/>
      <c r="X633" s="237"/>
      <c r="Y633" s="237"/>
      <c r="Z633" s="237"/>
    </row>
    <row r="634" spans="1:26">
      <c r="A634" s="238"/>
      <c r="B634" s="237"/>
      <c r="D634" s="237"/>
      <c r="E634" s="237"/>
      <c r="F634" s="237"/>
      <c r="G634" s="237"/>
      <c r="H634" s="237"/>
      <c r="I634" s="237"/>
      <c r="J634" s="237"/>
      <c r="K634" s="237"/>
      <c r="L634" s="237"/>
      <c r="M634" s="237"/>
      <c r="N634" s="237"/>
      <c r="O634" s="237"/>
      <c r="P634" s="237"/>
      <c r="Q634" s="237"/>
      <c r="R634" s="237"/>
      <c r="S634" s="237"/>
      <c r="T634" s="237"/>
      <c r="U634" s="237"/>
      <c r="V634" s="237"/>
      <c r="W634" s="237"/>
      <c r="X634" s="237"/>
      <c r="Y634" s="237"/>
      <c r="Z634" s="237"/>
    </row>
    <row r="635" spans="1:26">
      <c r="A635" s="238"/>
      <c r="B635" s="237"/>
      <c r="D635" s="237"/>
      <c r="E635" s="237"/>
      <c r="F635" s="237"/>
      <c r="G635" s="237"/>
      <c r="H635" s="237"/>
      <c r="I635" s="237"/>
      <c r="J635" s="237"/>
      <c r="K635" s="237"/>
      <c r="L635" s="237"/>
      <c r="M635" s="237"/>
      <c r="N635" s="237"/>
      <c r="O635" s="237"/>
      <c r="P635" s="237"/>
      <c r="Q635" s="237"/>
      <c r="R635" s="237"/>
      <c r="S635" s="237"/>
      <c r="T635" s="237"/>
      <c r="U635" s="237"/>
      <c r="V635" s="237"/>
      <c r="W635" s="237"/>
      <c r="X635" s="237"/>
      <c r="Y635" s="237"/>
      <c r="Z635" s="237"/>
    </row>
    <row r="636" spans="1:26">
      <c r="A636" s="238"/>
      <c r="B636" s="237"/>
      <c r="D636" s="237"/>
      <c r="E636" s="237"/>
      <c r="F636" s="237"/>
      <c r="G636" s="237"/>
      <c r="H636" s="237"/>
      <c r="I636" s="237"/>
      <c r="J636" s="237"/>
      <c r="K636" s="237"/>
      <c r="L636" s="237"/>
      <c r="M636" s="237"/>
      <c r="N636" s="237"/>
      <c r="O636" s="237"/>
      <c r="P636" s="237"/>
      <c r="Q636" s="237"/>
      <c r="R636" s="237"/>
      <c r="S636" s="237"/>
      <c r="T636" s="237"/>
      <c r="U636" s="237"/>
      <c r="V636" s="237"/>
      <c r="W636" s="237"/>
      <c r="X636" s="237"/>
      <c r="Y636" s="237"/>
      <c r="Z636" s="237"/>
    </row>
    <row r="637" spans="1:26">
      <c r="A637" s="238"/>
      <c r="B637" s="237"/>
      <c r="D637" s="237"/>
      <c r="E637" s="237"/>
      <c r="F637" s="237"/>
      <c r="G637" s="237"/>
      <c r="H637" s="237"/>
      <c r="I637" s="237"/>
      <c r="J637" s="237"/>
      <c r="K637" s="237"/>
      <c r="L637" s="237"/>
      <c r="M637" s="237"/>
      <c r="N637" s="237"/>
      <c r="O637" s="237"/>
      <c r="P637" s="237"/>
      <c r="Q637" s="237"/>
      <c r="R637" s="237"/>
      <c r="S637" s="237"/>
      <c r="T637" s="237"/>
      <c r="U637" s="237"/>
      <c r="V637" s="237"/>
      <c r="W637" s="237"/>
      <c r="X637" s="237"/>
      <c r="Y637" s="237"/>
      <c r="Z637" s="237"/>
    </row>
    <row r="638" spans="1:26">
      <c r="A638" s="238"/>
      <c r="B638" s="237"/>
      <c r="D638" s="237"/>
      <c r="E638" s="237"/>
      <c r="F638" s="237"/>
      <c r="G638" s="237"/>
      <c r="H638" s="237"/>
      <c r="I638" s="237"/>
      <c r="J638" s="237"/>
      <c r="K638" s="237"/>
      <c r="L638" s="237"/>
      <c r="M638" s="237"/>
      <c r="N638" s="237"/>
      <c r="O638" s="237"/>
      <c r="P638" s="237"/>
      <c r="Q638" s="237"/>
      <c r="R638" s="237"/>
      <c r="S638" s="237"/>
      <c r="T638" s="237"/>
      <c r="U638" s="237"/>
      <c r="V638" s="237"/>
      <c r="W638" s="237"/>
      <c r="X638" s="237"/>
      <c r="Y638" s="237"/>
      <c r="Z638" s="237"/>
    </row>
    <row r="639" spans="1:26">
      <c r="A639" s="238"/>
      <c r="B639" s="237"/>
      <c r="D639" s="237"/>
      <c r="E639" s="237"/>
      <c r="F639" s="237"/>
      <c r="G639" s="237"/>
      <c r="H639" s="237"/>
      <c r="I639" s="237"/>
      <c r="J639" s="237"/>
      <c r="K639" s="237"/>
      <c r="L639" s="237"/>
      <c r="M639" s="237"/>
      <c r="N639" s="237"/>
      <c r="O639" s="237"/>
      <c r="P639" s="237"/>
      <c r="Q639" s="237"/>
      <c r="R639" s="237"/>
      <c r="S639" s="237"/>
      <c r="T639" s="237"/>
      <c r="U639" s="237"/>
      <c r="V639" s="237"/>
      <c r="W639" s="237"/>
      <c r="X639" s="237"/>
      <c r="Y639" s="237"/>
      <c r="Z639" s="237"/>
    </row>
    <row r="640" spans="1:26">
      <c r="A640" s="238"/>
      <c r="B640" s="237"/>
      <c r="D640" s="237"/>
      <c r="E640" s="237"/>
      <c r="F640" s="237"/>
      <c r="G640" s="237"/>
      <c r="H640" s="237"/>
      <c r="I640" s="237"/>
      <c r="J640" s="237"/>
      <c r="K640" s="237"/>
      <c r="L640" s="237"/>
      <c r="M640" s="237"/>
      <c r="N640" s="237"/>
      <c r="O640" s="237"/>
      <c r="P640" s="237"/>
      <c r="Q640" s="237"/>
      <c r="R640" s="237"/>
      <c r="S640" s="237"/>
      <c r="T640" s="237"/>
      <c r="U640" s="237"/>
      <c r="V640" s="237"/>
      <c r="W640" s="237"/>
      <c r="X640" s="237"/>
      <c r="Y640" s="237"/>
      <c r="Z640" s="237"/>
    </row>
    <row r="641" spans="1:26">
      <c r="A641" s="238"/>
      <c r="B641" s="237"/>
      <c r="D641" s="237"/>
      <c r="E641" s="237"/>
      <c r="F641" s="237"/>
      <c r="G641" s="237"/>
      <c r="H641" s="237"/>
      <c r="I641" s="237"/>
      <c r="J641" s="237"/>
      <c r="K641" s="237"/>
      <c r="L641" s="237"/>
      <c r="M641" s="237"/>
      <c r="N641" s="237"/>
      <c r="O641" s="237"/>
      <c r="P641" s="237"/>
      <c r="Q641" s="237"/>
      <c r="R641" s="237"/>
      <c r="S641" s="237"/>
      <c r="T641" s="237"/>
      <c r="U641" s="237"/>
      <c r="V641" s="237"/>
      <c r="W641" s="237"/>
      <c r="X641" s="237"/>
      <c r="Y641" s="237"/>
      <c r="Z641" s="237"/>
    </row>
    <row r="642" spans="1:26">
      <c r="A642" s="238"/>
      <c r="B642" s="237"/>
      <c r="D642" s="237"/>
      <c r="E642" s="237"/>
      <c r="F642" s="237"/>
      <c r="G642" s="237"/>
      <c r="H642" s="237"/>
      <c r="I642" s="237"/>
      <c r="J642" s="237"/>
      <c r="K642" s="237"/>
      <c r="L642" s="237"/>
      <c r="M642" s="237"/>
      <c r="N642" s="237"/>
      <c r="O642" s="237"/>
      <c r="P642" s="237"/>
      <c r="Q642" s="237"/>
      <c r="R642" s="237"/>
      <c r="S642" s="237"/>
      <c r="T642" s="237"/>
      <c r="U642" s="237"/>
      <c r="V642" s="237"/>
      <c r="W642" s="237"/>
      <c r="X642" s="237"/>
      <c r="Y642" s="237"/>
      <c r="Z642" s="237"/>
    </row>
    <row r="643" spans="1:26">
      <c r="A643" s="238"/>
      <c r="B643" s="237"/>
      <c r="D643" s="237"/>
      <c r="E643" s="237"/>
      <c r="F643" s="237"/>
      <c r="G643" s="237"/>
      <c r="H643" s="237"/>
      <c r="I643" s="237"/>
      <c r="J643" s="237"/>
      <c r="K643" s="237"/>
      <c r="L643" s="237"/>
      <c r="M643" s="237"/>
      <c r="N643" s="237"/>
      <c r="O643" s="237"/>
      <c r="P643" s="237"/>
      <c r="Q643" s="237"/>
      <c r="R643" s="237"/>
      <c r="S643" s="237"/>
      <c r="T643" s="237"/>
      <c r="U643" s="237"/>
      <c r="V643" s="237"/>
      <c r="W643" s="237"/>
      <c r="X643" s="237"/>
      <c r="Y643" s="237"/>
      <c r="Z643" s="237"/>
    </row>
    <row r="644" spans="1:26">
      <c r="A644" s="238"/>
      <c r="B644" s="237"/>
      <c r="D644" s="237"/>
      <c r="E644" s="237"/>
      <c r="F644" s="237"/>
      <c r="G644" s="237"/>
      <c r="H644" s="237"/>
      <c r="I644" s="237"/>
      <c r="J644" s="237"/>
      <c r="K644" s="237"/>
      <c r="L644" s="237"/>
      <c r="M644" s="237"/>
      <c r="N644" s="237"/>
      <c r="O644" s="237"/>
      <c r="P644" s="237"/>
      <c r="Q644" s="237"/>
      <c r="R644" s="237"/>
      <c r="S644" s="237"/>
      <c r="T644" s="237"/>
      <c r="U644" s="237"/>
      <c r="V644" s="237"/>
      <c r="W644" s="237"/>
      <c r="X644" s="237"/>
      <c r="Y644" s="237"/>
      <c r="Z644" s="237"/>
    </row>
    <row r="645" spans="1:26">
      <c r="A645" s="238"/>
      <c r="B645" s="237"/>
      <c r="D645" s="237"/>
      <c r="E645" s="237"/>
      <c r="F645" s="237"/>
      <c r="G645" s="237"/>
      <c r="H645" s="237"/>
      <c r="I645" s="237"/>
      <c r="J645" s="237"/>
      <c r="K645" s="237"/>
      <c r="L645" s="237"/>
      <c r="M645" s="237"/>
      <c r="N645" s="237"/>
      <c r="O645" s="237"/>
      <c r="P645" s="237"/>
      <c r="Q645" s="237"/>
      <c r="R645" s="237"/>
      <c r="S645" s="237"/>
      <c r="T645" s="237"/>
      <c r="U645" s="237"/>
      <c r="V645" s="237"/>
      <c r="W645" s="237"/>
      <c r="X645" s="237"/>
      <c r="Y645" s="237"/>
      <c r="Z645" s="237"/>
    </row>
    <row r="646" spans="1:26">
      <c r="A646" s="238"/>
      <c r="B646" s="237"/>
      <c r="D646" s="237"/>
      <c r="E646" s="237"/>
      <c r="F646" s="237"/>
      <c r="G646" s="237"/>
      <c r="H646" s="237"/>
      <c r="I646" s="237"/>
      <c r="J646" s="237"/>
      <c r="K646" s="237"/>
      <c r="L646" s="237"/>
      <c r="M646" s="237"/>
      <c r="N646" s="237"/>
      <c r="O646" s="237"/>
      <c r="P646" s="237"/>
      <c r="Q646" s="237"/>
      <c r="R646" s="237"/>
      <c r="S646" s="237"/>
      <c r="T646" s="237"/>
      <c r="U646" s="237"/>
      <c r="V646" s="237"/>
      <c r="W646" s="237"/>
      <c r="X646" s="237"/>
      <c r="Y646" s="237"/>
      <c r="Z646" s="237"/>
    </row>
    <row r="647" spans="1:26">
      <c r="A647" s="238"/>
      <c r="B647" s="237"/>
      <c r="D647" s="237"/>
      <c r="E647" s="237"/>
      <c r="F647" s="237"/>
      <c r="G647" s="237"/>
      <c r="H647" s="237"/>
      <c r="I647" s="237"/>
      <c r="J647" s="237"/>
      <c r="K647" s="237"/>
      <c r="L647" s="237"/>
      <c r="M647" s="237"/>
      <c r="N647" s="237"/>
      <c r="O647" s="237"/>
      <c r="P647" s="237"/>
      <c r="Q647" s="237"/>
      <c r="R647" s="237"/>
      <c r="S647" s="237"/>
      <c r="T647" s="237"/>
      <c r="U647" s="237"/>
      <c r="V647" s="237"/>
      <c r="W647" s="237"/>
      <c r="X647" s="237"/>
      <c r="Y647" s="237"/>
      <c r="Z647" s="237"/>
    </row>
    <row r="648" spans="1:26">
      <c r="A648" s="238"/>
      <c r="B648" s="237"/>
      <c r="D648" s="237"/>
      <c r="E648" s="237"/>
      <c r="F648" s="237"/>
      <c r="G648" s="237"/>
      <c r="H648" s="237"/>
      <c r="I648" s="237"/>
      <c r="J648" s="237"/>
      <c r="K648" s="237"/>
      <c r="L648" s="237"/>
      <c r="M648" s="237"/>
      <c r="N648" s="237"/>
      <c r="O648" s="237"/>
      <c r="P648" s="237"/>
      <c r="Q648" s="237"/>
      <c r="R648" s="237"/>
      <c r="S648" s="237"/>
      <c r="T648" s="237"/>
      <c r="U648" s="237"/>
      <c r="V648" s="237"/>
      <c r="W648" s="237"/>
      <c r="X648" s="237"/>
      <c r="Y648" s="237"/>
      <c r="Z648" s="237"/>
    </row>
    <row r="649" spans="1:26">
      <c r="A649" s="238"/>
      <c r="B649" s="237"/>
      <c r="D649" s="237"/>
      <c r="E649" s="237"/>
      <c r="F649" s="237"/>
      <c r="G649" s="237"/>
      <c r="H649" s="237"/>
      <c r="I649" s="237"/>
      <c r="J649" s="237"/>
      <c r="K649" s="237"/>
      <c r="L649" s="237"/>
      <c r="M649" s="237"/>
      <c r="N649" s="237"/>
      <c r="O649" s="237"/>
      <c r="P649" s="237"/>
      <c r="Q649" s="237"/>
      <c r="R649" s="237"/>
      <c r="S649" s="237"/>
      <c r="T649" s="237"/>
      <c r="U649" s="237"/>
      <c r="V649" s="237"/>
      <c r="W649" s="237"/>
      <c r="X649" s="237"/>
      <c r="Y649" s="237"/>
      <c r="Z649" s="237"/>
    </row>
    <row r="650" spans="1:26">
      <c r="A650" s="238"/>
      <c r="B650" s="237"/>
      <c r="D650" s="237"/>
      <c r="E650" s="237"/>
      <c r="F650" s="237"/>
      <c r="G650" s="237"/>
      <c r="H650" s="237"/>
      <c r="I650" s="237"/>
      <c r="J650" s="237"/>
      <c r="K650" s="237"/>
      <c r="L650" s="237"/>
      <c r="M650" s="237"/>
      <c r="N650" s="237"/>
      <c r="O650" s="237"/>
      <c r="P650" s="237"/>
      <c r="Q650" s="237"/>
      <c r="R650" s="237"/>
      <c r="S650" s="237"/>
      <c r="T650" s="237"/>
      <c r="U650" s="237"/>
      <c r="V650" s="237"/>
      <c r="W650" s="237"/>
      <c r="X650" s="237"/>
      <c r="Y650" s="237"/>
      <c r="Z650" s="237"/>
    </row>
    <row r="651" spans="1:26">
      <c r="A651" s="238"/>
      <c r="B651" s="237"/>
      <c r="D651" s="237"/>
      <c r="E651" s="237"/>
      <c r="F651" s="237"/>
      <c r="G651" s="237"/>
      <c r="H651" s="237"/>
      <c r="I651" s="237"/>
      <c r="J651" s="237"/>
      <c r="K651" s="237"/>
      <c r="L651" s="237"/>
      <c r="M651" s="237"/>
      <c r="N651" s="237"/>
      <c r="O651" s="237"/>
      <c r="P651" s="237"/>
      <c r="Q651" s="237"/>
      <c r="R651" s="237"/>
      <c r="S651" s="237"/>
      <c r="T651" s="237"/>
      <c r="U651" s="237"/>
      <c r="V651" s="237"/>
      <c r="W651" s="237"/>
      <c r="X651" s="237"/>
      <c r="Y651" s="237"/>
      <c r="Z651" s="237"/>
    </row>
    <row r="652" spans="1:26">
      <c r="A652" s="238"/>
      <c r="B652" s="237"/>
      <c r="D652" s="237"/>
      <c r="E652" s="237"/>
      <c r="F652" s="237"/>
      <c r="G652" s="237"/>
      <c r="H652" s="237"/>
      <c r="I652" s="237"/>
      <c r="J652" s="237"/>
      <c r="K652" s="237"/>
      <c r="L652" s="237"/>
      <c r="M652" s="237"/>
      <c r="N652" s="237"/>
      <c r="O652" s="237"/>
      <c r="P652" s="237"/>
      <c r="Q652" s="237"/>
      <c r="R652" s="237"/>
      <c r="S652" s="237"/>
      <c r="T652" s="237"/>
      <c r="U652" s="237"/>
      <c r="V652" s="237"/>
      <c r="W652" s="237"/>
      <c r="X652" s="237"/>
      <c r="Y652" s="237"/>
      <c r="Z652" s="237"/>
    </row>
    <row r="653" spans="1:26">
      <c r="A653" s="238"/>
      <c r="B653" s="237"/>
      <c r="D653" s="237"/>
      <c r="E653" s="237"/>
      <c r="F653" s="237"/>
      <c r="G653" s="237"/>
      <c r="H653" s="237"/>
      <c r="I653" s="237"/>
      <c r="J653" s="237"/>
      <c r="K653" s="237"/>
      <c r="L653" s="237"/>
      <c r="M653" s="237"/>
      <c r="N653" s="237"/>
      <c r="O653" s="237"/>
      <c r="P653" s="237"/>
      <c r="Q653" s="237"/>
      <c r="R653" s="237"/>
      <c r="S653" s="237"/>
      <c r="T653" s="237"/>
      <c r="U653" s="237"/>
      <c r="V653" s="237"/>
      <c r="W653" s="237"/>
      <c r="X653" s="237"/>
      <c r="Y653" s="237"/>
      <c r="Z653" s="237"/>
    </row>
    <row r="654" spans="1:26">
      <c r="A654" s="238"/>
      <c r="B654" s="237"/>
      <c r="D654" s="237"/>
      <c r="E654" s="237"/>
      <c r="F654" s="237"/>
      <c r="G654" s="237"/>
      <c r="H654" s="237"/>
      <c r="I654" s="237"/>
      <c r="J654" s="237"/>
      <c r="K654" s="237"/>
      <c r="L654" s="237"/>
      <c r="M654" s="237"/>
      <c r="N654" s="237"/>
      <c r="O654" s="237"/>
      <c r="P654" s="237"/>
      <c r="Q654" s="237"/>
      <c r="R654" s="237"/>
      <c r="S654" s="237"/>
      <c r="T654" s="237"/>
      <c r="U654" s="237"/>
      <c r="V654" s="237"/>
      <c r="W654" s="237"/>
      <c r="X654" s="237"/>
      <c r="Y654" s="237"/>
      <c r="Z654" s="237"/>
    </row>
    <row r="655" spans="1:26">
      <c r="A655" s="238"/>
      <c r="B655" s="237"/>
      <c r="D655" s="237"/>
      <c r="E655" s="237"/>
      <c r="F655" s="237"/>
      <c r="G655" s="237"/>
      <c r="H655" s="237"/>
      <c r="I655" s="237"/>
      <c r="J655" s="237"/>
      <c r="K655" s="237"/>
      <c r="L655" s="237"/>
      <c r="M655" s="237"/>
      <c r="N655" s="237"/>
      <c r="O655" s="237"/>
      <c r="P655" s="237"/>
      <c r="Q655" s="237"/>
      <c r="R655" s="237"/>
      <c r="S655" s="237"/>
      <c r="T655" s="237"/>
      <c r="U655" s="237"/>
      <c r="V655" s="237"/>
      <c r="W655" s="237"/>
      <c r="X655" s="237"/>
      <c r="Y655" s="237"/>
      <c r="Z655" s="237"/>
    </row>
    <row r="656" spans="1:26">
      <c r="A656" s="238"/>
      <c r="B656" s="237"/>
      <c r="D656" s="237"/>
      <c r="E656" s="237"/>
      <c r="F656" s="237"/>
      <c r="G656" s="237"/>
      <c r="H656" s="237"/>
      <c r="I656" s="237"/>
      <c r="J656" s="237"/>
      <c r="K656" s="237"/>
      <c r="L656" s="237"/>
      <c r="M656" s="237"/>
      <c r="N656" s="237"/>
      <c r="O656" s="237"/>
      <c r="P656" s="237"/>
      <c r="Q656" s="237"/>
      <c r="R656" s="237"/>
      <c r="S656" s="237"/>
      <c r="T656" s="237"/>
      <c r="U656" s="237"/>
      <c r="V656" s="237"/>
      <c r="W656" s="237"/>
      <c r="X656" s="237"/>
      <c r="Y656" s="237"/>
      <c r="Z656" s="237"/>
    </row>
    <row r="657" spans="1:26">
      <c r="A657" s="238"/>
      <c r="B657" s="237"/>
      <c r="D657" s="237"/>
      <c r="E657" s="237"/>
      <c r="F657" s="237"/>
      <c r="G657" s="237"/>
      <c r="H657" s="237"/>
      <c r="I657" s="237"/>
      <c r="J657" s="237"/>
      <c r="K657" s="237"/>
      <c r="L657" s="237"/>
      <c r="M657" s="237"/>
      <c r="N657" s="237"/>
      <c r="O657" s="237"/>
      <c r="P657" s="237"/>
      <c r="Q657" s="237"/>
      <c r="R657" s="237"/>
      <c r="S657" s="237"/>
      <c r="T657" s="237"/>
      <c r="U657" s="237"/>
      <c r="V657" s="237"/>
      <c r="W657" s="237"/>
      <c r="X657" s="237"/>
      <c r="Y657" s="237"/>
      <c r="Z657" s="237"/>
    </row>
    <row r="658" spans="1:26">
      <c r="A658" s="238"/>
      <c r="B658" s="237"/>
      <c r="D658" s="237"/>
      <c r="E658" s="237"/>
      <c r="F658" s="237"/>
      <c r="G658" s="237"/>
      <c r="H658" s="237"/>
      <c r="I658" s="237"/>
      <c r="J658" s="237"/>
      <c r="K658" s="237"/>
      <c r="L658" s="237"/>
      <c r="M658" s="237"/>
      <c r="N658" s="237"/>
      <c r="O658" s="237"/>
      <c r="P658" s="237"/>
      <c r="Q658" s="237"/>
      <c r="R658" s="237"/>
      <c r="S658" s="237"/>
      <c r="T658" s="237"/>
      <c r="U658" s="237"/>
      <c r="V658" s="237"/>
      <c r="W658" s="237"/>
      <c r="X658" s="237"/>
      <c r="Y658" s="237"/>
      <c r="Z658" s="237"/>
    </row>
    <row r="659" spans="1:26">
      <c r="A659" s="238"/>
      <c r="B659" s="237"/>
      <c r="D659" s="237"/>
      <c r="E659" s="237"/>
      <c r="F659" s="237"/>
      <c r="G659" s="237"/>
      <c r="H659" s="237"/>
      <c r="I659" s="237"/>
      <c r="J659" s="237"/>
      <c r="K659" s="237"/>
      <c r="L659" s="237"/>
      <c r="M659" s="237"/>
      <c r="N659" s="237"/>
      <c r="O659" s="237"/>
      <c r="P659" s="237"/>
      <c r="Q659" s="237"/>
      <c r="R659" s="237"/>
      <c r="S659" s="237"/>
      <c r="T659" s="237"/>
      <c r="U659" s="237"/>
      <c r="V659" s="237"/>
      <c r="W659" s="237"/>
      <c r="X659" s="237"/>
      <c r="Y659" s="237"/>
      <c r="Z659" s="237"/>
    </row>
    <row r="660" spans="1:26">
      <c r="A660" s="238"/>
      <c r="B660" s="237"/>
      <c r="D660" s="237"/>
      <c r="E660" s="237"/>
      <c r="F660" s="237"/>
      <c r="G660" s="237"/>
      <c r="H660" s="237"/>
      <c r="I660" s="237"/>
      <c r="J660" s="237"/>
      <c r="K660" s="237"/>
      <c r="L660" s="237"/>
      <c r="M660" s="237"/>
      <c r="N660" s="237"/>
      <c r="O660" s="237"/>
      <c r="P660" s="237"/>
      <c r="Q660" s="237"/>
      <c r="R660" s="237"/>
      <c r="S660" s="237"/>
      <c r="T660" s="237"/>
      <c r="U660" s="237"/>
      <c r="V660" s="237"/>
      <c r="W660" s="237"/>
      <c r="X660" s="237"/>
      <c r="Y660" s="237"/>
      <c r="Z660" s="237"/>
    </row>
    <row r="661" spans="1:26">
      <c r="A661" s="238"/>
      <c r="B661" s="237"/>
      <c r="D661" s="237"/>
      <c r="E661" s="237"/>
      <c r="F661" s="237"/>
      <c r="G661" s="237"/>
      <c r="H661" s="237"/>
      <c r="I661" s="237"/>
      <c r="J661" s="237"/>
      <c r="K661" s="237"/>
      <c r="L661" s="237"/>
      <c r="M661" s="237"/>
      <c r="N661" s="237"/>
      <c r="O661" s="237"/>
      <c r="P661" s="237"/>
      <c r="Q661" s="237"/>
      <c r="R661" s="237"/>
      <c r="S661" s="237"/>
      <c r="T661" s="237"/>
      <c r="U661" s="237"/>
      <c r="V661" s="237"/>
      <c r="W661" s="237"/>
      <c r="X661" s="237"/>
      <c r="Y661" s="237"/>
      <c r="Z661" s="237"/>
    </row>
    <row r="662" spans="1:26">
      <c r="A662" s="238"/>
      <c r="B662" s="237"/>
      <c r="D662" s="237"/>
      <c r="E662" s="237"/>
      <c r="F662" s="237"/>
      <c r="G662" s="237"/>
      <c r="H662" s="237"/>
      <c r="I662" s="237"/>
      <c r="J662" s="237"/>
      <c r="K662" s="237"/>
      <c r="L662" s="237"/>
      <c r="M662" s="237"/>
      <c r="N662" s="237"/>
      <c r="O662" s="237"/>
      <c r="P662" s="237"/>
      <c r="Q662" s="237"/>
      <c r="R662" s="237"/>
      <c r="S662" s="237"/>
      <c r="T662" s="237"/>
      <c r="U662" s="237"/>
      <c r="V662" s="237"/>
      <c r="W662" s="237"/>
      <c r="X662" s="237"/>
      <c r="Y662" s="237"/>
      <c r="Z662" s="237"/>
    </row>
    <row r="663" spans="1:26">
      <c r="A663" s="238"/>
      <c r="B663" s="237"/>
      <c r="D663" s="237"/>
      <c r="E663" s="237"/>
      <c r="F663" s="237"/>
      <c r="G663" s="237"/>
      <c r="H663" s="237"/>
      <c r="I663" s="237"/>
      <c r="J663" s="237"/>
      <c r="K663" s="237"/>
      <c r="L663" s="237"/>
      <c r="M663" s="237"/>
      <c r="N663" s="237"/>
      <c r="O663" s="237"/>
      <c r="P663" s="237"/>
      <c r="Q663" s="237"/>
      <c r="R663" s="237"/>
      <c r="S663" s="237"/>
      <c r="T663" s="237"/>
      <c r="U663" s="237"/>
      <c r="V663" s="237"/>
      <c r="W663" s="237"/>
      <c r="X663" s="237"/>
      <c r="Y663" s="237"/>
      <c r="Z663" s="237"/>
    </row>
    <row r="664" spans="1:26">
      <c r="A664" s="238"/>
      <c r="B664" s="237"/>
      <c r="D664" s="237"/>
      <c r="E664" s="237"/>
      <c r="F664" s="237"/>
      <c r="G664" s="237"/>
      <c r="H664" s="237"/>
      <c r="I664" s="237"/>
      <c r="J664" s="237"/>
      <c r="K664" s="237"/>
      <c r="L664" s="237"/>
      <c r="M664" s="237"/>
      <c r="N664" s="237"/>
      <c r="O664" s="237"/>
      <c r="P664" s="237"/>
      <c r="Q664" s="237"/>
      <c r="R664" s="237"/>
      <c r="S664" s="237"/>
      <c r="T664" s="237"/>
      <c r="U664" s="237"/>
      <c r="V664" s="237"/>
      <c r="W664" s="237"/>
      <c r="X664" s="237"/>
      <c r="Y664" s="237"/>
      <c r="Z664" s="237"/>
    </row>
    <row r="665" spans="1:26">
      <c r="A665" s="238"/>
      <c r="B665" s="237"/>
      <c r="D665" s="237"/>
      <c r="E665" s="237"/>
      <c r="F665" s="237"/>
      <c r="G665" s="237"/>
      <c r="H665" s="237"/>
      <c r="I665" s="237"/>
      <c r="J665" s="237"/>
      <c r="K665" s="237"/>
      <c r="L665" s="237"/>
      <c r="M665" s="237"/>
      <c r="N665" s="237"/>
      <c r="O665" s="237"/>
      <c r="P665" s="237"/>
      <c r="Q665" s="237"/>
      <c r="R665" s="237"/>
      <c r="S665" s="237"/>
      <c r="T665" s="237"/>
      <c r="U665" s="237"/>
      <c r="V665" s="237"/>
      <c r="W665" s="237"/>
      <c r="X665" s="237"/>
      <c r="Y665" s="237"/>
      <c r="Z665" s="237"/>
    </row>
    <row r="666" spans="1:26">
      <c r="A666" s="238"/>
      <c r="B666" s="237"/>
      <c r="D666" s="237"/>
      <c r="E666" s="237"/>
      <c r="F666" s="237"/>
      <c r="G666" s="237"/>
      <c r="H666" s="237"/>
      <c r="I666" s="237"/>
      <c r="J666" s="237"/>
      <c r="K666" s="237"/>
      <c r="L666" s="237"/>
      <c r="M666" s="237"/>
      <c r="N666" s="237"/>
      <c r="O666" s="237"/>
      <c r="P666" s="237"/>
      <c r="Q666" s="237"/>
      <c r="R666" s="237"/>
      <c r="S666" s="237"/>
      <c r="T666" s="237"/>
      <c r="U666" s="237"/>
      <c r="V666" s="237"/>
      <c r="W666" s="237"/>
      <c r="X666" s="237"/>
      <c r="Y666" s="237"/>
      <c r="Z666" s="237"/>
    </row>
    <row r="667" spans="1:26">
      <c r="A667" s="238"/>
      <c r="B667" s="237"/>
      <c r="D667" s="237"/>
      <c r="E667" s="237"/>
      <c r="F667" s="237"/>
      <c r="G667" s="237"/>
      <c r="H667" s="237"/>
      <c r="I667" s="237"/>
      <c r="J667" s="237"/>
      <c r="K667" s="237"/>
      <c r="L667" s="237"/>
      <c r="M667" s="237"/>
      <c r="N667" s="237"/>
      <c r="O667" s="237"/>
      <c r="P667" s="237"/>
      <c r="Q667" s="237"/>
      <c r="R667" s="237"/>
      <c r="S667" s="237"/>
      <c r="T667" s="237"/>
      <c r="U667" s="237"/>
      <c r="V667" s="237"/>
      <c r="W667" s="237"/>
      <c r="X667" s="237"/>
      <c r="Y667" s="237"/>
      <c r="Z667" s="237"/>
    </row>
    <row r="668" spans="1:26">
      <c r="A668" s="238"/>
      <c r="B668" s="237"/>
      <c r="D668" s="237"/>
      <c r="E668" s="237"/>
      <c r="F668" s="237"/>
      <c r="G668" s="237"/>
      <c r="H668" s="237"/>
      <c r="I668" s="237"/>
      <c r="J668" s="237"/>
      <c r="K668" s="237"/>
      <c r="L668" s="237"/>
      <c r="M668" s="237"/>
      <c r="N668" s="237"/>
      <c r="O668" s="237"/>
      <c r="P668" s="237"/>
      <c r="Q668" s="237"/>
      <c r="R668" s="237"/>
      <c r="S668" s="237"/>
      <c r="T668" s="237"/>
      <c r="U668" s="237"/>
      <c r="V668" s="237"/>
      <c r="W668" s="237"/>
      <c r="X668" s="237"/>
      <c r="Y668" s="237"/>
      <c r="Z668" s="237"/>
    </row>
    <row r="669" spans="1:26">
      <c r="A669" s="238"/>
      <c r="B669" s="237"/>
      <c r="D669" s="237"/>
      <c r="E669" s="237"/>
      <c r="F669" s="237"/>
      <c r="G669" s="237"/>
      <c r="H669" s="237"/>
      <c r="I669" s="237"/>
      <c r="J669" s="237"/>
      <c r="K669" s="237"/>
      <c r="L669" s="237"/>
      <c r="M669" s="237"/>
      <c r="N669" s="237"/>
      <c r="O669" s="237"/>
      <c r="P669" s="237"/>
      <c r="Q669" s="237"/>
      <c r="R669" s="237"/>
      <c r="S669" s="237"/>
      <c r="T669" s="237"/>
      <c r="U669" s="237"/>
      <c r="V669" s="237"/>
      <c r="W669" s="237"/>
      <c r="X669" s="237"/>
      <c r="Y669" s="237"/>
      <c r="Z669" s="237"/>
    </row>
    <row r="670" spans="1:26">
      <c r="A670" s="238"/>
      <c r="B670" s="237"/>
      <c r="D670" s="237"/>
      <c r="E670" s="237"/>
      <c r="F670" s="237"/>
      <c r="G670" s="237"/>
      <c r="H670" s="237"/>
      <c r="I670" s="237"/>
      <c r="J670" s="237"/>
      <c r="K670" s="237"/>
      <c r="L670" s="237"/>
      <c r="M670" s="237"/>
      <c r="N670" s="237"/>
      <c r="O670" s="237"/>
      <c r="P670" s="237"/>
      <c r="Q670" s="237"/>
      <c r="R670" s="237"/>
      <c r="S670" s="237"/>
      <c r="T670" s="237"/>
      <c r="U670" s="237"/>
      <c r="V670" s="237"/>
      <c r="W670" s="237"/>
      <c r="X670" s="237"/>
      <c r="Y670" s="237"/>
      <c r="Z670" s="237"/>
    </row>
    <row r="671" spans="1:26">
      <c r="A671" s="238"/>
      <c r="B671" s="237"/>
      <c r="D671" s="237"/>
      <c r="E671" s="237"/>
      <c r="F671" s="237"/>
      <c r="G671" s="237"/>
      <c r="H671" s="237"/>
      <c r="I671" s="237"/>
      <c r="J671" s="237"/>
      <c r="K671" s="237"/>
      <c r="L671" s="237"/>
      <c r="M671" s="237"/>
      <c r="N671" s="237"/>
      <c r="O671" s="237"/>
      <c r="P671" s="237"/>
      <c r="Q671" s="237"/>
      <c r="R671" s="237"/>
      <c r="S671" s="237"/>
      <c r="T671" s="237"/>
      <c r="U671" s="237"/>
      <c r="V671" s="237"/>
      <c r="W671" s="237"/>
      <c r="X671" s="237"/>
      <c r="Y671" s="237"/>
      <c r="Z671" s="237"/>
    </row>
    <row r="672" spans="1:26">
      <c r="A672" s="238"/>
      <c r="B672" s="237"/>
      <c r="D672" s="237"/>
      <c r="E672" s="237"/>
      <c r="F672" s="237"/>
      <c r="G672" s="237"/>
      <c r="H672" s="237"/>
      <c r="I672" s="237"/>
      <c r="J672" s="237"/>
      <c r="K672" s="237"/>
      <c r="L672" s="237"/>
      <c r="M672" s="237"/>
      <c r="N672" s="237"/>
      <c r="O672" s="237"/>
      <c r="P672" s="237"/>
      <c r="Q672" s="237"/>
      <c r="R672" s="237"/>
      <c r="S672" s="237"/>
      <c r="T672" s="237"/>
      <c r="U672" s="237"/>
      <c r="V672" s="237"/>
      <c r="W672" s="237"/>
      <c r="X672" s="237"/>
      <c r="Y672" s="237"/>
      <c r="Z672" s="237"/>
    </row>
    <row r="673" spans="1:26">
      <c r="A673" s="238"/>
      <c r="B673" s="237"/>
      <c r="D673" s="237"/>
      <c r="E673" s="237"/>
      <c r="F673" s="237"/>
      <c r="G673" s="237"/>
      <c r="H673" s="237"/>
      <c r="I673" s="237"/>
      <c r="J673" s="237"/>
      <c r="K673" s="237"/>
      <c r="L673" s="237"/>
      <c r="M673" s="237"/>
      <c r="N673" s="237"/>
      <c r="O673" s="237"/>
      <c r="P673" s="237"/>
      <c r="Q673" s="237"/>
      <c r="R673" s="237"/>
      <c r="S673" s="237"/>
      <c r="T673" s="237"/>
      <c r="U673" s="237"/>
      <c r="V673" s="237"/>
      <c r="W673" s="237"/>
      <c r="X673" s="237"/>
      <c r="Y673" s="237"/>
      <c r="Z673" s="237"/>
    </row>
    <row r="674" spans="1:26">
      <c r="A674" s="238"/>
      <c r="B674" s="237"/>
      <c r="D674" s="237"/>
      <c r="E674" s="237"/>
      <c r="F674" s="237"/>
      <c r="G674" s="237"/>
      <c r="H674" s="237"/>
      <c r="I674" s="237"/>
      <c r="J674" s="237"/>
      <c r="K674" s="237"/>
      <c r="L674" s="237"/>
      <c r="M674" s="237"/>
      <c r="N674" s="237"/>
      <c r="O674" s="237"/>
      <c r="P674" s="237"/>
      <c r="Q674" s="237"/>
      <c r="R674" s="237"/>
      <c r="S674" s="237"/>
      <c r="T674" s="237"/>
      <c r="U674" s="237"/>
      <c r="V674" s="237"/>
      <c r="W674" s="237"/>
      <c r="X674" s="237"/>
      <c r="Y674" s="237"/>
      <c r="Z674" s="237"/>
    </row>
    <row r="675" spans="1:26">
      <c r="A675" s="238"/>
      <c r="B675" s="237"/>
      <c r="D675" s="237"/>
      <c r="E675" s="237"/>
      <c r="F675" s="237"/>
      <c r="G675" s="237"/>
      <c r="H675" s="237"/>
      <c r="I675" s="237"/>
      <c r="J675" s="237"/>
      <c r="K675" s="237"/>
      <c r="L675" s="237"/>
      <c r="M675" s="237"/>
      <c r="N675" s="237"/>
      <c r="O675" s="237"/>
      <c r="P675" s="237"/>
      <c r="Q675" s="237"/>
      <c r="R675" s="237"/>
      <c r="S675" s="237"/>
      <c r="T675" s="237"/>
      <c r="U675" s="237"/>
      <c r="V675" s="237"/>
      <c r="W675" s="237"/>
      <c r="X675" s="237"/>
      <c r="Y675" s="237"/>
      <c r="Z675" s="237"/>
    </row>
    <row r="676" spans="1:26">
      <c r="A676" s="238"/>
      <c r="B676" s="237"/>
      <c r="D676" s="237"/>
      <c r="E676" s="237"/>
      <c r="F676" s="237"/>
      <c r="G676" s="237"/>
      <c r="H676" s="237"/>
      <c r="I676" s="237"/>
      <c r="J676" s="237"/>
      <c r="K676" s="237"/>
      <c r="L676" s="237"/>
      <c r="M676" s="237"/>
      <c r="N676" s="237"/>
      <c r="O676" s="237"/>
      <c r="P676" s="237"/>
      <c r="Q676" s="237"/>
      <c r="R676" s="237"/>
      <c r="S676" s="237"/>
      <c r="T676" s="237"/>
      <c r="U676" s="237"/>
      <c r="V676" s="237"/>
      <c r="W676" s="237"/>
      <c r="X676" s="237"/>
      <c r="Y676" s="237"/>
      <c r="Z676" s="237"/>
    </row>
    <row r="677" spans="1:26">
      <c r="A677" s="238"/>
      <c r="B677" s="237"/>
      <c r="D677" s="237"/>
      <c r="E677" s="237"/>
      <c r="F677" s="237"/>
      <c r="G677" s="237"/>
      <c r="H677" s="237"/>
      <c r="I677" s="237"/>
      <c r="J677" s="237"/>
      <c r="K677" s="237"/>
      <c r="L677" s="237"/>
      <c r="M677" s="237"/>
      <c r="N677" s="237"/>
      <c r="O677" s="237"/>
      <c r="P677" s="237"/>
      <c r="Q677" s="237"/>
      <c r="R677" s="237"/>
      <c r="S677" s="237"/>
      <c r="T677" s="237"/>
      <c r="U677" s="237"/>
      <c r="V677" s="237"/>
      <c r="W677" s="237"/>
      <c r="X677" s="237"/>
      <c r="Y677" s="237"/>
      <c r="Z677" s="237"/>
    </row>
    <row r="678" spans="1:26">
      <c r="A678" s="238"/>
      <c r="B678" s="237"/>
      <c r="D678" s="237"/>
      <c r="E678" s="237"/>
      <c r="F678" s="237"/>
      <c r="G678" s="237"/>
      <c r="H678" s="237"/>
      <c r="I678" s="237"/>
      <c r="J678" s="237"/>
      <c r="K678" s="237"/>
      <c r="L678" s="237"/>
      <c r="M678" s="237"/>
      <c r="N678" s="237"/>
      <c r="O678" s="237"/>
      <c r="P678" s="237"/>
      <c r="Q678" s="237"/>
      <c r="R678" s="237"/>
      <c r="S678" s="237"/>
      <c r="T678" s="237"/>
      <c r="U678" s="237"/>
      <c r="V678" s="237"/>
      <c r="W678" s="237"/>
      <c r="X678" s="237"/>
      <c r="Y678" s="237"/>
      <c r="Z678" s="237"/>
    </row>
    <row r="679" spans="1:26">
      <c r="A679" s="238"/>
      <c r="B679" s="237"/>
      <c r="D679" s="237"/>
      <c r="E679" s="237"/>
      <c r="F679" s="237"/>
      <c r="G679" s="237"/>
      <c r="H679" s="237"/>
      <c r="I679" s="237"/>
      <c r="J679" s="237"/>
      <c r="K679" s="237"/>
      <c r="L679" s="237"/>
      <c r="M679" s="237"/>
      <c r="N679" s="237"/>
      <c r="O679" s="237"/>
      <c r="P679" s="237"/>
      <c r="Q679" s="237"/>
      <c r="R679" s="237"/>
      <c r="S679" s="237"/>
      <c r="T679" s="237"/>
      <c r="U679" s="237"/>
      <c r="V679" s="237"/>
      <c r="W679" s="237"/>
      <c r="X679" s="237"/>
      <c r="Y679" s="237"/>
      <c r="Z679" s="237"/>
    </row>
    <row r="680" spans="1:26">
      <c r="A680" s="238"/>
      <c r="B680" s="237"/>
      <c r="D680" s="237"/>
      <c r="E680" s="237"/>
      <c r="F680" s="237"/>
      <c r="G680" s="237"/>
      <c r="H680" s="237"/>
      <c r="I680" s="237"/>
      <c r="J680" s="237"/>
      <c r="K680" s="237"/>
      <c r="L680" s="237"/>
      <c r="M680" s="237"/>
      <c r="N680" s="237"/>
      <c r="O680" s="237"/>
      <c r="P680" s="237"/>
      <c r="Q680" s="237"/>
      <c r="R680" s="237"/>
      <c r="S680" s="237"/>
      <c r="T680" s="237"/>
      <c r="U680" s="237"/>
      <c r="V680" s="237"/>
      <c r="W680" s="237"/>
      <c r="X680" s="237"/>
      <c r="Y680" s="237"/>
      <c r="Z680" s="237"/>
    </row>
    <row r="681" spans="1:26">
      <c r="A681" s="238"/>
      <c r="B681" s="237"/>
      <c r="D681" s="237"/>
      <c r="E681" s="237"/>
      <c r="F681" s="237"/>
      <c r="G681" s="237"/>
      <c r="H681" s="237"/>
      <c r="I681" s="237"/>
      <c r="J681" s="237"/>
      <c r="K681" s="237"/>
      <c r="L681" s="237"/>
      <c r="M681" s="237"/>
      <c r="N681" s="237"/>
      <c r="O681" s="237"/>
      <c r="P681" s="237"/>
      <c r="Q681" s="237"/>
      <c r="R681" s="237"/>
      <c r="S681" s="237"/>
      <c r="T681" s="237"/>
      <c r="U681" s="237"/>
      <c r="V681" s="237"/>
      <c r="W681" s="237"/>
      <c r="X681" s="237"/>
      <c r="Y681" s="237"/>
      <c r="Z681" s="237"/>
    </row>
    <row r="682" spans="1:26">
      <c r="A682" s="238"/>
      <c r="B682" s="237"/>
      <c r="D682" s="237"/>
      <c r="E682" s="237"/>
      <c r="F682" s="237"/>
      <c r="G682" s="237"/>
      <c r="H682" s="237"/>
      <c r="I682" s="237"/>
      <c r="J682" s="237"/>
      <c r="K682" s="237"/>
      <c r="L682" s="237"/>
      <c r="M682" s="237"/>
      <c r="N682" s="237"/>
      <c r="O682" s="237"/>
      <c r="P682" s="237"/>
      <c r="Q682" s="237"/>
      <c r="R682" s="237"/>
      <c r="S682" s="237"/>
      <c r="T682" s="237"/>
      <c r="U682" s="237"/>
      <c r="V682" s="237"/>
      <c r="W682" s="237"/>
      <c r="X682" s="237"/>
      <c r="Y682" s="237"/>
      <c r="Z682" s="237"/>
    </row>
    <row r="683" spans="1:26">
      <c r="A683" s="238"/>
      <c r="B683" s="237"/>
      <c r="D683" s="237"/>
      <c r="E683" s="237"/>
      <c r="F683" s="237"/>
      <c r="G683" s="237"/>
      <c r="H683" s="237"/>
      <c r="I683" s="237"/>
      <c r="J683" s="237"/>
      <c r="K683" s="237"/>
      <c r="L683" s="237"/>
      <c r="M683" s="237"/>
      <c r="N683" s="237"/>
      <c r="O683" s="237"/>
      <c r="P683" s="237"/>
      <c r="Q683" s="237"/>
      <c r="R683" s="237"/>
      <c r="S683" s="237"/>
      <c r="T683" s="237"/>
      <c r="U683" s="237"/>
      <c r="V683" s="237"/>
      <c r="W683" s="237"/>
      <c r="X683" s="237"/>
      <c r="Y683" s="237"/>
      <c r="Z683" s="237"/>
    </row>
    <row r="684" spans="1:26">
      <c r="A684" s="238"/>
      <c r="B684" s="237"/>
      <c r="D684" s="237"/>
      <c r="E684" s="237"/>
      <c r="F684" s="237"/>
      <c r="G684" s="237"/>
      <c r="H684" s="237"/>
      <c r="I684" s="237"/>
      <c r="J684" s="237"/>
      <c r="K684" s="237"/>
      <c r="L684" s="237"/>
      <c r="M684" s="237"/>
      <c r="N684" s="237"/>
      <c r="O684" s="237"/>
      <c r="P684" s="237"/>
      <c r="Q684" s="237"/>
      <c r="R684" s="237"/>
      <c r="S684" s="237"/>
      <c r="T684" s="237"/>
      <c r="U684" s="237"/>
      <c r="V684" s="237"/>
      <c r="W684" s="237"/>
      <c r="X684" s="237"/>
      <c r="Y684" s="237"/>
      <c r="Z684" s="237"/>
    </row>
    <row r="685" spans="1:26">
      <c r="A685" s="238"/>
      <c r="B685" s="237"/>
      <c r="D685" s="237"/>
      <c r="E685" s="237"/>
      <c r="F685" s="237"/>
      <c r="G685" s="237"/>
      <c r="H685" s="237"/>
      <c r="I685" s="237"/>
      <c r="J685" s="237"/>
      <c r="K685" s="237"/>
      <c r="L685" s="237"/>
      <c r="M685" s="237"/>
      <c r="N685" s="237"/>
      <c r="O685" s="237"/>
      <c r="P685" s="237"/>
      <c r="Q685" s="237"/>
      <c r="R685" s="237"/>
      <c r="S685" s="237"/>
      <c r="T685" s="237"/>
      <c r="U685" s="237"/>
      <c r="V685" s="237"/>
      <c r="W685" s="237"/>
      <c r="X685" s="237"/>
      <c r="Y685" s="237"/>
      <c r="Z685" s="237"/>
    </row>
    <row r="686" spans="1:26">
      <c r="A686" s="238"/>
      <c r="B686" s="237"/>
      <c r="D686" s="237"/>
      <c r="E686" s="237"/>
      <c r="F686" s="237"/>
      <c r="G686" s="237"/>
      <c r="H686" s="237"/>
      <c r="I686" s="237"/>
      <c r="J686" s="237"/>
      <c r="K686" s="237"/>
      <c r="L686" s="237"/>
      <c r="M686" s="237"/>
      <c r="N686" s="237"/>
      <c r="O686" s="237"/>
      <c r="P686" s="237"/>
      <c r="Q686" s="237"/>
      <c r="R686" s="237"/>
      <c r="S686" s="237"/>
      <c r="T686" s="237"/>
      <c r="U686" s="237"/>
      <c r="V686" s="237"/>
      <c r="W686" s="237"/>
      <c r="X686" s="237"/>
      <c r="Y686" s="237"/>
      <c r="Z686" s="237"/>
    </row>
    <row r="687" spans="1:26">
      <c r="A687" s="238"/>
      <c r="B687" s="237"/>
      <c r="D687" s="237"/>
      <c r="E687" s="237"/>
      <c r="F687" s="237"/>
      <c r="G687" s="237"/>
      <c r="H687" s="237"/>
      <c r="I687" s="237"/>
      <c r="J687" s="237"/>
      <c r="K687" s="237"/>
      <c r="L687" s="237"/>
      <c r="M687" s="237"/>
      <c r="N687" s="237"/>
      <c r="O687" s="237"/>
      <c r="P687" s="237"/>
      <c r="Q687" s="237"/>
      <c r="R687" s="237"/>
      <c r="S687" s="237"/>
      <c r="T687" s="237"/>
      <c r="U687" s="237"/>
      <c r="V687" s="237"/>
      <c r="W687" s="237"/>
      <c r="X687" s="237"/>
      <c r="Y687" s="237"/>
      <c r="Z687" s="237"/>
    </row>
    <row r="688" spans="1:26">
      <c r="A688" s="238"/>
      <c r="B688" s="237"/>
      <c r="D688" s="237"/>
      <c r="E688" s="237"/>
      <c r="F688" s="237"/>
      <c r="G688" s="237"/>
      <c r="H688" s="237"/>
      <c r="I688" s="237"/>
      <c r="J688" s="237"/>
      <c r="K688" s="237"/>
      <c r="L688" s="237"/>
      <c r="M688" s="237"/>
      <c r="N688" s="237"/>
      <c r="O688" s="237"/>
      <c r="P688" s="237"/>
      <c r="Q688" s="237"/>
      <c r="R688" s="237"/>
      <c r="S688" s="237"/>
      <c r="T688" s="237"/>
      <c r="U688" s="237"/>
      <c r="V688" s="237"/>
      <c r="W688" s="237"/>
      <c r="X688" s="237"/>
      <c r="Y688" s="237"/>
      <c r="Z688" s="237"/>
    </row>
    <row r="689" spans="1:26">
      <c r="A689" s="238"/>
      <c r="B689" s="237"/>
      <c r="D689" s="237"/>
      <c r="E689" s="237"/>
      <c r="F689" s="237"/>
      <c r="G689" s="237"/>
      <c r="H689" s="237"/>
      <c r="I689" s="237"/>
      <c r="J689" s="237"/>
      <c r="K689" s="237"/>
      <c r="L689" s="237"/>
      <c r="M689" s="237"/>
      <c r="N689" s="237"/>
      <c r="O689" s="237"/>
      <c r="P689" s="237"/>
      <c r="Q689" s="237"/>
      <c r="R689" s="237"/>
      <c r="S689" s="237"/>
      <c r="T689" s="237"/>
      <c r="U689" s="237"/>
      <c r="V689" s="237"/>
      <c r="W689" s="237"/>
      <c r="X689" s="237"/>
      <c r="Y689" s="237"/>
      <c r="Z689" s="237"/>
    </row>
    <row r="690" spans="1:26">
      <c r="A690" s="238"/>
      <c r="B690" s="237"/>
      <c r="D690" s="237"/>
      <c r="E690" s="237"/>
      <c r="F690" s="237"/>
      <c r="G690" s="237"/>
      <c r="H690" s="237"/>
      <c r="I690" s="237"/>
      <c r="J690" s="237"/>
      <c r="K690" s="237"/>
      <c r="L690" s="237"/>
      <c r="M690" s="237"/>
      <c r="N690" s="237"/>
      <c r="O690" s="237"/>
      <c r="P690" s="237"/>
      <c r="Q690" s="237"/>
      <c r="R690" s="237"/>
      <c r="S690" s="237"/>
      <c r="T690" s="237"/>
      <c r="U690" s="237"/>
      <c r="V690" s="237"/>
      <c r="W690" s="237"/>
      <c r="X690" s="237"/>
      <c r="Y690" s="237"/>
      <c r="Z690" s="237"/>
    </row>
    <row r="691" spans="1:26">
      <c r="A691" s="238"/>
      <c r="B691" s="237"/>
      <c r="D691" s="237"/>
      <c r="E691" s="237"/>
      <c r="F691" s="237"/>
      <c r="G691" s="237"/>
      <c r="H691" s="237"/>
      <c r="I691" s="237"/>
      <c r="J691" s="237"/>
      <c r="K691" s="237"/>
      <c r="L691" s="237"/>
      <c r="M691" s="237"/>
      <c r="N691" s="237"/>
      <c r="O691" s="237"/>
      <c r="P691" s="237"/>
      <c r="Q691" s="237"/>
      <c r="R691" s="237"/>
      <c r="S691" s="237"/>
      <c r="T691" s="237"/>
      <c r="U691" s="237"/>
      <c r="V691" s="237"/>
      <c r="W691" s="237"/>
      <c r="X691" s="237"/>
      <c r="Y691" s="237"/>
      <c r="Z691" s="237"/>
    </row>
    <row r="692" spans="1:26">
      <c r="A692" s="238"/>
      <c r="B692" s="237"/>
      <c r="D692" s="237"/>
      <c r="E692" s="237"/>
      <c r="F692" s="237"/>
      <c r="G692" s="237"/>
      <c r="H692" s="237"/>
      <c r="I692" s="237"/>
      <c r="J692" s="237"/>
      <c r="K692" s="237"/>
      <c r="L692" s="237"/>
      <c r="M692" s="237"/>
      <c r="N692" s="237"/>
      <c r="O692" s="237"/>
      <c r="P692" s="237"/>
      <c r="Q692" s="237"/>
      <c r="R692" s="237"/>
      <c r="S692" s="237"/>
      <c r="T692" s="237"/>
      <c r="U692" s="237"/>
      <c r="V692" s="237"/>
      <c r="W692" s="237"/>
      <c r="X692" s="237"/>
      <c r="Y692" s="237"/>
      <c r="Z692" s="237"/>
    </row>
    <row r="693" spans="1:26">
      <c r="A693" s="238"/>
      <c r="B693" s="237"/>
      <c r="D693" s="237"/>
      <c r="E693" s="237"/>
      <c r="F693" s="237"/>
      <c r="G693" s="237"/>
      <c r="H693" s="237"/>
      <c r="I693" s="237"/>
      <c r="J693" s="237"/>
      <c r="K693" s="237"/>
      <c r="L693" s="237"/>
      <c r="M693" s="237"/>
      <c r="N693" s="237"/>
      <c r="O693" s="237"/>
      <c r="P693" s="237"/>
      <c r="Q693" s="237"/>
      <c r="R693" s="237"/>
      <c r="S693" s="237"/>
      <c r="T693" s="237"/>
      <c r="U693" s="237"/>
      <c r="V693" s="237"/>
      <c r="W693" s="237"/>
      <c r="X693" s="237"/>
      <c r="Y693" s="237"/>
      <c r="Z693" s="237"/>
    </row>
    <row r="694" spans="1:26">
      <c r="A694" s="238"/>
      <c r="B694" s="237"/>
      <c r="D694" s="237"/>
      <c r="E694" s="237"/>
      <c r="F694" s="237"/>
      <c r="G694" s="237"/>
      <c r="H694" s="237"/>
      <c r="I694" s="237"/>
      <c r="J694" s="237"/>
      <c r="K694" s="237"/>
      <c r="L694" s="237"/>
      <c r="M694" s="237"/>
      <c r="N694" s="237"/>
      <c r="O694" s="237"/>
      <c r="P694" s="237"/>
      <c r="Q694" s="237"/>
      <c r="R694" s="237"/>
      <c r="S694" s="237"/>
      <c r="T694" s="237"/>
      <c r="U694" s="237"/>
      <c r="V694" s="237"/>
      <c r="W694" s="237"/>
      <c r="X694" s="237"/>
      <c r="Y694" s="237"/>
      <c r="Z694" s="237"/>
    </row>
    <row r="695" spans="1:26">
      <c r="A695" s="238"/>
      <c r="B695" s="237"/>
      <c r="D695" s="237"/>
      <c r="E695" s="237"/>
      <c r="F695" s="237"/>
      <c r="G695" s="237"/>
      <c r="H695" s="237"/>
      <c r="I695" s="237"/>
      <c r="J695" s="237"/>
      <c r="K695" s="237"/>
      <c r="L695" s="237"/>
      <c r="M695" s="237"/>
      <c r="N695" s="237"/>
      <c r="O695" s="237"/>
      <c r="P695" s="237"/>
      <c r="Q695" s="237"/>
      <c r="R695" s="237"/>
      <c r="S695" s="237"/>
      <c r="T695" s="237"/>
      <c r="U695" s="237"/>
      <c r="V695" s="237"/>
      <c r="W695" s="237"/>
      <c r="X695" s="237"/>
      <c r="Y695" s="237"/>
      <c r="Z695" s="237"/>
    </row>
    <row r="696" spans="1:26">
      <c r="A696" s="238"/>
      <c r="B696" s="237"/>
      <c r="D696" s="237"/>
      <c r="E696" s="237"/>
      <c r="F696" s="237"/>
      <c r="G696" s="237"/>
      <c r="H696" s="237"/>
      <c r="I696" s="237"/>
      <c r="J696" s="237"/>
      <c r="K696" s="237"/>
      <c r="L696" s="237"/>
      <c r="M696" s="237"/>
      <c r="N696" s="237"/>
      <c r="O696" s="237"/>
      <c r="P696" s="237"/>
      <c r="Q696" s="237"/>
      <c r="R696" s="237"/>
      <c r="S696" s="237"/>
      <c r="T696" s="237"/>
      <c r="U696" s="237"/>
      <c r="V696" s="237"/>
      <c r="W696" s="237"/>
      <c r="X696" s="237"/>
      <c r="Y696" s="237"/>
      <c r="Z696" s="237"/>
    </row>
    <row r="697" spans="1:26">
      <c r="A697" s="238"/>
      <c r="B697" s="237"/>
      <c r="D697" s="237"/>
      <c r="E697" s="237"/>
      <c r="F697" s="237"/>
      <c r="G697" s="237"/>
      <c r="H697" s="237"/>
      <c r="I697" s="237"/>
      <c r="J697" s="237"/>
      <c r="K697" s="237"/>
      <c r="L697" s="237"/>
      <c r="M697" s="237"/>
      <c r="N697" s="237"/>
      <c r="O697" s="237"/>
      <c r="P697" s="237"/>
      <c r="Q697" s="237"/>
      <c r="R697" s="237"/>
      <c r="S697" s="237"/>
      <c r="T697" s="237"/>
      <c r="U697" s="237"/>
      <c r="V697" s="237"/>
      <c r="W697" s="237"/>
      <c r="X697" s="237"/>
      <c r="Y697" s="237"/>
      <c r="Z697" s="237"/>
    </row>
    <row r="698" spans="1:26">
      <c r="A698" s="238"/>
      <c r="B698" s="237"/>
      <c r="D698" s="237"/>
      <c r="E698" s="237"/>
      <c r="F698" s="237"/>
      <c r="G698" s="237"/>
      <c r="H698" s="237"/>
      <c r="I698" s="237"/>
      <c r="J698" s="237"/>
      <c r="K698" s="237"/>
      <c r="L698" s="237"/>
      <c r="M698" s="237"/>
      <c r="N698" s="237"/>
      <c r="O698" s="237"/>
      <c r="P698" s="237"/>
      <c r="Q698" s="237"/>
      <c r="R698" s="237"/>
      <c r="S698" s="237"/>
      <c r="T698" s="237"/>
      <c r="U698" s="237"/>
      <c r="V698" s="237"/>
      <c r="W698" s="237"/>
      <c r="X698" s="237"/>
      <c r="Y698" s="237"/>
      <c r="Z698" s="237"/>
    </row>
    <row r="699" spans="1:26">
      <c r="A699" s="238"/>
      <c r="B699" s="237"/>
      <c r="D699" s="237"/>
      <c r="E699" s="237"/>
      <c r="F699" s="237"/>
      <c r="G699" s="237"/>
      <c r="H699" s="237"/>
      <c r="I699" s="237"/>
      <c r="J699" s="237"/>
      <c r="K699" s="237"/>
      <c r="L699" s="237"/>
      <c r="M699" s="237"/>
      <c r="N699" s="237"/>
      <c r="O699" s="237"/>
      <c r="P699" s="237"/>
      <c r="Q699" s="237"/>
      <c r="R699" s="237"/>
      <c r="S699" s="237"/>
      <c r="T699" s="237"/>
      <c r="U699" s="237"/>
      <c r="V699" s="237"/>
      <c r="W699" s="237"/>
      <c r="X699" s="237"/>
      <c r="Y699" s="237"/>
      <c r="Z699" s="237"/>
    </row>
    <row r="700" spans="1:26">
      <c r="A700" s="238"/>
      <c r="B700" s="237"/>
      <c r="D700" s="237"/>
      <c r="E700" s="237"/>
      <c r="F700" s="237"/>
      <c r="G700" s="237"/>
      <c r="H700" s="237"/>
      <c r="I700" s="237"/>
      <c r="J700" s="237"/>
      <c r="K700" s="237"/>
      <c r="L700" s="237"/>
      <c r="M700" s="237"/>
      <c r="N700" s="237"/>
      <c r="O700" s="237"/>
      <c r="P700" s="237"/>
      <c r="Q700" s="237"/>
      <c r="R700" s="237"/>
      <c r="S700" s="237"/>
      <c r="T700" s="237"/>
      <c r="U700" s="237"/>
      <c r="V700" s="237"/>
      <c r="W700" s="237"/>
      <c r="X700" s="237"/>
      <c r="Y700" s="237"/>
      <c r="Z700" s="237"/>
    </row>
    <row r="701" spans="1:26">
      <c r="A701" s="238"/>
      <c r="B701" s="237"/>
      <c r="D701" s="237"/>
      <c r="E701" s="237"/>
      <c r="F701" s="237"/>
      <c r="G701" s="237"/>
      <c r="H701" s="237"/>
      <c r="I701" s="237"/>
      <c r="J701" s="237"/>
      <c r="K701" s="237"/>
      <c r="L701" s="237"/>
      <c r="M701" s="237"/>
      <c r="N701" s="237"/>
      <c r="O701" s="237"/>
      <c r="P701" s="237"/>
      <c r="Q701" s="237"/>
      <c r="R701" s="237"/>
      <c r="S701" s="237"/>
      <c r="T701" s="237"/>
      <c r="U701" s="237"/>
      <c r="V701" s="237"/>
      <c r="W701" s="237"/>
      <c r="X701" s="237"/>
      <c r="Y701" s="237"/>
      <c r="Z701" s="237"/>
    </row>
    <row r="702" spans="1:26">
      <c r="A702" s="238"/>
      <c r="B702" s="237"/>
      <c r="D702" s="237"/>
      <c r="E702" s="237"/>
      <c r="F702" s="237"/>
      <c r="G702" s="237"/>
      <c r="H702" s="237"/>
      <c r="I702" s="237"/>
      <c r="J702" s="237"/>
      <c r="K702" s="237"/>
      <c r="L702" s="237"/>
      <c r="M702" s="237"/>
      <c r="N702" s="237"/>
      <c r="O702" s="237"/>
      <c r="P702" s="237"/>
      <c r="Q702" s="237"/>
      <c r="R702" s="237"/>
      <c r="S702" s="237"/>
      <c r="T702" s="237"/>
      <c r="U702" s="237"/>
      <c r="V702" s="237"/>
      <c r="W702" s="237"/>
      <c r="X702" s="237"/>
      <c r="Y702" s="237"/>
      <c r="Z702" s="237"/>
    </row>
    <row r="703" spans="1:26">
      <c r="A703" s="238"/>
      <c r="B703" s="237"/>
      <c r="D703" s="237"/>
      <c r="E703" s="237"/>
      <c r="F703" s="237"/>
      <c r="G703" s="237"/>
      <c r="H703" s="237"/>
      <c r="I703" s="237"/>
      <c r="J703" s="237"/>
      <c r="K703" s="237"/>
      <c r="L703" s="237"/>
      <c r="M703" s="237"/>
      <c r="N703" s="237"/>
      <c r="O703" s="237"/>
      <c r="P703" s="237"/>
      <c r="Q703" s="237"/>
      <c r="R703" s="237"/>
      <c r="S703" s="237"/>
      <c r="T703" s="237"/>
      <c r="U703" s="237"/>
      <c r="V703" s="237"/>
      <c r="W703" s="237"/>
      <c r="X703" s="237"/>
      <c r="Y703" s="237"/>
      <c r="Z703" s="237"/>
    </row>
    <row r="704" spans="1:26">
      <c r="A704" s="238"/>
      <c r="B704" s="237"/>
      <c r="D704" s="237"/>
      <c r="E704" s="237"/>
      <c r="F704" s="237"/>
      <c r="G704" s="237"/>
      <c r="H704" s="237"/>
      <c r="I704" s="237"/>
      <c r="J704" s="237"/>
      <c r="K704" s="237"/>
      <c r="L704" s="237"/>
      <c r="M704" s="237"/>
      <c r="N704" s="237"/>
      <c r="O704" s="237"/>
      <c r="P704" s="237"/>
      <c r="Q704" s="237"/>
      <c r="R704" s="237"/>
      <c r="S704" s="237"/>
      <c r="T704" s="237"/>
      <c r="U704" s="237"/>
      <c r="V704" s="237"/>
      <c r="W704" s="237"/>
      <c r="X704" s="237"/>
      <c r="Y704" s="237"/>
      <c r="Z704" s="237"/>
    </row>
    <row r="705" spans="1:26">
      <c r="A705" s="238"/>
      <c r="B705" s="237"/>
      <c r="D705" s="237"/>
      <c r="E705" s="237"/>
      <c r="F705" s="237"/>
      <c r="G705" s="237"/>
      <c r="H705" s="237"/>
      <c r="I705" s="237"/>
      <c r="J705" s="237"/>
      <c r="K705" s="237"/>
      <c r="L705" s="237"/>
      <c r="M705" s="237"/>
      <c r="N705" s="237"/>
      <c r="O705" s="237"/>
      <c r="P705" s="237"/>
      <c r="Q705" s="237"/>
      <c r="R705" s="237"/>
      <c r="S705" s="237"/>
      <c r="T705" s="237"/>
      <c r="U705" s="237"/>
      <c r="V705" s="237"/>
      <c r="W705" s="237"/>
      <c r="X705" s="237"/>
      <c r="Y705" s="237"/>
      <c r="Z705" s="237"/>
    </row>
    <row r="706" spans="1:26">
      <c r="A706" s="238"/>
      <c r="B706" s="237"/>
      <c r="D706" s="237"/>
      <c r="E706" s="237"/>
      <c r="F706" s="237"/>
      <c r="G706" s="237"/>
      <c r="H706" s="237"/>
      <c r="I706" s="237"/>
      <c r="J706" s="237"/>
      <c r="K706" s="237"/>
      <c r="L706" s="237"/>
      <c r="M706" s="237"/>
      <c r="N706" s="237"/>
      <c r="O706" s="237"/>
      <c r="P706" s="237"/>
      <c r="Q706" s="237"/>
      <c r="R706" s="237"/>
      <c r="S706" s="237"/>
      <c r="T706" s="237"/>
      <c r="U706" s="237"/>
      <c r="V706" s="237"/>
      <c r="W706" s="237"/>
      <c r="X706" s="237"/>
      <c r="Y706" s="237"/>
      <c r="Z706" s="237"/>
    </row>
    <row r="707" spans="1:26">
      <c r="A707" s="238"/>
      <c r="B707" s="237"/>
      <c r="D707" s="237"/>
      <c r="E707" s="237"/>
      <c r="F707" s="237"/>
      <c r="G707" s="237"/>
      <c r="H707" s="237"/>
      <c r="I707" s="237"/>
      <c r="J707" s="237"/>
      <c r="K707" s="237"/>
      <c r="L707" s="237"/>
      <c r="M707" s="237"/>
      <c r="N707" s="237"/>
      <c r="O707" s="237"/>
      <c r="P707" s="237"/>
      <c r="Q707" s="237"/>
      <c r="R707" s="237"/>
      <c r="S707" s="237"/>
      <c r="T707" s="237"/>
      <c r="U707" s="237"/>
      <c r="V707" s="237"/>
      <c r="W707" s="237"/>
      <c r="X707" s="237"/>
      <c r="Y707" s="237"/>
      <c r="Z707" s="237"/>
    </row>
    <row r="708" spans="1:26">
      <c r="A708" s="238"/>
      <c r="B708" s="237"/>
      <c r="D708" s="237"/>
      <c r="E708" s="237"/>
      <c r="F708" s="237"/>
      <c r="G708" s="237"/>
      <c r="H708" s="237"/>
      <c r="I708" s="237"/>
      <c r="J708" s="237"/>
      <c r="K708" s="237"/>
      <c r="L708" s="237"/>
      <c r="M708" s="237"/>
      <c r="N708" s="237"/>
      <c r="O708" s="237"/>
      <c r="P708" s="237"/>
      <c r="Q708" s="237"/>
      <c r="R708" s="237"/>
      <c r="S708" s="237"/>
      <c r="T708" s="237"/>
      <c r="U708" s="237"/>
      <c r="V708" s="237"/>
      <c r="W708" s="237"/>
      <c r="X708" s="237"/>
      <c r="Y708" s="237"/>
      <c r="Z708" s="237"/>
    </row>
    <row r="709" spans="1:26">
      <c r="A709" s="238"/>
      <c r="B709" s="237"/>
      <c r="D709" s="237"/>
      <c r="E709" s="237"/>
      <c r="F709" s="237"/>
      <c r="G709" s="237"/>
      <c r="H709" s="237"/>
      <c r="I709" s="237"/>
      <c r="J709" s="237"/>
      <c r="K709" s="237"/>
      <c r="L709" s="237"/>
      <c r="M709" s="237"/>
      <c r="N709" s="237"/>
      <c r="O709" s="237"/>
      <c r="P709" s="237"/>
      <c r="Q709" s="237"/>
      <c r="R709" s="237"/>
      <c r="S709" s="237"/>
      <c r="T709" s="237"/>
      <c r="U709" s="237"/>
      <c r="V709" s="237"/>
      <c r="W709" s="237"/>
      <c r="X709" s="237"/>
      <c r="Y709" s="237"/>
      <c r="Z709" s="237"/>
    </row>
    <row r="710" spans="1:26">
      <c r="A710" s="238"/>
      <c r="B710" s="237"/>
      <c r="D710" s="237"/>
      <c r="E710" s="237"/>
      <c r="F710" s="237"/>
      <c r="G710" s="237"/>
      <c r="H710" s="237"/>
      <c r="I710" s="237"/>
      <c r="J710" s="237"/>
      <c r="K710" s="237"/>
      <c r="L710" s="237"/>
      <c r="M710" s="237"/>
      <c r="N710" s="237"/>
      <c r="O710" s="237"/>
      <c r="P710" s="237"/>
      <c r="Q710" s="237"/>
      <c r="R710" s="237"/>
      <c r="S710" s="237"/>
      <c r="T710" s="237"/>
      <c r="U710" s="237"/>
      <c r="V710" s="237"/>
      <c r="W710" s="237"/>
      <c r="X710" s="237"/>
      <c r="Y710" s="237"/>
      <c r="Z710" s="237"/>
    </row>
    <row r="711" spans="1:26">
      <c r="A711" s="238"/>
      <c r="B711" s="237"/>
      <c r="D711" s="237"/>
      <c r="E711" s="237"/>
      <c r="F711" s="237"/>
      <c r="G711" s="237"/>
      <c r="H711" s="237"/>
      <c r="I711" s="237"/>
      <c r="J711" s="237"/>
      <c r="K711" s="237"/>
      <c r="L711" s="237"/>
      <c r="M711" s="237"/>
      <c r="N711" s="237"/>
      <c r="O711" s="237"/>
      <c r="P711" s="237"/>
      <c r="Q711" s="237"/>
      <c r="R711" s="237"/>
      <c r="S711" s="237"/>
      <c r="T711" s="237"/>
      <c r="U711" s="237"/>
      <c r="V711" s="237"/>
      <c r="W711" s="237"/>
      <c r="X711" s="237"/>
      <c r="Y711" s="237"/>
      <c r="Z711" s="237"/>
    </row>
    <row r="712" spans="1:26">
      <c r="A712" s="238"/>
      <c r="B712" s="237"/>
      <c r="D712" s="237"/>
      <c r="E712" s="237"/>
      <c r="F712" s="237"/>
      <c r="G712" s="237"/>
      <c r="H712" s="237"/>
      <c r="I712" s="237"/>
      <c r="J712" s="237"/>
      <c r="K712" s="237"/>
      <c r="L712" s="237"/>
      <c r="M712" s="237"/>
      <c r="N712" s="237"/>
      <c r="O712" s="237"/>
      <c r="P712" s="237"/>
      <c r="Q712" s="237"/>
      <c r="R712" s="237"/>
      <c r="S712" s="237"/>
      <c r="T712" s="237"/>
      <c r="U712" s="237"/>
      <c r="V712" s="237"/>
      <c r="W712" s="237"/>
      <c r="X712" s="237"/>
      <c r="Y712" s="237"/>
      <c r="Z712" s="237"/>
    </row>
    <row r="713" spans="1:26">
      <c r="A713" s="238"/>
      <c r="B713" s="237"/>
      <c r="D713" s="237"/>
      <c r="E713" s="237"/>
      <c r="F713" s="237"/>
      <c r="G713" s="237"/>
      <c r="H713" s="237"/>
      <c r="I713" s="237"/>
      <c r="J713" s="237"/>
      <c r="K713" s="237"/>
      <c r="L713" s="237"/>
      <c r="M713" s="237"/>
      <c r="N713" s="237"/>
      <c r="O713" s="237"/>
      <c r="P713" s="237"/>
      <c r="Q713" s="237"/>
      <c r="R713" s="237"/>
      <c r="S713" s="237"/>
      <c r="T713" s="237"/>
      <c r="U713" s="237"/>
      <c r="V713" s="237"/>
      <c r="W713" s="237"/>
      <c r="X713" s="237"/>
      <c r="Y713" s="237"/>
      <c r="Z713" s="237"/>
    </row>
    <row r="714" spans="1:26">
      <c r="A714" s="238"/>
      <c r="B714" s="237"/>
      <c r="D714" s="237"/>
      <c r="E714" s="237"/>
      <c r="F714" s="237"/>
      <c r="G714" s="237"/>
      <c r="H714" s="237"/>
      <c r="I714" s="237"/>
      <c r="J714" s="237"/>
      <c r="K714" s="237"/>
      <c r="L714" s="237"/>
      <c r="M714" s="237"/>
      <c r="N714" s="237"/>
      <c r="O714" s="237"/>
      <c r="P714" s="237"/>
      <c r="Q714" s="237"/>
      <c r="R714" s="237"/>
      <c r="S714" s="237"/>
      <c r="T714" s="237"/>
      <c r="U714" s="237"/>
      <c r="V714" s="237"/>
      <c r="W714" s="237"/>
      <c r="X714" s="237"/>
      <c r="Y714" s="237"/>
      <c r="Z714" s="237"/>
    </row>
    <row r="715" spans="1:26">
      <c r="A715" s="238"/>
      <c r="B715" s="237"/>
      <c r="D715" s="237"/>
      <c r="E715" s="237"/>
      <c r="F715" s="237"/>
      <c r="G715" s="237"/>
      <c r="H715" s="237"/>
      <c r="I715" s="237"/>
      <c r="J715" s="237"/>
      <c r="K715" s="237"/>
      <c r="L715" s="237"/>
      <c r="M715" s="237"/>
      <c r="N715" s="237"/>
      <c r="O715" s="237"/>
      <c r="P715" s="237"/>
      <c r="Q715" s="237"/>
      <c r="R715" s="237"/>
      <c r="S715" s="237"/>
      <c r="T715" s="237"/>
      <c r="U715" s="237"/>
      <c r="V715" s="237"/>
      <c r="W715" s="237"/>
      <c r="X715" s="237"/>
      <c r="Y715" s="237"/>
      <c r="Z715" s="237"/>
    </row>
    <row r="716" spans="1:26">
      <c r="A716" s="238"/>
      <c r="B716" s="237"/>
      <c r="D716" s="237"/>
      <c r="E716" s="237"/>
      <c r="F716" s="237"/>
      <c r="G716" s="237"/>
      <c r="H716" s="237"/>
      <c r="I716" s="237"/>
      <c r="J716" s="237"/>
      <c r="K716" s="237"/>
      <c r="L716" s="237"/>
      <c r="M716" s="237"/>
      <c r="N716" s="237"/>
      <c r="O716" s="237"/>
      <c r="P716" s="237"/>
      <c r="Q716" s="237"/>
      <c r="R716" s="237"/>
      <c r="S716" s="237"/>
      <c r="T716" s="237"/>
      <c r="U716" s="237"/>
      <c r="V716" s="237"/>
      <c r="W716" s="237"/>
      <c r="X716" s="237"/>
      <c r="Y716" s="237"/>
      <c r="Z716" s="237"/>
    </row>
    <row r="717" spans="1:26">
      <c r="A717" s="238"/>
      <c r="B717" s="237"/>
      <c r="D717" s="237"/>
      <c r="E717" s="237"/>
      <c r="F717" s="237"/>
      <c r="G717" s="237"/>
      <c r="H717" s="237"/>
      <c r="I717" s="237"/>
      <c r="J717" s="237"/>
      <c r="K717" s="237"/>
      <c r="L717" s="237"/>
      <c r="M717" s="237"/>
      <c r="N717" s="237"/>
      <c r="O717" s="237"/>
      <c r="P717" s="237"/>
      <c r="Q717" s="237"/>
      <c r="R717" s="237"/>
      <c r="S717" s="237"/>
      <c r="T717" s="237"/>
      <c r="U717" s="237"/>
      <c r="V717" s="237"/>
      <c r="W717" s="237"/>
      <c r="X717" s="237"/>
      <c r="Y717" s="237"/>
      <c r="Z717" s="237"/>
    </row>
    <row r="718" spans="1:26">
      <c r="A718" s="238"/>
      <c r="B718" s="237"/>
      <c r="D718" s="237"/>
      <c r="E718" s="237"/>
      <c r="F718" s="237"/>
      <c r="G718" s="237"/>
      <c r="H718" s="237"/>
      <c r="I718" s="237"/>
      <c r="J718" s="237"/>
      <c r="K718" s="237"/>
      <c r="L718" s="237"/>
      <c r="M718" s="237"/>
      <c r="N718" s="237"/>
      <c r="O718" s="237"/>
      <c r="P718" s="237"/>
      <c r="Q718" s="237"/>
      <c r="R718" s="237"/>
      <c r="S718" s="237"/>
      <c r="T718" s="237"/>
      <c r="U718" s="237"/>
      <c r="V718" s="237"/>
      <c r="W718" s="237"/>
      <c r="X718" s="237"/>
      <c r="Y718" s="237"/>
      <c r="Z718" s="237"/>
    </row>
    <row r="719" spans="1:26">
      <c r="A719" s="238"/>
      <c r="B719" s="237"/>
      <c r="D719" s="237"/>
      <c r="E719" s="237"/>
      <c r="F719" s="237"/>
      <c r="G719" s="237"/>
      <c r="H719" s="237"/>
      <c r="I719" s="237"/>
      <c r="J719" s="237"/>
      <c r="K719" s="237"/>
      <c r="L719" s="237"/>
      <c r="M719" s="237"/>
      <c r="N719" s="237"/>
      <c r="O719" s="237"/>
      <c r="P719" s="237"/>
      <c r="Q719" s="237"/>
      <c r="R719" s="237"/>
      <c r="S719" s="237"/>
      <c r="T719" s="237"/>
      <c r="U719" s="237"/>
      <c r="V719" s="237"/>
      <c r="W719" s="237"/>
      <c r="X719" s="237"/>
      <c r="Y719" s="237"/>
      <c r="Z719" s="237"/>
    </row>
    <row r="720" spans="1:26">
      <c r="A720" s="238"/>
      <c r="B720" s="237"/>
      <c r="D720" s="237"/>
      <c r="E720" s="237"/>
      <c r="F720" s="237"/>
      <c r="G720" s="237"/>
      <c r="H720" s="237"/>
      <c r="I720" s="237"/>
      <c r="J720" s="237"/>
      <c r="K720" s="237"/>
      <c r="L720" s="237"/>
      <c r="M720" s="237"/>
      <c r="N720" s="237"/>
      <c r="O720" s="237"/>
      <c r="P720" s="237"/>
      <c r="Q720" s="237"/>
      <c r="R720" s="237"/>
      <c r="S720" s="237"/>
      <c r="T720" s="237"/>
      <c r="U720" s="237"/>
      <c r="V720" s="237"/>
      <c r="W720" s="237"/>
      <c r="X720" s="237"/>
      <c r="Y720" s="237"/>
      <c r="Z720" s="237"/>
    </row>
    <row r="721" spans="1:26">
      <c r="A721" s="238"/>
      <c r="B721" s="237"/>
      <c r="D721" s="237"/>
      <c r="E721" s="237"/>
      <c r="F721" s="237"/>
      <c r="G721" s="237"/>
      <c r="H721" s="237"/>
      <c r="I721" s="237"/>
      <c r="J721" s="237"/>
      <c r="K721" s="237"/>
      <c r="L721" s="237"/>
      <c r="M721" s="237"/>
      <c r="N721" s="237"/>
      <c r="O721" s="237"/>
      <c r="P721" s="237"/>
      <c r="Q721" s="237"/>
      <c r="R721" s="237"/>
      <c r="S721" s="237"/>
      <c r="T721" s="237"/>
      <c r="U721" s="237"/>
      <c r="V721" s="237"/>
      <c r="W721" s="237"/>
      <c r="X721" s="237"/>
      <c r="Y721" s="237"/>
      <c r="Z721" s="237"/>
    </row>
    <row r="722" spans="1:26">
      <c r="A722" s="238"/>
      <c r="B722" s="237"/>
      <c r="D722" s="237"/>
      <c r="E722" s="237"/>
      <c r="F722" s="237"/>
      <c r="G722" s="237"/>
      <c r="H722" s="237"/>
      <c r="I722" s="237"/>
      <c r="J722" s="237"/>
      <c r="K722" s="237"/>
      <c r="L722" s="237"/>
      <c r="M722" s="237"/>
      <c r="N722" s="237"/>
      <c r="O722" s="237"/>
      <c r="P722" s="237"/>
      <c r="Q722" s="237"/>
      <c r="R722" s="237"/>
      <c r="S722" s="237"/>
      <c r="T722" s="237"/>
      <c r="U722" s="237"/>
      <c r="V722" s="237"/>
      <c r="W722" s="237"/>
      <c r="X722" s="237"/>
      <c r="Y722" s="237"/>
      <c r="Z722" s="237"/>
    </row>
    <row r="723" spans="1:26">
      <c r="A723" s="238"/>
      <c r="B723" s="237"/>
      <c r="D723" s="237"/>
      <c r="E723" s="237"/>
      <c r="F723" s="237"/>
      <c r="G723" s="237"/>
      <c r="H723" s="237"/>
      <c r="I723" s="237"/>
      <c r="J723" s="237"/>
      <c r="K723" s="237"/>
      <c r="L723" s="237"/>
      <c r="M723" s="237"/>
      <c r="N723" s="237"/>
      <c r="O723" s="237"/>
      <c r="P723" s="237"/>
      <c r="Q723" s="237"/>
      <c r="R723" s="237"/>
      <c r="S723" s="237"/>
      <c r="T723" s="237"/>
      <c r="U723" s="237"/>
      <c r="V723" s="237"/>
      <c r="W723" s="237"/>
      <c r="X723" s="237"/>
      <c r="Y723" s="237"/>
      <c r="Z723" s="237"/>
    </row>
    <row r="724" spans="1:26">
      <c r="A724" s="238"/>
      <c r="B724" s="237"/>
      <c r="D724" s="237"/>
      <c r="E724" s="237"/>
      <c r="F724" s="237"/>
      <c r="G724" s="237"/>
      <c r="H724" s="237"/>
      <c r="I724" s="237"/>
      <c r="J724" s="237"/>
      <c r="K724" s="237"/>
      <c r="L724" s="237"/>
      <c r="M724" s="237"/>
      <c r="N724" s="237"/>
      <c r="O724" s="237"/>
      <c r="P724" s="237"/>
      <c r="Q724" s="237"/>
      <c r="R724" s="237"/>
      <c r="S724" s="237"/>
      <c r="T724" s="237"/>
      <c r="U724" s="237"/>
      <c r="V724" s="237"/>
      <c r="W724" s="237"/>
      <c r="X724" s="237"/>
      <c r="Y724" s="237"/>
      <c r="Z724" s="237"/>
    </row>
    <row r="725" spans="1:26">
      <c r="A725" s="238"/>
      <c r="B725" s="237"/>
      <c r="D725" s="237"/>
      <c r="E725" s="237"/>
      <c r="F725" s="237"/>
      <c r="G725" s="237"/>
      <c r="H725" s="237"/>
      <c r="I725" s="237"/>
      <c r="J725" s="237"/>
      <c r="K725" s="237"/>
      <c r="L725" s="237"/>
      <c r="M725" s="237"/>
      <c r="N725" s="237"/>
      <c r="O725" s="237"/>
      <c r="P725" s="237"/>
      <c r="Q725" s="237"/>
      <c r="R725" s="237"/>
      <c r="S725" s="237"/>
      <c r="T725" s="237"/>
      <c r="U725" s="237"/>
      <c r="V725" s="237"/>
      <c r="W725" s="237"/>
      <c r="X725" s="237"/>
      <c r="Y725" s="237"/>
      <c r="Z725" s="237"/>
    </row>
    <row r="726" spans="1:26">
      <c r="A726" s="238"/>
      <c r="B726" s="237"/>
      <c r="D726" s="237"/>
      <c r="E726" s="237"/>
      <c r="F726" s="237"/>
      <c r="G726" s="237"/>
      <c r="H726" s="237"/>
      <c r="I726" s="237"/>
      <c r="J726" s="237"/>
      <c r="K726" s="237"/>
      <c r="L726" s="237"/>
      <c r="M726" s="237"/>
      <c r="N726" s="237"/>
      <c r="O726" s="237"/>
      <c r="P726" s="237"/>
      <c r="Q726" s="237"/>
      <c r="R726" s="237"/>
      <c r="S726" s="237"/>
      <c r="T726" s="237"/>
      <c r="U726" s="237"/>
      <c r="V726" s="237"/>
      <c r="W726" s="237"/>
      <c r="X726" s="237"/>
      <c r="Y726" s="237"/>
      <c r="Z726" s="237"/>
    </row>
    <row r="727" spans="1:26">
      <c r="A727" s="238"/>
      <c r="B727" s="237"/>
      <c r="D727" s="237"/>
      <c r="E727" s="237"/>
      <c r="F727" s="237"/>
      <c r="G727" s="237"/>
      <c r="H727" s="237"/>
      <c r="I727" s="237"/>
      <c r="J727" s="237"/>
      <c r="K727" s="237"/>
      <c r="L727" s="237"/>
      <c r="M727" s="237"/>
      <c r="N727" s="237"/>
      <c r="O727" s="237"/>
      <c r="P727" s="237"/>
      <c r="Q727" s="237"/>
      <c r="R727" s="237"/>
      <c r="S727" s="237"/>
      <c r="T727" s="237"/>
      <c r="U727" s="237"/>
      <c r="V727" s="237"/>
      <c r="W727" s="237"/>
      <c r="X727" s="237"/>
      <c r="Y727" s="237"/>
      <c r="Z727" s="237"/>
    </row>
    <row r="728" spans="1:26">
      <c r="A728" s="238"/>
      <c r="B728" s="237"/>
      <c r="D728" s="237"/>
      <c r="E728" s="237"/>
      <c r="F728" s="237"/>
      <c r="G728" s="237"/>
      <c r="H728" s="237"/>
      <c r="I728" s="237"/>
      <c r="J728" s="237"/>
      <c r="K728" s="237"/>
      <c r="L728" s="237"/>
      <c r="M728" s="237"/>
      <c r="N728" s="237"/>
      <c r="O728" s="237"/>
      <c r="P728" s="237"/>
      <c r="Q728" s="237"/>
      <c r="R728" s="237"/>
      <c r="S728" s="237"/>
      <c r="T728" s="237"/>
      <c r="U728" s="237"/>
      <c r="V728" s="237"/>
      <c r="W728" s="237"/>
      <c r="X728" s="237"/>
      <c r="Y728" s="237"/>
      <c r="Z728" s="237"/>
    </row>
    <row r="729" spans="1:26">
      <c r="A729" s="238"/>
      <c r="B729" s="237"/>
      <c r="D729" s="237"/>
      <c r="E729" s="237"/>
      <c r="F729" s="237"/>
      <c r="G729" s="237"/>
      <c r="H729" s="237"/>
      <c r="I729" s="237"/>
      <c r="J729" s="237"/>
      <c r="K729" s="237"/>
      <c r="L729" s="237"/>
      <c r="M729" s="237"/>
      <c r="N729" s="237"/>
      <c r="O729" s="237"/>
      <c r="P729" s="237"/>
      <c r="Q729" s="237"/>
      <c r="R729" s="237"/>
      <c r="S729" s="237"/>
      <c r="T729" s="237"/>
      <c r="U729" s="237"/>
      <c r="V729" s="237"/>
      <c r="W729" s="237"/>
      <c r="X729" s="237"/>
      <c r="Y729" s="237"/>
      <c r="Z729" s="237"/>
    </row>
    <row r="730" spans="1:26">
      <c r="A730" s="238"/>
      <c r="B730" s="237"/>
      <c r="D730" s="237"/>
      <c r="E730" s="237"/>
      <c r="F730" s="237"/>
      <c r="G730" s="237"/>
      <c r="H730" s="237"/>
      <c r="I730" s="237"/>
      <c r="J730" s="237"/>
      <c r="K730" s="237"/>
      <c r="L730" s="237"/>
      <c r="M730" s="237"/>
      <c r="N730" s="237"/>
      <c r="O730" s="237"/>
      <c r="P730" s="237"/>
      <c r="Q730" s="237"/>
      <c r="R730" s="237"/>
      <c r="S730" s="237"/>
      <c r="T730" s="237"/>
      <c r="U730" s="237"/>
      <c r="V730" s="237"/>
      <c r="W730" s="237"/>
      <c r="X730" s="237"/>
      <c r="Y730" s="237"/>
      <c r="Z730" s="237"/>
    </row>
    <row r="731" spans="1:26">
      <c r="A731" s="238"/>
      <c r="B731" s="237"/>
      <c r="D731" s="237"/>
      <c r="E731" s="237"/>
      <c r="F731" s="237"/>
      <c r="G731" s="237"/>
      <c r="H731" s="237"/>
      <c r="I731" s="237"/>
      <c r="J731" s="237"/>
      <c r="K731" s="237"/>
      <c r="L731" s="237"/>
      <c r="M731" s="237"/>
      <c r="N731" s="237"/>
      <c r="O731" s="237"/>
      <c r="P731" s="237"/>
      <c r="Q731" s="237"/>
      <c r="R731" s="237"/>
      <c r="S731" s="237"/>
      <c r="T731" s="237"/>
      <c r="U731" s="237"/>
      <c r="V731" s="237"/>
      <c r="W731" s="237"/>
      <c r="X731" s="237"/>
      <c r="Y731" s="237"/>
      <c r="Z731" s="237"/>
    </row>
    <row r="732" spans="1:26">
      <c r="A732" s="238"/>
      <c r="B732" s="237"/>
      <c r="D732" s="237"/>
      <c r="E732" s="237"/>
      <c r="F732" s="237"/>
      <c r="G732" s="237"/>
      <c r="H732" s="237"/>
      <c r="I732" s="237"/>
      <c r="J732" s="237"/>
      <c r="K732" s="237"/>
      <c r="L732" s="237"/>
      <c r="M732" s="237"/>
      <c r="N732" s="237"/>
      <c r="O732" s="237"/>
      <c r="P732" s="237"/>
      <c r="Q732" s="237"/>
      <c r="R732" s="237"/>
      <c r="S732" s="237"/>
      <c r="T732" s="237"/>
      <c r="U732" s="237"/>
      <c r="V732" s="237"/>
      <c r="W732" s="237"/>
      <c r="X732" s="237"/>
      <c r="Y732" s="237"/>
      <c r="Z732" s="237"/>
    </row>
    <row r="733" spans="1:26">
      <c r="A733" s="238"/>
      <c r="B733" s="237"/>
      <c r="D733" s="237"/>
      <c r="E733" s="237"/>
      <c r="F733" s="237"/>
      <c r="G733" s="237"/>
      <c r="H733" s="237"/>
      <c r="I733" s="237"/>
      <c r="J733" s="237"/>
      <c r="K733" s="237"/>
      <c r="L733" s="237"/>
      <c r="M733" s="237"/>
      <c r="N733" s="237"/>
      <c r="O733" s="237"/>
      <c r="P733" s="237"/>
      <c r="Q733" s="237"/>
      <c r="R733" s="237"/>
      <c r="S733" s="237"/>
      <c r="T733" s="237"/>
      <c r="U733" s="237"/>
      <c r="V733" s="237"/>
      <c r="W733" s="237"/>
      <c r="X733" s="237"/>
      <c r="Y733" s="237"/>
      <c r="Z733" s="237"/>
    </row>
    <row r="734" spans="1:26">
      <c r="A734" s="238"/>
      <c r="B734" s="237"/>
      <c r="D734" s="237"/>
      <c r="E734" s="237"/>
      <c r="F734" s="237"/>
      <c r="G734" s="237"/>
      <c r="H734" s="237"/>
      <c r="I734" s="237"/>
      <c r="J734" s="237"/>
      <c r="K734" s="237"/>
      <c r="L734" s="237"/>
      <c r="M734" s="237"/>
      <c r="N734" s="237"/>
      <c r="O734" s="237"/>
      <c r="P734" s="237"/>
      <c r="Q734" s="237"/>
      <c r="R734" s="237"/>
      <c r="S734" s="237"/>
      <c r="T734" s="237"/>
      <c r="U734" s="237"/>
      <c r="V734" s="237"/>
      <c r="W734" s="237"/>
      <c r="X734" s="237"/>
      <c r="Y734" s="237"/>
      <c r="Z734" s="237"/>
    </row>
    <row r="735" spans="1:26">
      <c r="A735" s="238"/>
      <c r="B735" s="237"/>
      <c r="D735" s="237"/>
      <c r="E735" s="237"/>
      <c r="F735" s="237"/>
      <c r="G735" s="237"/>
      <c r="H735" s="237"/>
      <c r="I735" s="237"/>
      <c r="J735" s="237"/>
      <c r="K735" s="237"/>
      <c r="L735" s="237"/>
      <c r="M735" s="237"/>
      <c r="N735" s="237"/>
      <c r="O735" s="237"/>
      <c r="P735" s="237"/>
      <c r="Q735" s="237"/>
      <c r="R735" s="237"/>
      <c r="S735" s="237"/>
      <c r="T735" s="237"/>
      <c r="U735" s="237"/>
      <c r="V735" s="237"/>
      <c r="W735" s="237"/>
      <c r="X735" s="237"/>
      <c r="Y735" s="237"/>
      <c r="Z735" s="237"/>
    </row>
    <row r="736" spans="1:26">
      <c r="A736" s="238"/>
      <c r="B736" s="237"/>
      <c r="D736" s="237"/>
      <c r="E736" s="237"/>
      <c r="F736" s="237"/>
      <c r="G736" s="237"/>
      <c r="H736" s="237"/>
      <c r="I736" s="237"/>
      <c r="J736" s="237"/>
      <c r="K736" s="237"/>
      <c r="L736" s="237"/>
      <c r="M736" s="237"/>
      <c r="N736" s="237"/>
      <c r="O736" s="237"/>
      <c r="P736" s="237"/>
      <c r="Q736" s="237"/>
      <c r="R736" s="237"/>
      <c r="S736" s="237"/>
      <c r="T736" s="237"/>
      <c r="U736" s="237"/>
      <c r="V736" s="237"/>
      <c r="W736" s="237"/>
      <c r="X736" s="237"/>
      <c r="Y736" s="237"/>
      <c r="Z736" s="237"/>
    </row>
    <row r="737" spans="1:26">
      <c r="A737" s="238"/>
      <c r="B737" s="237"/>
      <c r="D737" s="237"/>
      <c r="E737" s="237"/>
      <c r="F737" s="237"/>
      <c r="G737" s="237"/>
      <c r="H737" s="237"/>
      <c r="I737" s="237"/>
      <c r="J737" s="237"/>
      <c r="K737" s="237"/>
      <c r="L737" s="237"/>
      <c r="M737" s="237"/>
      <c r="N737" s="237"/>
      <c r="O737" s="237"/>
      <c r="P737" s="237"/>
      <c r="Q737" s="237"/>
      <c r="R737" s="237"/>
      <c r="S737" s="237"/>
      <c r="T737" s="237"/>
      <c r="U737" s="237"/>
      <c r="V737" s="237"/>
      <c r="W737" s="237"/>
      <c r="X737" s="237"/>
      <c r="Y737" s="237"/>
      <c r="Z737" s="237"/>
    </row>
    <row r="738" spans="1:26">
      <c r="A738" s="238"/>
      <c r="B738" s="237"/>
      <c r="D738" s="237"/>
      <c r="E738" s="237"/>
      <c r="F738" s="237"/>
      <c r="G738" s="237"/>
      <c r="H738" s="237"/>
      <c r="I738" s="237"/>
      <c r="J738" s="237"/>
      <c r="K738" s="237"/>
      <c r="L738" s="237"/>
      <c r="M738" s="237"/>
      <c r="N738" s="237"/>
      <c r="O738" s="237"/>
      <c r="P738" s="237"/>
      <c r="Q738" s="237"/>
      <c r="R738" s="237"/>
      <c r="S738" s="237"/>
      <c r="T738" s="237"/>
      <c r="U738" s="237"/>
      <c r="V738" s="237"/>
      <c r="W738" s="237"/>
      <c r="X738" s="237"/>
      <c r="Y738" s="237"/>
      <c r="Z738" s="237"/>
    </row>
    <row r="739" spans="1:26">
      <c r="A739" s="238"/>
      <c r="B739" s="237"/>
      <c r="D739" s="237"/>
      <c r="E739" s="237"/>
      <c r="F739" s="237"/>
      <c r="G739" s="237"/>
      <c r="H739" s="237"/>
      <c r="I739" s="237"/>
      <c r="J739" s="237"/>
      <c r="K739" s="237"/>
      <c r="L739" s="237"/>
      <c r="M739" s="237"/>
      <c r="N739" s="237"/>
      <c r="O739" s="237"/>
      <c r="P739" s="237"/>
      <c r="Q739" s="237"/>
      <c r="R739" s="237"/>
      <c r="S739" s="237"/>
      <c r="T739" s="237"/>
      <c r="U739" s="237"/>
      <c r="V739" s="237"/>
      <c r="W739" s="237"/>
      <c r="X739" s="237"/>
      <c r="Y739" s="237"/>
      <c r="Z739" s="237"/>
    </row>
    <row r="740" spans="1:26">
      <c r="A740" s="238"/>
      <c r="B740" s="237"/>
      <c r="D740" s="237"/>
      <c r="E740" s="237"/>
      <c r="F740" s="237"/>
      <c r="G740" s="237"/>
      <c r="H740" s="237"/>
      <c r="I740" s="237"/>
      <c r="J740" s="237"/>
      <c r="K740" s="237"/>
      <c r="L740" s="237"/>
      <c r="M740" s="237"/>
      <c r="N740" s="237"/>
      <c r="O740" s="237"/>
      <c r="P740" s="237"/>
      <c r="Q740" s="237"/>
      <c r="R740" s="237"/>
      <c r="S740" s="237"/>
      <c r="T740" s="237"/>
      <c r="U740" s="237"/>
      <c r="V740" s="237"/>
      <c r="W740" s="237"/>
      <c r="X740" s="237"/>
      <c r="Y740" s="237"/>
      <c r="Z740" s="237"/>
    </row>
    <row r="741" spans="1:26">
      <c r="A741" s="238"/>
      <c r="B741" s="237"/>
      <c r="D741" s="237"/>
      <c r="E741" s="237"/>
      <c r="F741" s="237"/>
      <c r="G741" s="237"/>
      <c r="H741" s="237"/>
      <c r="I741" s="237"/>
      <c r="J741" s="237"/>
      <c r="K741" s="237"/>
      <c r="L741" s="237"/>
      <c r="M741" s="237"/>
      <c r="N741" s="237"/>
      <c r="O741" s="237"/>
      <c r="P741" s="237"/>
      <c r="Q741" s="237"/>
      <c r="R741" s="237"/>
      <c r="S741" s="237"/>
      <c r="T741" s="237"/>
      <c r="U741" s="237"/>
      <c r="V741" s="237"/>
      <c r="W741" s="237"/>
      <c r="X741" s="237"/>
      <c r="Y741" s="237"/>
      <c r="Z741" s="237"/>
    </row>
    <row r="742" spans="1:26">
      <c r="A742" s="238"/>
      <c r="B742" s="237"/>
      <c r="D742" s="237"/>
      <c r="E742" s="237"/>
      <c r="F742" s="237"/>
      <c r="G742" s="237"/>
      <c r="H742" s="237"/>
      <c r="I742" s="237"/>
      <c r="J742" s="237"/>
      <c r="K742" s="237"/>
      <c r="L742" s="237"/>
      <c r="M742" s="237"/>
      <c r="N742" s="237"/>
      <c r="O742" s="237"/>
      <c r="P742" s="237"/>
      <c r="Q742" s="237"/>
      <c r="R742" s="237"/>
      <c r="S742" s="237"/>
      <c r="T742" s="237"/>
      <c r="U742" s="237"/>
      <c r="V742" s="237"/>
      <c r="W742" s="237"/>
      <c r="X742" s="237"/>
      <c r="Y742" s="237"/>
      <c r="Z742" s="237"/>
    </row>
    <row r="743" spans="1:26">
      <c r="A743" s="238"/>
      <c r="B743" s="237"/>
      <c r="D743" s="237"/>
      <c r="E743" s="237"/>
      <c r="F743" s="237"/>
      <c r="G743" s="237"/>
      <c r="H743" s="237"/>
      <c r="I743" s="237"/>
      <c r="J743" s="237"/>
      <c r="K743" s="237"/>
      <c r="L743" s="237"/>
      <c r="M743" s="237"/>
      <c r="N743" s="237"/>
      <c r="O743" s="237"/>
      <c r="P743" s="237"/>
      <c r="Q743" s="237"/>
      <c r="R743" s="237"/>
      <c r="S743" s="237"/>
      <c r="T743" s="237"/>
      <c r="U743" s="237"/>
      <c r="V743" s="237"/>
      <c r="W743" s="237"/>
      <c r="X743" s="237"/>
      <c r="Y743" s="237"/>
      <c r="Z743" s="237"/>
    </row>
    <row r="744" spans="1:26">
      <c r="A744" s="238"/>
      <c r="B744" s="237"/>
      <c r="D744" s="237"/>
      <c r="E744" s="237"/>
      <c r="F744" s="237"/>
      <c r="G744" s="237"/>
      <c r="H744" s="237"/>
      <c r="I744" s="237"/>
      <c r="J744" s="237"/>
      <c r="K744" s="237"/>
      <c r="L744" s="237"/>
      <c r="M744" s="237"/>
      <c r="N744" s="237"/>
      <c r="O744" s="237"/>
      <c r="P744" s="237"/>
      <c r="Q744" s="237"/>
      <c r="R744" s="237"/>
      <c r="S744" s="237"/>
      <c r="T744" s="237"/>
      <c r="U744" s="237"/>
      <c r="V744" s="237"/>
      <c r="W744" s="237"/>
      <c r="X744" s="237"/>
      <c r="Y744" s="237"/>
      <c r="Z744" s="237"/>
    </row>
    <row r="745" spans="1:26">
      <c r="A745" s="238"/>
      <c r="B745" s="237"/>
      <c r="D745" s="237"/>
      <c r="E745" s="237"/>
      <c r="F745" s="237"/>
      <c r="G745" s="237"/>
      <c r="H745" s="237"/>
      <c r="I745" s="237"/>
      <c r="J745" s="237"/>
      <c r="K745" s="237"/>
      <c r="L745" s="237"/>
      <c r="M745" s="237"/>
      <c r="N745" s="237"/>
      <c r="O745" s="237"/>
      <c r="P745" s="237"/>
      <c r="Q745" s="237"/>
      <c r="R745" s="237"/>
      <c r="S745" s="237"/>
      <c r="T745" s="237"/>
      <c r="U745" s="237"/>
      <c r="V745" s="237"/>
      <c r="W745" s="237"/>
      <c r="X745" s="237"/>
      <c r="Y745" s="237"/>
      <c r="Z745" s="237"/>
    </row>
    <row r="746" spans="1:26">
      <c r="A746" s="238"/>
      <c r="B746" s="237"/>
      <c r="D746" s="237"/>
      <c r="E746" s="237"/>
      <c r="F746" s="237"/>
      <c r="G746" s="237"/>
      <c r="H746" s="237"/>
      <c r="I746" s="237"/>
      <c r="J746" s="237"/>
      <c r="K746" s="237"/>
      <c r="L746" s="237"/>
      <c r="M746" s="237"/>
      <c r="N746" s="237"/>
      <c r="O746" s="237"/>
      <c r="P746" s="237"/>
      <c r="Q746" s="237"/>
      <c r="R746" s="237"/>
      <c r="S746" s="237"/>
      <c r="T746" s="237"/>
      <c r="U746" s="237"/>
      <c r="V746" s="237"/>
      <c r="W746" s="237"/>
      <c r="X746" s="237"/>
      <c r="Y746" s="237"/>
      <c r="Z746" s="237"/>
    </row>
    <row r="747" spans="1:26">
      <c r="A747" s="238"/>
      <c r="B747" s="237"/>
      <c r="D747" s="237"/>
      <c r="E747" s="237"/>
      <c r="F747" s="237"/>
      <c r="G747" s="237"/>
      <c r="H747" s="237"/>
      <c r="I747" s="237"/>
      <c r="J747" s="237"/>
      <c r="K747" s="237"/>
      <c r="L747" s="237"/>
      <c r="M747" s="237"/>
      <c r="N747" s="237"/>
      <c r="O747" s="237"/>
      <c r="P747" s="237"/>
      <c r="Q747" s="237"/>
      <c r="R747" s="237"/>
      <c r="S747" s="237"/>
      <c r="T747" s="237"/>
      <c r="U747" s="237"/>
      <c r="V747" s="237"/>
      <c r="W747" s="237"/>
      <c r="X747" s="237"/>
      <c r="Y747" s="237"/>
      <c r="Z747" s="237"/>
    </row>
    <row r="748" spans="1:26">
      <c r="A748" s="238"/>
      <c r="B748" s="237"/>
      <c r="D748" s="237"/>
      <c r="E748" s="237"/>
      <c r="F748" s="237"/>
      <c r="G748" s="237"/>
      <c r="H748" s="237"/>
      <c r="I748" s="237"/>
      <c r="J748" s="237"/>
      <c r="K748" s="237"/>
      <c r="L748" s="237"/>
      <c r="M748" s="237"/>
      <c r="N748" s="237"/>
      <c r="O748" s="237"/>
      <c r="P748" s="237"/>
      <c r="Q748" s="237"/>
      <c r="R748" s="237"/>
      <c r="S748" s="237"/>
      <c r="T748" s="237"/>
      <c r="U748" s="237"/>
      <c r="V748" s="237"/>
      <c r="W748" s="237"/>
      <c r="X748" s="237"/>
      <c r="Y748" s="237"/>
      <c r="Z748" s="237"/>
    </row>
    <row r="749" spans="1:26">
      <c r="A749" s="238"/>
      <c r="B749" s="237"/>
      <c r="D749" s="237"/>
      <c r="E749" s="237"/>
      <c r="F749" s="237"/>
      <c r="G749" s="237"/>
      <c r="H749" s="237"/>
      <c r="I749" s="237"/>
      <c r="J749" s="237"/>
      <c r="K749" s="237"/>
      <c r="L749" s="237"/>
      <c r="M749" s="237"/>
      <c r="N749" s="237"/>
      <c r="O749" s="237"/>
      <c r="P749" s="237"/>
      <c r="Q749" s="237"/>
      <c r="R749" s="237"/>
      <c r="S749" s="237"/>
      <c r="T749" s="237"/>
      <c r="U749" s="237"/>
      <c r="V749" s="237"/>
      <c r="W749" s="237"/>
      <c r="X749" s="237"/>
      <c r="Y749" s="237"/>
      <c r="Z749" s="237"/>
    </row>
    <row r="750" spans="1:26">
      <c r="A750" s="238"/>
      <c r="B750" s="237"/>
      <c r="D750" s="237"/>
      <c r="E750" s="237"/>
      <c r="F750" s="237"/>
      <c r="G750" s="237"/>
      <c r="H750" s="237"/>
      <c r="I750" s="237"/>
      <c r="J750" s="237"/>
      <c r="K750" s="237"/>
      <c r="L750" s="237"/>
      <c r="M750" s="237"/>
      <c r="N750" s="237"/>
      <c r="O750" s="237"/>
      <c r="P750" s="237"/>
      <c r="Q750" s="237"/>
      <c r="R750" s="237"/>
      <c r="S750" s="237"/>
      <c r="T750" s="237"/>
      <c r="U750" s="237"/>
      <c r="V750" s="237"/>
      <c r="W750" s="237"/>
      <c r="X750" s="237"/>
      <c r="Y750" s="237"/>
      <c r="Z750" s="237"/>
    </row>
    <row r="751" spans="1:26">
      <c r="A751" s="238"/>
      <c r="B751" s="237"/>
      <c r="D751" s="237"/>
      <c r="E751" s="237"/>
      <c r="F751" s="237"/>
      <c r="G751" s="237"/>
      <c r="H751" s="237"/>
      <c r="I751" s="237"/>
      <c r="J751" s="237"/>
      <c r="K751" s="237"/>
      <c r="L751" s="237"/>
      <c r="M751" s="237"/>
      <c r="N751" s="237"/>
      <c r="O751" s="237"/>
      <c r="P751" s="237"/>
      <c r="Q751" s="237"/>
      <c r="R751" s="237"/>
      <c r="S751" s="237"/>
      <c r="T751" s="237"/>
      <c r="U751" s="237"/>
      <c r="V751" s="237"/>
      <c r="W751" s="237"/>
      <c r="X751" s="237"/>
      <c r="Y751" s="237"/>
      <c r="Z751" s="237"/>
    </row>
    <row r="752" spans="1:26">
      <c r="A752" s="238"/>
      <c r="B752" s="237"/>
      <c r="D752" s="237"/>
      <c r="E752" s="237"/>
      <c r="F752" s="237"/>
      <c r="G752" s="237"/>
      <c r="H752" s="237"/>
      <c r="I752" s="237"/>
      <c r="J752" s="237"/>
      <c r="K752" s="237"/>
      <c r="L752" s="237"/>
      <c r="M752" s="237"/>
      <c r="N752" s="237"/>
      <c r="O752" s="237"/>
      <c r="P752" s="237"/>
      <c r="Q752" s="237"/>
      <c r="R752" s="237"/>
      <c r="S752" s="237"/>
      <c r="T752" s="237"/>
      <c r="U752" s="237"/>
      <c r="V752" s="237"/>
      <c r="W752" s="237"/>
      <c r="X752" s="237"/>
      <c r="Y752" s="237"/>
      <c r="Z752" s="237"/>
    </row>
    <row r="753" spans="1:26">
      <c r="A753" s="238"/>
      <c r="B753" s="237"/>
      <c r="D753" s="237"/>
      <c r="E753" s="237"/>
      <c r="F753" s="237"/>
      <c r="G753" s="237"/>
      <c r="H753" s="237"/>
      <c r="I753" s="237"/>
      <c r="J753" s="237"/>
      <c r="K753" s="237"/>
      <c r="L753" s="237"/>
      <c r="M753" s="237"/>
      <c r="N753" s="237"/>
      <c r="O753" s="237"/>
      <c r="P753" s="237"/>
      <c r="Q753" s="237"/>
      <c r="R753" s="237"/>
      <c r="S753" s="237"/>
      <c r="T753" s="237"/>
      <c r="U753" s="237"/>
      <c r="V753" s="237"/>
      <c r="W753" s="237"/>
      <c r="X753" s="237"/>
      <c r="Y753" s="237"/>
      <c r="Z753" s="237"/>
    </row>
    <row r="754" spans="1:26">
      <c r="A754" s="238"/>
      <c r="B754" s="237"/>
      <c r="D754" s="237"/>
      <c r="E754" s="237"/>
      <c r="F754" s="237"/>
      <c r="G754" s="237"/>
      <c r="H754" s="237"/>
      <c r="I754" s="237"/>
      <c r="J754" s="237"/>
      <c r="K754" s="237"/>
      <c r="L754" s="237"/>
      <c r="M754" s="237"/>
      <c r="N754" s="237"/>
      <c r="O754" s="237"/>
      <c r="P754" s="237"/>
      <c r="Q754" s="237"/>
      <c r="R754" s="237"/>
      <c r="S754" s="237"/>
      <c r="T754" s="237"/>
      <c r="U754" s="237"/>
      <c r="V754" s="237"/>
      <c r="W754" s="237"/>
      <c r="X754" s="237"/>
      <c r="Y754" s="237"/>
      <c r="Z754" s="237"/>
    </row>
    <row r="755" spans="1:26">
      <c r="A755" s="238"/>
      <c r="B755" s="237"/>
      <c r="D755" s="237"/>
      <c r="E755" s="237"/>
      <c r="F755" s="237"/>
      <c r="G755" s="237"/>
      <c r="H755" s="237"/>
      <c r="I755" s="237"/>
      <c r="J755" s="237"/>
      <c r="K755" s="237"/>
      <c r="L755" s="237"/>
      <c r="M755" s="237"/>
      <c r="N755" s="237"/>
      <c r="O755" s="237"/>
      <c r="P755" s="237"/>
      <c r="Q755" s="237"/>
      <c r="R755" s="237"/>
      <c r="S755" s="237"/>
      <c r="T755" s="237"/>
      <c r="U755" s="237"/>
      <c r="V755" s="237"/>
      <c r="W755" s="237"/>
      <c r="X755" s="237"/>
      <c r="Y755" s="237"/>
      <c r="Z755" s="237"/>
    </row>
    <row r="756" spans="1:26">
      <c r="A756" s="238"/>
      <c r="B756" s="237"/>
      <c r="D756" s="237"/>
      <c r="E756" s="237"/>
      <c r="F756" s="237"/>
      <c r="G756" s="237"/>
      <c r="H756" s="237"/>
      <c r="I756" s="237"/>
      <c r="J756" s="237"/>
      <c r="K756" s="237"/>
      <c r="L756" s="237"/>
      <c r="M756" s="237"/>
      <c r="N756" s="237"/>
      <c r="O756" s="237"/>
      <c r="P756" s="237"/>
      <c r="Q756" s="237"/>
      <c r="R756" s="237"/>
      <c r="S756" s="237"/>
      <c r="T756" s="237"/>
      <c r="U756" s="237"/>
      <c r="V756" s="237"/>
      <c r="W756" s="237"/>
      <c r="X756" s="237"/>
      <c r="Y756" s="237"/>
      <c r="Z756" s="237"/>
    </row>
    <row r="757" spans="1:26">
      <c r="A757" s="238"/>
      <c r="B757" s="237"/>
      <c r="D757" s="237"/>
      <c r="E757" s="237"/>
      <c r="F757" s="237"/>
      <c r="G757" s="237"/>
      <c r="H757" s="237"/>
      <c r="I757" s="237"/>
      <c r="J757" s="237"/>
      <c r="K757" s="237"/>
      <c r="L757" s="237"/>
      <c r="M757" s="237"/>
      <c r="N757" s="237"/>
      <c r="O757" s="237"/>
      <c r="P757" s="237"/>
      <c r="Q757" s="237"/>
      <c r="R757" s="237"/>
      <c r="S757" s="237"/>
      <c r="T757" s="237"/>
      <c r="U757" s="237"/>
      <c r="V757" s="237"/>
      <c r="W757" s="237"/>
      <c r="X757" s="237"/>
      <c r="Y757" s="237"/>
      <c r="Z757" s="237"/>
    </row>
    <row r="758" spans="1:26">
      <c r="A758" s="238"/>
      <c r="B758" s="237"/>
      <c r="D758" s="237"/>
      <c r="E758" s="237"/>
      <c r="F758" s="237"/>
      <c r="G758" s="237"/>
      <c r="H758" s="237"/>
      <c r="I758" s="237"/>
      <c r="J758" s="237"/>
      <c r="K758" s="237"/>
      <c r="L758" s="237"/>
      <c r="M758" s="237"/>
      <c r="N758" s="237"/>
      <c r="O758" s="237"/>
      <c r="P758" s="237"/>
      <c r="Q758" s="237"/>
      <c r="R758" s="237"/>
      <c r="S758" s="237"/>
      <c r="T758" s="237"/>
      <c r="U758" s="237"/>
      <c r="V758" s="237"/>
      <c r="W758" s="237"/>
      <c r="X758" s="237"/>
      <c r="Y758" s="237"/>
      <c r="Z758" s="237"/>
    </row>
    <row r="759" spans="1:26">
      <c r="A759" s="238"/>
      <c r="B759" s="237"/>
      <c r="D759" s="237"/>
      <c r="E759" s="237"/>
      <c r="F759" s="237"/>
      <c r="G759" s="237"/>
      <c r="H759" s="237"/>
      <c r="I759" s="237"/>
      <c r="J759" s="237"/>
      <c r="K759" s="237"/>
      <c r="L759" s="237"/>
      <c r="M759" s="237"/>
      <c r="N759" s="237"/>
      <c r="O759" s="237"/>
      <c r="P759" s="237"/>
      <c r="Q759" s="237"/>
      <c r="R759" s="237"/>
      <c r="S759" s="237"/>
      <c r="T759" s="237"/>
      <c r="U759" s="237"/>
      <c r="V759" s="237"/>
      <c r="W759" s="237"/>
      <c r="X759" s="237"/>
      <c r="Y759" s="237"/>
      <c r="Z759" s="237"/>
    </row>
    <row r="760" spans="1:26">
      <c r="A760" s="238"/>
      <c r="B760" s="237"/>
      <c r="D760" s="237"/>
      <c r="E760" s="237"/>
      <c r="F760" s="237"/>
      <c r="G760" s="237"/>
      <c r="H760" s="237"/>
      <c r="I760" s="237"/>
      <c r="J760" s="237"/>
      <c r="K760" s="237"/>
      <c r="L760" s="237"/>
      <c r="M760" s="237"/>
      <c r="N760" s="237"/>
      <c r="O760" s="237"/>
      <c r="P760" s="237"/>
      <c r="Q760" s="237"/>
      <c r="R760" s="237"/>
      <c r="S760" s="237"/>
      <c r="T760" s="237"/>
      <c r="U760" s="237"/>
      <c r="V760" s="237"/>
      <c r="W760" s="237"/>
      <c r="X760" s="237"/>
      <c r="Y760" s="237"/>
      <c r="Z760" s="237"/>
    </row>
    <row r="761" spans="1:26">
      <c r="A761" s="238"/>
      <c r="B761" s="237"/>
      <c r="D761" s="237"/>
      <c r="E761" s="237"/>
      <c r="F761" s="237"/>
      <c r="G761" s="237"/>
      <c r="H761" s="237"/>
      <c r="I761" s="237"/>
      <c r="J761" s="237"/>
      <c r="K761" s="237"/>
      <c r="L761" s="237"/>
      <c r="M761" s="237"/>
      <c r="N761" s="237"/>
      <c r="O761" s="237"/>
      <c r="P761" s="237"/>
      <c r="Q761" s="237"/>
      <c r="R761" s="237"/>
      <c r="S761" s="237"/>
      <c r="T761" s="237"/>
      <c r="U761" s="237"/>
      <c r="V761" s="237"/>
      <c r="W761" s="237"/>
      <c r="X761" s="237"/>
      <c r="Y761" s="237"/>
      <c r="Z761" s="237"/>
    </row>
    <row r="762" spans="1:26">
      <c r="A762" s="238"/>
      <c r="B762" s="237"/>
      <c r="D762" s="237"/>
      <c r="E762" s="237"/>
      <c r="F762" s="237"/>
      <c r="G762" s="237"/>
      <c r="H762" s="237"/>
      <c r="I762" s="237"/>
      <c r="J762" s="237"/>
      <c r="K762" s="237"/>
      <c r="L762" s="237"/>
      <c r="M762" s="237"/>
      <c r="N762" s="237"/>
      <c r="O762" s="237"/>
      <c r="P762" s="237"/>
      <c r="Q762" s="237"/>
      <c r="R762" s="237"/>
      <c r="S762" s="237"/>
      <c r="T762" s="237"/>
      <c r="U762" s="237"/>
      <c r="V762" s="237"/>
      <c r="W762" s="237"/>
      <c r="X762" s="237"/>
      <c r="Y762" s="237"/>
      <c r="Z762" s="237"/>
    </row>
    <row r="763" spans="1:26">
      <c r="A763" s="238"/>
      <c r="B763" s="237"/>
      <c r="D763" s="237"/>
      <c r="E763" s="237"/>
      <c r="F763" s="237"/>
      <c r="G763" s="237"/>
      <c r="H763" s="237"/>
      <c r="I763" s="237"/>
      <c r="J763" s="237"/>
      <c r="K763" s="237"/>
      <c r="L763" s="237"/>
      <c r="M763" s="237"/>
      <c r="N763" s="237"/>
      <c r="O763" s="237"/>
      <c r="P763" s="237"/>
      <c r="Q763" s="237"/>
      <c r="R763" s="237"/>
      <c r="S763" s="237"/>
      <c r="T763" s="237"/>
      <c r="U763" s="237"/>
      <c r="V763" s="237"/>
      <c r="W763" s="237"/>
      <c r="X763" s="237"/>
      <c r="Y763" s="237"/>
      <c r="Z763" s="237"/>
    </row>
    <row r="764" spans="1:26">
      <c r="A764" s="238"/>
      <c r="B764" s="237"/>
      <c r="D764" s="237"/>
      <c r="E764" s="237"/>
      <c r="F764" s="237"/>
      <c r="G764" s="237"/>
      <c r="H764" s="237"/>
      <c r="I764" s="237"/>
      <c r="J764" s="237"/>
      <c r="K764" s="237"/>
      <c r="L764" s="237"/>
      <c r="M764" s="237"/>
      <c r="N764" s="237"/>
      <c r="O764" s="237"/>
      <c r="P764" s="237"/>
      <c r="Q764" s="237"/>
      <c r="R764" s="237"/>
      <c r="S764" s="237"/>
      <c r="T764" s="237"/>
      <c r="U764" s="237"/>
      <c r="V764" s="237"/>
      <c r="W764" s="237"/>
      <c r="X764" s="237"/>
      <c r="Y764" s="237"/>
      <c r="Z764" s="237"/>
    </row>
    <row r="765" spans="1:26">
      <c r="A765" s="238"/>
      <c r="B765" s="237"/>
      <c r="D765" s="237"/>
      <c r="E765" s="237"/>
      <c r="F765" s="237"/>
      <c r="G765" s="237"/>
      <c r="H765" s="237"/>
      <c r="I765" s="237"/>
      <c r="J765" s="237"/>
      <c r="K765" s="237"/>
      <c r="L765" s="237"/>
      <c r="M765" s="237"/>
      <c r="N765" s="237"/>
      <c r="O765" s="237"/>
      <c r="P765" s="237"/>
      <c r="Q765" s="237"/>
      <c r="R765" s="237"/>
      <c r="S765" s="237"/>
      <c r="T765" s="237"/>
      <c r="U765" s="237"/>
      <c r="V765" s="237"/>
      <c r="W765" s="237"/>
      <c r="X765" s="237"/>
      <c r="Y765" s="237"/>
      <c r="Z765" s="237"/>
    </row>
    <row r="766" spans="1:26">
      <c r="A766" s="238"/>
      <c r="B766" s="237"/>
      <c r="D766" s="237"/>
      <c r="E766" s="237"/>
      <c r="F766" s="237"/>
      <c r="G766" s="237"/>
      <c r="H766" s="237"/>
      <c r="I766" s="237"/>
      <c r="J766" s="237"/>
      <c r="K766" s="237"/>
      <c r="L766" s="237"/>
      <c r="M766" s="237"/>
      <c r="N766" s="237"/>
      <c r="O766" s="237"/>
      <c r="P766" s="237"/>
      <c r="Q766" s="237"/>
      <c r="R766" s="237"/>
      <c r="S766" s="237"/>
      <c r="T766" s="237"/>
      <c r="U766" s="237"/>
      <c r="V766" s="237"/>
      <c r="W766" s="237"/>
      <c r="X766" s="237"/>
      <c r="Y766" s="237"/>
      <c r="Z766" s="237"/>
    </row>
    <row r="767" spans="1:26">
      <c r="A767" s="238"/>
      <c r="B767" s="237"/>
      <c r="D767" s="237"/>
      <c r="E767" s="237"/>
      <c r="F767" s="237"/>
      <c r="G767" s="237"/>
      <c r="H767" s="237"/>
      <c r="I767" s="237"/>
      <c r="J767" s="237"/>
      <c r="K767" s="237"/>
      <c r="L767" s="237"/>
      <c r="M767" s="237"/>
      <c r="N767" s="237"/>
      <c r="O767" s="237"/>
      <c r="P767" s="237"/>
      <c r="Q767" s="237"/>
      <c r="R767" s="237"/>
      <c r="S767" s="237"/>
      <c r="T767" s="237"/>
      <c r="U767" s="237"/>
      <c r="V767" s="237"/>
      <c r="W767" s="237"/>
      <c r="X767" s="237"/>
      <c r="Y767" s="237"/>
      <c r="Z767" s="237"/>
    </row>
    <row r="768" spans="1:26">
      <c r="A768" s="238"/>
      <c r="B768" s="237"/>
      <c r="D768" s="237"/>
      <c r="E768" s="237"/>
      <c r="F768" s="237"/>
      <c r="G768" s="237"/>
      <c r="H768" s="237"/>
      <c r="I768" s="237"/>
      <c r="J768" s="237"/>
      <c r="K768" s="237"/>
      <c r="L768" s="237"/>
      <c r="M768" s="237"/>
      <c r="N768" s="237"/>
      <c r="O768" s="237"/>
      <c r="P768" s="237"/>
      <c r="Q768" s="237"/>
      <c r="R768" s="237"/>
      <c r="S768" s="237"/>
      <c r="T768" s="237"/>
      <c r="U768" s="237"/>
      <c r="V768" s="237"/>
      <c r="W768" s="237"/>
      <c r="X768" s="237"/>
      <c r="Y768" s="237"/>
      <c r="Z768" s="237"/>
    </row>
    <row r="769" spans="1:26">
      <c r="A769" s="238"/>
      <c r="B769" s="237"/>
      <c r="D769" s="237"/>
      <c r="E769" s="237"/>
      <c r="F769" s="237"/>
      <c r="G769" s="237"/>
      <c r="H769" s="237"/>
      <c r="I769" s="237"/>
      <c r="J769" s="237"/>
      <c r="K769" s="237"/>
      <c r="L769" s="237"/>
      <c r="M769" s="237"/>
      <c r="N769" s="237"/>
      <c r="O769" s="237"/>
      <c r="P769" s="237"/>
      <c r="Q769" s="237"/>
      <c r="R769" s="237"/>
      <c r="S769" s="237"/>
      <c r="T769" s="237"/>
      <c r="U769" s="237"/>
      <c r="V769" s="237"/>
      <c r="W769" s="237"/>
      <c r="X769" s="237"/>
      <c r="Y769" s="237"/>
      <c r="Z769" s="237"/>
    </row>
    <row r="770" spans="1:26">
      <c r="A770" s="238"/>
      <c r="B770" s="237"/>
      <c r="D770" s="237"/>
      <c r="E770" s="237"/>
      <c r="F770" s="237"/>
      <c r="G770" s="237"/>
      <c r="H770" s="237"/>
      <c r="I770" s="237"/>
      <c r="J770" s="237"/>
      <c r="K770" s="237"/>
      <c r="L770" s="237"/>
      <c r="M770" s="237"/>
      <c r="N770" s="237"/>
      <c r="O770" s="237"/>
      <c r="P770" s="237"/>
      <c r="Q770" s="237"/>
      <c r="R770" s="237"/>
      <c r="S770" s="237"/>
      <c r="T770" s="237"/>
      <c r="U770" s="237"/>
      <c r="V770" s="237"/>
      <c r="W770" s="237"/>
      <c r="X770" s="237"/>
      <c r="Y770" s="237"/>
      <c r="Z770" s="237"/>
    </row>
    <row r="771" spans="1:26">
      <c r="A771" s="238"/>
      <c r="B771" s="237"/>
      <c r="D771" s="237"/>
      <c r="E771" s="237"/>
      <c r="F771" s="237"/>
      <c r="G771" s="237"/>
      <c r="H771" s="237"/>
      <c r="I771" s="237"/>
      <c r="J771" s="237"/>
      <c r="K771" s="237"/>
      <c r="L771" s="237"/>
      <c r="M771" s="237"/>
      <c r="N771" s="237"/>
      <c r="O771" s="237"/>
      <c r="P771" s="237"/>
      <c r="Q771" s="237"/>
      <c r="R771" s="237"/>
      <c r="S771" s="237"/>
      <c r="T771" s="237"/>
      <c r="U771" s="237"/>
      <c r="V771" s="237"/>
      <c r="W771" s="237"/>
      <c r="X771" s="237"/>
      <c r="Y771" s="237"/>
      <c r="Z771" s="237"/>
    </row>
    <row r="772" spans="1:26">
      <c r="A772" s="238"/>
      <c r="B772" s="237"/>
      <c r="D772" s="237"/>
      <c r="E772" s="237"/>
      <c r="F772" s="237"/>
      <c r="G772" s="237"/>
      <c r="H772" s="237"/>
      <c r="I772" s="237"/>
      <c r="J772" s="237"/>
      <c r="K772" s="237"/>
      <c r="L772" s="237"/>
      <c r="M772" s="237"/>
      <c r="N772" s="237"/>
      <c r="O772" s="237"/>
      <c r="P772" s="237"/>
      <c r="Q772" s="237"/>
      <c r="R772" s="237"/>
      <c r="S772" s="237"/>
      <c r="T772" s="237"/>
      <c r="U772" s="237"/>
      <c r="V772" s="237"/>
      <c r="W772" s="237"/>
      <c r="X772" s="237"/>
      <c r="Y772" s="237"/>
      <c r="Z772" s="237"/>
    </row>
    <row r="773" spans="1:26">
      <c r="A773" s="238"/>
      <c r="B773" s="237"/>
      <c r="D773" s="237"/>
      <c r="E773" s="237"/>
      <c r="F773" s="237"/>
      <c r="G773" s="237"/>
      <c r="H773" s="237"/>
      <c r="I773" s="237"/>
      <c r="J773" s="237"/>
      <c r="K773" s="237"/>
      <c r="L773" s="237"/>
      <c r="M773" s="237"/>
      <c r="N773" s="237"/>
      <c r="O773" s="237"/>
      <c r="P773" s="237"/>
      <c r="Q773" s="237"/>
      <c r="R773" s="237"/>
      <c r="S773" s="237"/>
      <c r="T773" s="237"/>
      <c r="U773" s="237"/>
      <c r="V773" s="237"/>
      <c r="W773" s="237"/>
      <c r="X773" s="237"/>
      <c r="Y773" s="237"/>
      <c r="Z773" s="237"/>
    </row>
    <row r="774" spans="1:26">
      <c r="A774" s="238"/>
      <c r="B774" s="237"/>
      <c r="D774" s="237"/>
      <c r="E774" s="237"/>
      <c r="F774" s="237"/>
      <c r="G774" s="237"/>
      <c r="H774" s="237"/>
      <c r="I774" s="237"/>
      <c r="J774" s="237"/>
      <c r="K774" s="237"/>
      <c r="L774" s="237"/>
      <c r="M774" s="237"/>
      <c r="N774" s="237"/>
      <c r="O774" s="237"/>
      <c r="P774" s="237"/>
      <c r="Q774" s="237"/>
      <c r="R774" s="237"/>
      <c r="S774" s="237"/>
      <c r="T774" s="237"/>
      <c r="U774" s="237"/>
      <c r="V774" s="237"/>
      <c r="W774" s="237"/>
      <c r="X774" s="237"/>
      <c r="Y774" s="237"/>
      <c r="Z774" s="237"/>
    </row>
    <row r="775" spans="1:26">
      <c r="A775" s="238"/>
      <c r="B775" s="237"/>
      <c r="D775" s="237"/>
      <c r="E775" s="237"/>
      <c r="F775" s="237"/>
      <c r="G775" s="237"/>
      <c r="H775" s="237"/>
      <c r="I775" s="237"/>
      <c r="J775" s="237"/>
      <c r="K775" s="237"/>
      <c r="L775" s="237"/>
      <c r="M775" s="237"/>
      <c r="N775" s="237"/>
      <c r="O775" s="237"/>
      <c r="P775" s="237"/>
      <c r="Q775" s="237"/>
      <c r="R775" s="237"/>
      <c r="S775" s="237"/>
      <c r="T775" s="237"/>
      <c r="U775" s="237"/>
      <c r="V775" s="237"/>
      <c r="W775" s="237"/>
      <c r="X775" s="237"/>
      <c r="Y775" s="237"/>
      <c r="Z775" s="237"/>
    </row>
    <row r="776" spans="1:26">
      <c r="A776" s="238"/>
      <c r="B776" s="237"/>
      <c r="D776" s="237"/>
      <c r="E776" s="237"/>
      <c r="F776" s="237"/>
      <c r="G776" s="237"/>
      <c r="H776" s="237"/>
      <c r="I776" s="237"/>
      <c r="J776" s="237"/>
      <c r="K776" s="237"/>
      <c r="L776" s="237"/>
      <c r="M776" s="237"/>
      <c r="N776" s="237"/>
      <c r="O776" s="237"/>
      <c r="P776" s="237"/>
      <c r="Q776" s="237"/>
      <c r="R776" s="237"/>
      <c r="S776" s="237"/>
      <c r="T776" s="237"/>
      <c r="U776" s="237"/>
      <c r="V776" s="237"/>
      <c r="W776" s="237"/>
      <c r="X776" s="237"/>
      <c r="Y776" s="237"/>
      <c r="Z776" s="237"/>
    </row>
    <row r="777" spans="1:26">
      <c r="A777" s="238"/>
      <c r="B777" s="237"/>
      <c r="D777" s="237"/>
      <c r="E777" s="237"/>
      <c r="F777" s="237"/>
      <c r="G777" s="237"/>
      <c r="H777" s="237"/>
      <c r="I777" s="237"/>
      <c r="J777" s="237"/>
      <c r="K777" s="237"/>
      <c r="L777" s="237"/>
      <c r="M777" s="237"/>
      <c r="N777" s="237"/>
      <c r="O777" s="237"/>
      <c r="P777" s="237"/>
      <c r="Q777" s="237"/>
      <c r="R777" s="237"/>
      <c r="S777" s="237"/>
      <c r="T777" s="237"/>
      <c r="U777" s="237"/>
      <c r="V777" s="237"/>
      <c r="W777" s="237"/>
      <c r="X777" s="237"/>
      <c r="Y777" s="237"/>
      <c r="Z777" s="237"/>
    </row>
    <row r="778" spans="1:26">
      <c r="A778" s="238"/>
      <c r="B778" s="237"/>
      <c r="D778" s="237"/>
      <c r="E778" s="237"/>
      <c r="F778" s="237"/>
      <c r="G778" s="237"/>
      <c r="H778" s="237"/>
      <c r="I778" s="237"/>
      <c r="J778" s="237"/>
      <c r="K778" s="237"/>
      <c r="L778" s="237"/>
      <c r="M778" s="237"/>
      <c r="N778" s="237"/>
      <c r="O778" s="237"/>
      <c r="P778" s="237"/>
      <c r="Q778" s="237"/>
      <c r="R778" s="237"/>
      <c r="S778" s="237"/>
      <c r="T778" s="237"/>
      <c r="U778" s="237"/>
      <c r="V778" s="237"/>
      <c r="W778" s="237"/>
      <c r="X778" s="237"/>
      <c r="Y778" s="237"/>
      <c r="Z778" s="237"/>
    </row>
    <row r="779" spans="1:26">
      <c r="A779" s="238"/>
      <c r="B779" s="237"/>
      <c r="D779" s="237"/>
      <c r="E779" s="237"/>
      <c r="F779" s="237"/>
      <c r="G779" s="237"/>
      <c r="H779" s="237"/>
      <c r="I779" s="237"/>
      <c r="J779" s="237"/>
      <c r="K779" s="237"/>
      <c r="L779" s="237"/>
      <c r="M779" s="237"/>
      <c r="N779" s="237"/>
      <c r="O779" s="237"/>
      <c r="P779" s="237"/>
      <c r="Q779" s="237"/>
      <c r="R779" s="237"/>
      <c r="S779" s="237"/>
      <c r="T779" s="237"/>
      <c r="U779" s="237"/>
      <c r="V779" s="237"/>
      <c r="W779" s="237"/>
      <c r="X779" s="237"/>
      <c r="Y779" s="237"/>
      <c r="Z779" s="237"/>
    </row>
    <row r="780" spans="1:26">
      <c r="A780" s="238"/>
      <c r="B780" s="237"/>
      <c r="D780" s="237"/>
      <c r="E780" s="237"/>
      <c r="F780" s="237"/>
      <c r="G780" s="237"/>
      <c r="H780" s="237"/>
      <c r="I780" s="237"/>
      <c r="J780" s="237"/>
      <c r="K780" s="237"/>
      <c r="L780" s="237"/>
      <c r="M780" s="237"/>
      <c r="N780" s="237"/>
      <c r="O780" s="237"/>
      <c r="P780" s="237"/>
      <c r="Q780" s="237"/>
      <c r="R780" s="237"/>
      <c r="S780" s="237"/>
      <c r="T780" s="237"/>
      <c r="U780" s="237"/>
      <c r="V780" s="237"/>
      <c r="W780" s="237"/>
      <c r="X780" s="237"/>
      <c r="Y780" s="237"/>
      <c r="Z780" s="237"/>
    </row>
    <row r="781" spans="1:26">
      <c r="A781" s="238"/>
      <c r="B781" s="237"/>
      <c r="D781" s="237"/>
      <c r="E781" s="237"/>
      <c r="F781" s="237"/>
      <c r="G781" s="237"/>
      <c r="H781" s="237"/>
      <c r="I781" s="237"/>
      <c r="J781" s="237"/>
      <c r="K781" s="237"/>
      <c r="L781" s="237"/>
      <c r="M781" s="237"/>
      <c r="N781" s="237"/>
      <c r="O781" s="237"/>
      <c r="P781" s="237"/>
      <c r="Q781" s="237"/>
      <c r="R781" s="237"/>
      <c r="S781" s="237"/>
      <c r="T781" s="237"/>
      <c r="U781" s="237"/>
      <c r="V781" s="237"/>
      <c r="W781" s="237"/>
      <c r="X781" s="237"/>
      <c r="Y781" s="237"/>
      <c r="Z781" s="237"/>
    </row>
    <row r="782" spans="1:26">
      <c r="A782" s="238"/>
      <c r="B782" s="237"/>
      <c r="D782" s="237"/>
      <c r="E782" s="237"/>
      <c r="F782" s="237"/>
      <c r="G782" s="237"/>
      <c r="H782" s="237"/>
      <c r="I782" s="237"/>
      <c r="J782" s="237"/>
      <c r="K782" s="237"/>
      <c r="L782" s="237"/>
      <c r="M782" s="237"/>
      <c r="N782" s="237"/>
      <c r="O782" s="237"/>
      <c r="P782" s="237"/>
      <c r="Q782" s="237"/>
      <c r="R782" s="237"/>
      <c r="S782" s="237"/>
      <c r="T782" s="237"/>
      <c r="U782" s="237"/>
      <c r="V782" s="237"/>
      <c r="W782" s="237"/>
      <c r="X782" s="237"/>
      <c r="Y782" s="237"/>
      <c r="Z782" s="237"/>
    </row>
    <row r="783" spans="1:26">
      <c r="A783" s="238"/>
      <c r="B783" s="237"/>
      <c r="D783" s="237"/>
      <c r="E783" s="237"/>
      <c r="F783" s="237"/>
      <c r="G783" s="237"/>
      <c r="H783" s="237"/>
      <c r="I783" s="237"/>
      <c r="J783" s="237"/>
      <c r="K783" s="237"/>
      <c r="L783" s="237"/>
      <c r="M783" s="237"/>
      <c r="N783" s="237"/>
      <c r="O783" s="237"/>
      <c r="P783" s="237"/>
      <c r="Q783" s="237"/>
      <c r="R783" s="237"/>
      <c r="S783" s="237"/>
      <c r="T783" s="237"/>
      <c r="U783" s="237"/>
      <c r="V783" s="237"/>
      <c r="W783" s="237"/>
      <c r="X783" s="237"/>
      <c r="Y783" s="237"/>
      <c r="Z783" s="237"/>
    </row>
    <row r="784" spans="1:26">
      <c r="A784" s="238"/>
      <c r="B784" s="237"/>
      <c r="D784" s="237"/>
      <c r="E784" s="237"/>
      <c r="F784" s="237"/>
      <c r="G784" s="237"/>
      <c r="H784" s="237"/>
      <c r="I784" s="237"/>
      <c r="J784" s="237"/>
      <c r="K784" s="237"/>
      <c r="L784" s="237"/>
      <c r="M784" s="237"/>
      <c r="N784" s="237"/>
      <c r="O784" s="237"/>
      <c r="P784" s="237"/>
      <c r="Q784" s="237"/>
      <c r="R784" s="237"/>
      <c r="S784" s="237"/>
      <c r="T784" s="237"/>
      <c r="U784" s="237"/>
      <c r="V784" s="237"/>
      <c r="W784" s="237"/>
      <c r="X784" s="237"/>
      <c r="Y784" s="237"/>
      <c r="Z784" s="237"/>
    </row>
    <row r="785" spans="1:26">
      <c r="A785" s="238"/>
      <c r="B785" s="237"/>
      <c r="D785" s="237"/>
      <c r="E785" s="237"/>
      <c r="F785" s="237"/>
      <c r="G785" s="237"/>
      <c r="H785" s="237"/>
      <c r="I785" s="237"/>
      <c r="J785" s="237"/>
      <c r="K785" s="237"/>
      <c r="L785" s="237"/>
      <c r="M785" s="237"/>
      <c r="N785" s="237"/>
      <c r="O785" s="237"/>
      <c r="P785" s="237"/>
      <c r="Q785" s="237"/>
      <c r="R785" s="237"/>
      <c r="S785" s="237"/>
      <c r="T785" s="237"/>
      <c r="U785" s="237"/>
      <c r="V785" s="237"/>
      <c r="W785" s="237"/>
      <c r="X785" s="237"/>
      <c r="Y785" s="237"/>
      <c r="Z785" s="237"/>
    </row>
    <row r="786" spans="1:26">
      <c r="A786" s="238"/>
      <c r="B786" s="237"/>
      <c r="D786" s="237"/>
      <c r="E786" s="237"/>
      <c r="F786" s="237"/>
      <c r="G786" s="237"/>
      <c r="H786" s="237"/>
      <c r="I786" s="237"/>
      <c r="J786" s="237"/>
      <c r="K786" s="237"/>
      <c r="L786" s="237"/>
      <c r="M786" s="237"/>
      <c r="N786" s="237"/>
      <c r="O786" s="237"/>
      <c r="P786" s="237"/>
      <c r="Q786" s="237"/>
      <c r="R786" s="237"/>
      <c r="S786" s="237"/>
      <c r="T786" s="237"/>
      <c r="U786" s="237"/>
      <c r="V786" s="237"/>
      <c r="W786" s="237"/>
      <c r="X786" s="237"/>
      <c r="Y786" s="237"/>
      <c r="Z786" s="237"/>
    </row>
    <row r="787" spans="1:26">
      <c r="A787" s="238"/>
      <c r="B787" s="237"/>
      <c r="D787" s="237"/>
      <c r="E787" s="237"/>
      <c r="F787" s="237"/>
      <c r="G787" s="237"/>
      <c r="H787" s="237"/>
      <c r="I787" s="237"/>
      <c r="J787" s="237"/>
      <c r="K787" s="237"/>
      <c r="L787" s="237"/>
      <c r="M787" s="237"/>
      <c r="N787" s="237"/>
      <c r="O787" s="237"/>
      <c r="P787" s="237"/>
      <c r="Q787" s="237"/>
      <c r="R787" s="237"/>
      <c r="S787" s="237"/>
      <c r="T787" s="237"/>
      <c r="U787" s="237"/>
      <c r="V787" s="237"/>
      <c r="W787" s="237"/>
      <c r="X787" s="237"/>
      <c r="Y787" s="237"/>
      <c r="Z787" s="237"/>
    </row>
    <row r="788" spans="1:26">
      <c r="A788" s="238"/>
      <c r="B788" s="237"/>
      <c r="D788" s="237"/>
      <c r="E788" s="237"/>
      <c r="F788" s="237"/>
      <c r="G788" s="237"/>
      <c r="H788" s="237"/>
      <c r="I788" s="237"/>
      <c r="J788" s="237"/>
      <c r="K788" s="237"/>
      <c r="L788" s="237"/>
      <c r="M788" s="237"/>
      <c r="N788" s="237"/>
      <c r="O788" s="237"/>
      <c r="P788" s="237"/>
      <c r="Q788" s="237"/>
      <c r="R788" s="237"/>
      <c r="S788" s="237"/>
      <c r="T788" s="237"/>
      <c r="U788" s="237"/>
      <c r="V788" s="237"/>
      <c r="W788" s="237"/>
      <c r="X788" s="237"/>
      <c r="Y788" s="237"/>
      <c r="Z788" s="237"/>
    </row>
    <row r="789" spans="1:26">
      <c r="A789" s="238"/>
      <c r="B789" s="237"/>
      <c r="D789" s="237"/>
      <c r="E789" s="237"/>
      <c r="F789" s="237"/>
      <c r="G789" s="237"/>
      <c r="H789" s="237"/>
      <c r="I789" s="237"/>
      <c r="J789" s="237"/>
      <c r="K789" s="237"/>
      <c r="L789" s="237"/>
      <c r="M789" s="237"/>
      <c r="N789" s="237"/>
      <c r="O789" s="237"/>
      <c r="P789" s="237"/>
      <c r="Q789" s="237"/>
      <c r="R789" s="237"/>
      <c r="S789" s="237"/>
      <c r="T789" s="237"/>
      <c r="U789" s="237"/>
      <c r="V789" s="237"/>
      <c r="W789" s="237"/>
      <c r="X789" s="237"/>
      <c r="Y789" s="237"/>
      <c r="Z789" s="237"/>
    </row>
    <row r="790" spans="1:26">
      <c r="A790" s="238"/>
      <c r="B790" s="237"/>
      <c r="D790" s="237"/>
      <c r="E790" s="237"/>
      <c r="F790" s="237"/>
      <c r="G790" s="237"/>
      <c r="H790" s="237"/>
      <c r="I790" s="237"/>
      <c r="J790" s="237"/>
      <c r="K790" s="237"/>
      <c r="L790" s="237"/>
      <c r="M790" s="237"/>
      <c r="N790" s="237"/>
      <c r="O790" s="237"/>
      <c r="P790" s="237"/>
      <c r="Q790" s="237"/>
      <c r="R790" s="237"/>
      <c r="S790" s="237"/>
      <c r="T790" s="237"/>
      <c r="U790" s="237"/>
      <c r="V790" s="237"/>
      <c r="W790" s="237"/>
      <c r="X790" s="237"/>
      <c r="Y790" s="237"/>
      <c r="Z790" s="237"/>
    </row>
    <row r="791" spans="1:26">
      <c r="A791" s="238"/>
      <c r="B791" s="237"/>
      <c r="D791" s="237"/>
      <c r="E791" s="237"/>
      <c r="F791" s="237"/>
      <c r="G791" s="237"/>
      <c r="H791" s="237"/>
      <c r="I791" s="237"/>
      <c r="J791" s="237"/>
      <c r="K791" s="237"/>
      <c r="L791" s="237"/>
      <c r="M791" s="237"/>
      <c r="N791" s="237"/>
      <c r="O791" s="237"/>
      <c r="P791" s="237"/>
      <c r="Q791" s="237"/>
      <c r="R791" s="237"/>
      <c r="S791" s="237"/>
      <c r="T791" s="237"/>
      <c r="U791" s="237"/>
      <c r="V791" s="237"/>
      <c r="W791" s="237"/>
      <c r="X791" s="237"/>
      <c r="Y791" s="237"/>
      <c r="Z791" s="237"/>
    </row>
    <row r="792" spans="1:26">
      <c r="A792" s="238"/>
      <c r="B792" s="237"/>
      <c r="D792" s="237"/>
      <c r="E792" s="237"/>
      <c r="F792" s="237"/>
      <c r="G792" s="237"/>
      <c r="H792" s="237"/>
      <c r="I792" s="237"/>
      <c r="J792" s="237"/>
      <c r="K792" s="237"/>
      <c r="L792" s="237"/>
      <c r="M792" s="237"/>
      <c r="N792" s="237"/>
      <c r="O792" s="237"/>
      <c r="P792" s="237"/>
      <c r="Q792" s="237"/>
      <c r="R792" s="237"/>
      <c r="S792" s="237"/>
      <c r="T792" s="237"/>
      <c r="U792" s="237"/>
      <c r="V792" s="237"/>
      <c r="W792" s="237"/>
      <c r="X792" s="237"/>
      <c r="Y792" s="237"/>
      <c r="Z792" s="237"/>
    </row>
    <row r="793" spans="1:26">
      <c r="A793" s="238"/>
      <c r="B793" s="237"/>
      <c r="D793" s="237"/>
      <c r="E793" s="237"/>
      <c r="F793" s="237"/>
      <c r="G793" s="237"/>
      <c r="H793" s="237"/>
      <c r="I793" s="237"/>
      <c r="J793" s="237"/>
      <c r="K793" s="237"/>
      <c r="L793" s="237"/>
      <c r="M793" s="237"/>
      <c r="N793" s="237"/>
      <c r="O793" s="237"/>
      <c r="P793" s="237"/>
      <c r="Q793" s="237"/>
      <c r="R793" s="237"/>
      <c r="S793" s="237"/>
      <c r="T793" s="237"/>
      <c r="U793" s="237"/>
      <c r="V793" s="237"/>
      <c r="W793" s="237"/>
      <c r="X793" s="237"/>
      <c r="Y793" s="237"/>
      <c r="Z793" s="237"/>
    </row>
    <row r="794" spans="1:26">
      <c r="A794" s="238"/>
      <c r="B794" s="237"/>
      <c r="D794" s="237"/>
      <c r="E794" s="237"/>
      <c r="F794" s="237"/>
      <c r="G794" s="237"/>
      <c r="H794" s="237"/>
      <c r="I794" s="237"/>
      <c r="J794" s="237"/>
      <c r="K794" s="237"/>
      <c r="L794" s="237"/>
      <c r="M794" s="237"/>
      <c r="N794" s="237"/>
      <c r="O794" s="237"/>
      <c r="P794" s="237"/>
      <c r="Q794" s="237"/>
      <c r="R794" s="237"/>
      <c r="S794" s="237"/>
      <c r="T794" s="237"/>
      <c r="U794" s="237"/>
      <c r="V794" s="237"/>
      <c r="W794" s="237"/>
      <c r="X794" s="237"/>
      <c r="Y794" s="237"/>
      <c r="Z794" s="237"/>
    </row>
    <row r="795" spans="1:26">
      <c r="A795" s="238"/>
      <c r="B795" s="237"/>
      <c r="D795" s="237"/>
      <c r="E795" s="237"/>
      <c r="F795" s="237"/>
      <c r="G795" s="237"/>
      <c r="H795" s="237"/>
      <c r="I795" s="237"/>
      <c r="J795" s="237"/>
      <c r="K795" s="237"/>
      <c r="L795" s="237"/>
      <c r="M795" s="237"/>
      <c r="N795" s="237"/>
      <c r="O795" s="237"/>
      <c r="P795" s="237"/>
      <c r="Q795" s="237"/>
      <c r="R795" s="237"/>
      <c r="S795" s="237"/>
      <c r="T795" s="237"/>
      <c r="U795" s="237"/>
      <c r="V795" s="237"/>
      <c r="W795" s="237"/>
      <c r="X795" s="237"/>
      <c r="Y795" s="237"/>
      <c r="Z795" s="237"/>
    </row>
    <row r="796" spans="1:26">
      <c r="A796" s="238"/>
      <c r="B796" s="237"/>
      <c r="D796" s="237"/>
      <c r="E796" s="237"/>
      <c r="F796" s="237"/>
      <c r="G796" s="237"/>
      <c r="H796" s="237"/>
      <c r="I796" s="237"/>
      <c r="J796" s="237"/>
      <c r="K796" s="237"/>
      <c r="L796" s="237"/>
      <c r="M796" s="237"/>
      <c r="N796" s="237"/>
      <c r="O796" s="237"/>
      <c r="P796" s="237"/>
      <c r="Q796" s="237"/>
      <c r="R796" s="237"/>
      <c r="S796" s="237"/>
      <c r="T796" s="237"/>
      <c r="U796" s="237"/>
      <c r="V796" s="237"/>
      <c r="W796" s="237"/>
      <c r="X796" s="237"/>
      <c r="Y796" s="237"/>
      <c r="Z796" s="237"/>
    </row>
    <row r="797" spans="1:26">
      <c r="A797" s="238"/>
      <c r="B797" s="237"/>
      <c r="D797" s="237"/>
      <c r="E797" s="237"/>
      <c r="F797" s="237"/>
      <c r="G797" s="237"/>
      <c r="H797" s="237"/>
      <c r="I797" s="237"/>
      <c r="J797" s="237"/>
      <c r="K797" s="237"/>
      <c r="L797" s="237"/>
      <c r="M797" s="237"/>
      <c r="N797" s="237"/>
      <c r="O797" s="237"/>
      <c r="P797" s="237"/>
      <c r="Q797" s="237"/>
      <c r="R797" s="237"/>
      <c r="S797" s="237"/>
      <c r="T797" s="237"/>
      <c r="U797" s="237"/>
      <c r="V797" s="237"/>
      <c r="W797" s="237"/>
      <c r="X797" s="237"/>
      <c r="Y797" s="237"/>
      <c r="Z797" s="237"/>
    </row>
    <row r="798" spans="1:26">
      <c r="A798" s="238"/>
      <c r="B798" s="237"/>
      <c r="D798" s="237"/>
      <c r="E798" s="237"/>
      <c r="F798" s="237"/>
      <c r="G798" s="237"/>
      <c r="H798" s="237"/>
      <c r="I798" s="237"/>
      <c r="J798" s="237"/>
      <c r="K798" s="237"/>
      <c r="L798" s="237"/>
      <c r="M798" s="237"/>
      <c r="N798" s="237"/>
      <c r="O798" s="237"/>
      <c r="P798" s="237"/>
      <c r="Q798" s="237"/>
      <c r="R798" s="237"/>
      <c r="S798" s="237"/>
      <c r="T798" s="237"/>
      <c r="U798" s="237"/>
      <c r="V798" s="237"/>
      <c r="W798" s="237"/>
      <c r="X798" s="237"/>
      <c r="Y798" s="237"/>
      <c r="Z798" s="237"/>
    </row>
    <row r="799" spans="1:26">
      <c r="A799" s="238"/>
      <c r="B799" s="237"/>
      <c r="D799" s="237"/>
      <c r="E799" s="237"/>
      <c r="F799" s="237"/>
      <c r="G799" s="237"/>
      <c r="H799" s="237"/>
      <c r="I799" s="237"/>
      <c r="J799" s="237"/>
      <c r="K799" s="237"/>
      <c r="L799" s="237"/>
      <c r="M799" s="237"/>
      <c r="N799" s="237"/>
      <c r="O799" s="237"/>
      <c r="P799" s="237"/>
      <c r="Q799" s="237"/>
      <c r="R799" s="237"/>
      <c r="S799" s="237"/>
      <c r="T799" s="237"/>
      <c r="U799" s="237"/>
      <c r="V799" s="237"/>
      <c r="W799" s="237"/>
      <c r="X799" s="237"/>
      <c r="Y799" s="237"/>
      <c r="Z799" s="237"/>
    </row>
    <row r="800" spans="1:26">
      <c r="A800" s="238"/>
      <c r="B800" s="237"/>
      <c r="D800" s="237"/>
      <c r="E800" s="237"/>
      <c r="F800" s="237"/>
      <c r="G800" s="237"/>
      <c r="H800" s="237"/>
      <c r="I800" s="237"/>
      <c r="J800" s="237"/>
      <c r="K800" s="237"/>
      <c r="L800" s="237"/>
      <c r="M800" s="237"/>
      <c r="N800" s="237"/>
      <c r="O800" s="237"/>
      <c r="P800" s="237"/>
      <c r="Q800" s="237"/>
      <c r="R800" s="237"/>
      <c r="S800" s="237"/>
      <c r="T800" s="237"/>
      <c r="U800" s="237"/>
      <c r="V800" s="237"/>
      <c r="W800" s="237"/>
      <c r="X800" s="237"/>
      <c r="Y800" s="237"/>
      <c r="Z800" s="237"/>
    </row>
    <row r="801" spans="1:26">
      <c r="A801" s="238"/>
      <c r="B801" s="237"/>
      <c r="D801" s="237"/>
      <c r="E801" s="237"/>
      <c r="F801" s="237"/>
      <c r="G801" s="237"/>
      <c r="H801" s="237"/>
      <c r="I801" s="237"/>
      <c r="J801" s="237"/>
      <c r="K801" s="237"/>
      <c r="L801" s="237"/>
      <c r="M801" s="237"/>
      <c r="N801" s="237"/>
      <c r="O801" s="237"/>
      <c r="P801" s="237"/>
      <c r="Q801" s="237"/>
      <c r="R801" s="237"/>
      <c r="S801" s="237"/>
      <c r="T801" s="237"/>
      <c r="U801" s="237"/>
      <c r="V801" s="237"/>
      <c r="W801" s="237"/>
      <c r="X801" s="237"/>
      <c r="Y801" s="237"/>
      <c r="Z801" s="237"/>
    </row>
    <row r="802" spans="1:26">
      <c r="A802" s="238"/>
      <c r="B802" s="237"/>
      <c r="D802" s="237"/>
      <c r="E802" s="237"/>
      <c r="F802" s="237"/>
      <c r="G802" s="237"/>
      <c r="H802" s="237"/>
      <c r="I802" s="237"/>
      <c r="J802" s="237"/>
      <c r="K802" s="237"/>
      <c r="L802" s="237"/>
      <c r="M802" s="237"/>
      <c r="N802" s="237"/>
      <c r="O802" s="237"/>
      <c r="P802" s="237"/>
      <c r="Q802" s="237"/>
      <c r="R802" s="237"/>
      <c r="S802" s="237"/>
      <c r="T802" s="237"/>
      <c r="U802" s="237"/>
      <c r="V802" s="237"/>
      <c r="W802" s="237"/>
      <c r="X802" s="237"/>
      <c r="Y802" s="237"/>
      <c r="Z802" s="237"/>
    </row>
    <row r="803" spans="1:26">
      <c r="A803" s="238"/>
      <c r="B803" s="237"/>
      <c r="D803" s="237"/>
      <c r="E803" s="237"/>
      <c r="F803" s="237"/>
      <c r="G803" s="237"/>
      <c r="H803" s="237"/>
      <c r="I803" s="237"/>
      <c r="J803" s="237"/>
      <c r="K803" s="237"/>
      <c r="L803" s="237"/>
      <c r="M803" s="237"/>
      <c r="N803" s="237"/>
      <c r="O803" s="237"/>
      <c r="P803" s="237"/>
      <c r="Q803" s="237"/>
      <c r="R803" s="237"/>
      <c r="S803" s="237"/>
      <c r="T803" s="237"/>
      <c r="U803" s="237"/>
      <c r="V803" s="237"/>
      <c r="W803" s="237"/>
      <c r="X803" s="237"/>
      <c r="Y803" s="237"/>
      <c r="Z803" s="237"/>
    </row>
    <row r="804" spans="1:26">
      <c r="A804" s="238"/>
      <c r="B804" s="237"/>
      <c r="D804" s="237"/>
      <c r="E804" s="237"/>
      <c r="F804" s="237"/>
      <c r="G804" s="237"/>
      <c r="H804" s="237"/>
      <c r="I804" s="237"/>
      <c r="J804" s="237"/>
      <c r="K804" s="237"/>
      <c r="L804" s="237"/>
      <c r="M804" s="237"/>
      <c r="N804" s="237"/>
      <c r="O804" s="237"/>
      <c r="P804" s="237"/>
      <c r="Q804" s="237"/>
      <c r="R804" s="237"/>
      <c r="S804" s="237"/>
      <c r="T804" s="237"/>
      <c r="U804" s="237"/>
      <c r="V804" s="237"/>
      <c r="W804" s="237"/>
      <c r="X804" s="237"/>
      <c r="Y804" s="237"/>
      <c r="Z804" s="237"/>
    </row>
    <row r="805" spans="1:26">
      <c r="A805" s="238"/>
      <c r="B805" s="237"/>
      <c r="D805" s="237"/>
      <c r="E805" s="237"/>
      <c r="F805" s="237"/>
      <c r="G805" s="237"/>
      <c r="H805" s="237"/>
      <c r="I805" s="237"/>
      <c r="J805" s="237"/>
      <c r="K805" s="237"/>
      <c r="L805" s="237"/>
      <c r="M805" s="237"/>
      <c r="N805" s="237"/>
      <c r="O805" s="237"/>
      <c r="P805" s="237"/>
      <c r="Q805" s="237"/>
      <c r="R805" s="237"/>
      <c r="S805" s="237"/>
      <c r="T805" s="237"/>
      <c r="U805" s="237"/>
      <c r="V805" s="237"/>
      <c r="W805" s="237"/>
      <c r="X805" s="237"/>
      <c r="Y805" s="237"/>
      <c r="Z805" s="237"/>
    </row>
    <row r="806" spans="1:26">
      <c r="A806" s="238"/>
      <c r="B806" s="237"/>
      <c r="D806" s="237"/>
      <c r="E806" s="237"/>
      <c r="F806" s="237"/>
      <c r="G806" s="237"/>
      <c r="H806" s="237"/>
      <c r="I806" s="237"/>
      <c r="J806" s="237"/>
      <c r="K806" s="237"/>
      <c r="L806" s="237"/>
      <c r="M806" s="237"/>
      <c r="N806" s="237"/>
      <c r="O806" s="237"/>
      <c r="P806" s="237"/>
      <c r="Q806" s="237"/>
      <c r="R806" s="237"/>
      <c r="S806" s="237"/>
      <c r="T806" s="237"/>
      <c r="U806" s="237"/>
      <c r="V806" s="237"/>
      <c r="W806" s="237"/>
      <c r="X806" s="237"/>
      <c r="Y806" s="237"/>
      <c r="Z806" s="237"/>
    </row>
    <row r="807" spans="1:26">
      <c r="A807" s="238"/>
      <c r="B807" s="237"/>
      <c r="D807" s="237"/>
      <c r="E807" s="237"/>
      <c r="F807" s="237"/>
      <c r="G807" s="237"/>
      <c r="H807" s="237"/>
      <c r="I807" s="237"/>
      <c r="J807" s="237"/>
      <c r="K807" s="237"/>
      <c r="L807" s="237"/>
      <c r="M807" s="237"/>
      <c r="N807" s="237"/>
      <c r="O807" s="237"/>
      <c r="P807" s="237"/>
      <c r="Q807" s="237"/>
      <c r="R807" s="237"/>
      <c r="S807" s="237"/>
      <c r="T807" s="237"/>
      <c r="U807" s="237"/>
      <c r="V807" s="237"/>
      <c r="W807" s="237"/>
      <c r="X807" s="237"/>
      <c r="Y807" s="237"/>
      <c r="Z807" s="237"/>
    </row>
    <row r="808" spans="1:26">
      <c r="A808" s="238"/>
      <c r="B808" s="237"/>
      <c r="D808" s="237"/>
      <c r="E808" s="237"/>
      <c r="F808" s="237"/>
      <c r="G808" s="237"/>
      <c r="H808" s="237"/>
      <c r="I808" s="237"/>
      <c r="J808" s="237"/>
      <c r="K808" s="237"/>
      <c r="L808" s="237"/>
      <c r="M808" s="237"/>
      <c r="N808" s="237"/>
      <c r="O808" s="237"/>
      <c r="P808" s="237"/>
      <c r="Q808" s="237"/>
      <c r="R808" s="237"/>
      <c r="S808" s="237"/>
      <c r="T808" s="237"/>
      <c r="U808" s="237"/>
      <c r="V808" s="237"/>
      <c r="W808" s="237"/>
      <c r="X808" s="237"/>
      <c r="Y808" s="237"/>
      <c r="Z808" s="237"/>
    </row>
    <row r="809" spans="1:26">
      <c r="A809" s="238"/>
      <c r="B809" s="237"/>
      <c r="D809" s="237"/>
      <c r="E809" s="237"/>
      <c r="F809" s="237"/>
      <c r="G809" s="237"/>
      <c r="H809" s="237"/>
      <c r="I809" s="237"/>
      <c r="J809" s="237"/>
      <c r="K809" s="237"/>
      <c r="L809" s="237"/>
      <c r="M809" s="237"/>
      <c r="N809" s="237"/>
      <c r="O809" s="237"/>
      <c r="P809" s="237"/>
      <c r="Q809" s="237"/>
      <c r="R809" s="237"/>
      <c r="S809" s="237"/>
      <c r="T809" s="237"/>
      <c r="U809" s="237"/>
      <c r="V809" s="237"/>
      <c r="W809" s="237"/>
      <c r="X809" s="237"/>
      <c r="Y809" s="237"/>
      <c r="Z809" s="237"/>
    </row>
    <row r="810" spans="1:26">
      <c r="A810" s="238"/>
      <c r="B810" s="237"/>
      <c r="D810" s="237"/>
      <c r="E810" s="237"/>
      <c r="F810" s="237"/>
      <c r="G810" s="237"/>
      <c r="H810" s="237"/>
      <c r="I810" s="237"/>
      <c r="J810" s="237"/>
      <c r="K810" s="237"/>
      <c r="L810" s="237"/>
      <c r="M810" s="237"/>
      <c r="N810" s="237"/>
      <c r="O810" s="237"/>
      <c r="P810" s="237"/>
      <c r="Q810" s="237"/>
      <c r="R810" s="237"/>
      <c r="S810" s="237"/>
      <c r="T810" s="237"/>
      <c r="U810" s="237"/>
      <c r="V810" s="237"/>
      <c r="W810" s="237"/>
      <c r="X810" s="237"/>
      <c r="Y810" s="237"/>
      <c r="Z810" s="237"/>
    </row>
    <row r="811" spans="1:26">
      <c r="A811" s="238"/>
      <c r="B811" s="237"/>
      <c r="D811" s="237"/>
      <c r="E811" s="237"/>
      <c r="F811" s="237"/>
      <c r="G811" s="237"/>
      <c r="H811" s="237"/>
      <c r="I811" s="237"/>
      <c r="J811" s="237"/>
      <c r="K811" s="237"/>
      <c r="L811" s="237"/>
      <c r="M811" s="237"/>
      <c r="N811" s="237"/>
      <c r="O811" s="237"/>
      <c r="P811" s="237"/>
      <c r="Q811" s="237"/>
      <c r="R811" s="237"/>
      <c r="S811" s="237"/>
      <c r="T811" s="237"/>
      <c r="U811" s="237"/>
      <c r="V811" s="237"/>
      <c r="W811" s="237"/>
      <c r="X811" s="237"/>
      <c r="Y811" s="237"/>
      <c r="Z811" s="237"/>
    </row>
    <row r="812" spans="1:26">
      <c r="A812" s="238"/>
      <c r="B812" s="237"/>
      <c r="D812" s="237"/>
      <c r="E812" s="237"/>
      <c r="F812" s="237"/>
      <c r="G812" s="237"/>
      <c r="H812" s="237"/>
      <c r="I812" s="237"/>
      <c r="J812" s="237"/>
      <c r="K812" s="237"/>
      <c r="L812" s="237"/>
      <c r="M812" s="237"/>
      <c r="N812" s="237"/>
      <c r="O812" s="237"/>
      <c r="P812" s="237"/>
      <c r="Q812" s="237"/>
      <c r="R812" s="237"/>
      <c r="S812" s="237"/>
      <c r="T812" s="237"/>
      <c r="U812" s="237"/>
      <c r="V812" s="237"/>
      <c r="W812" s="237"/>
      <c r="X812" s="237"/>
      <c r="Y812" s="237"/>
      <c r="Z812" s="237"/>
    </row>
    <row r="813" spans="1:26">
      <c r="A813" s="238"/>
      <c r="B813" s="237"/>
      <c r="D813" s="237"/>
      <c r="E813" s="237"/>
      <c r="F813" s="237"/>
      <c r="G813" s="237"/>
      <c r="H813" s="237"/>
      <c r="I813" s="237"/>
      <c r="J813" s="237"/>
      <c r="K813" s="237"/>
      <c r="L813" s="237"/>
      <c r="M813" s="237"/>
      <c r="N813" s="237"/>
      <c r="O813" s="237"/>
      <c r="P813" s="237"/>
      <c r="Q813" s="237"/>
      <c r="R813" s="237"/>
      <c r="S813" s="237"/>
      <c r="T813" s="237"/>
      <c r="U813" s="237"/>
      <c r="V813" s="237"/>
      <c r="W813" s="237"/>
      <c r="X813" s="237"/>
      <c r="Y813" s="237"/>
      <c r="Z813" s="237"/>
    </row>
    <row r="814" spans="1:26">
      <c r="A814" s="238"/>
      <c r="B814" s="237"/>
      <c r="D814" s="237"/>
      <c r="E814" s="237"/>
      <c r="F814" s="237"/>
      <c r="G814" s="237"/>
      <c r="H814" s="237"/>
      <c r="I814" s="237"/>
      <c r="J814" s="237"/>
      <c r="K814" s="237"/>
      <c r="L814" s="237"/>
      <c r="M814" s="237"/>
      <c r="N814" s="237"/>
      <c r="O814" s="237"/>
      <c r="P814" s="237"/>
      <c r="Q814" s="237"/>
      <c r="R814" s="237"/>
      <c r="S814" s="237"/>
      <c r="T814" s="237"/>
      <c r="U814" s="237"/>
      <c r="V814" s="237"/>
      <c r="W814" s="237"/>
      <c r="X814" s="237"/>
      <c r="Y814" s="237"/>
      <c r="Z814" s="237"/>
    </row>
    <row r="815" spans="1:26">
      <c r="A815" s="238"/>
      <c r="B815" s="237"/>
      <c r="D815" s="237"/>
      <c r="E815" s="237"/>
      <c r="F815" s="237"/>
      <c r="G815" s="237"/>
      <c r="H815" s="237"/>
      <c r="I815" s="237"/>
      <c r="J815" s="237"/>
      <c r="K815" s="237"/>
      <c r="L815" s="237"/>
      <c r="M815" s="237"/>
      <c r="N815" s="237"/>
      <c r="O815" s="237"/>
      <c r="P815" s="237"/>
      <c r="Q815" s="237"/>
      <c r="R815" s="237"/>
      <c r="S815" s="237"/>
      <c r="T815" s="237"/>
      <c r="U815" s="237"/>
      <c r="V815" s="237"/>
      <c r="W815" s="237"/>
      <c r="X815" s="237"/>
      <c r="Y815" s="237"/>
      <c r="Z815" s="237"/>
    </row>
    <row r="816" spans="1:26">
      <c r="A816" s="238"/>
      <c r="B816" s="237"/>
      <c r="D816" s="237"/>
      <c r="E816" s="237"/>
      <c r="F816" s="237"/>
      <c r="G816" s="237"/>
      <c r="H816" s="237"/>
      <c r="I816" s="237"/>
      <c r="J816" s="237"/>
      <c r="K816" s="237"/>
      <c r="L816" s="237"/>
      <c r="M816" s="237"/>
      <c r="N816" s="237"/>
      <c r="O816" s="237"/>
      <c r="P816" s="237"/>
      <c r="Q816" s="237"/>
      <c r="R816" s="237"/>
      <c r="S816" s="237"/>
      <c r="T816" s="237"/>
      <c r="U816" s="237"/>
      <c r="V816" s="237"/>
      <c r="W816" s="237"/>
      <c r="X816" s="237"/>
      <c r="Y816" s="237"/>
      <c r="Z816" s="237"/>
    </row>
    <row r="817" spans="1:26">
      <c r="A817" s="238"/>
      <c r="B817" s="237"/>
      <c r="D817" s="237"/>
      <c r="E817" s="237"/>
      <c r="F817" s="237"/>
      <c r="G817" s="237"/>
      <c r="H817" s="237"/>
      <c r="I817" s="237"/>
      <c r="J817" s="237"/>
      <c r="K817" s="237"/>
      <c r="L817" s="237"/>
      <c r="M817" s="237"/>
      <c r="N817" s="237"/>
      <c r="O817" s="237"/>
      <c r="P817" s="237"/>
      <c r="Q817" s="237"/>
      <c r="R817" s="237"/>
      <c r="S817" s="237"/>
      <c r="T817" s="237"/>
      <c r="U817" s="237"/>
      <c r="V817" s="237"/>
      <c r="W817" s="237"/>
      <c r="X817" s="237"/>
      <c r="Y817" s="237"/>
      <c r="Z817" s="237"/>
    </row>
    <row r="818" spans="1:26">
      <c r="A818" s="238"/>
      <c r="B818" s="237"/>
      <c r="D818" s="237"/>
      <c r="E818" s="237"/>
      <c r="F818" s="237"/>
      <c r="G818" s="237"/>
      <c r="H818" s="237"/>
      <c r="I818" s="237"/>
      <c r="J818" s="237"/>
      <c r="K818" s="237"/>
      <c r="L818" s="237"/>
      <c r="M818" s="237"/>
      <c r="N818" s="237"/>
      <c r="O818" s="237"/>
      <c r="P818" s="237"/>
      <c r="Q818" s="237"/>
      <c r="R818" s="237"/>
      <c r="S818" s="237"/>
      <c r="T818" s="237"/>
      <c r="U818" s="237"/>
      <c r="V818" s="237"/>
      <c r="W818" s="237"/>
      <c r="X818" s="237"/>
      <c r="Y818" s="237"/>
      <c r="Z818" s="237"/>
    </row>
    <row r="819" spans="1:26">
      <c r="A819" s="238"/>
      <c r="B819" s="237"/>
      <c r="D819" s="237"/>
      <c r="E819" s="237"/>
      <c r="F819" s="237"/>
      <c r="G819" s="237"/>
      <c r="H819" s="237"/>
      <c r="I819" s="237"/>
      <c r="J819" s="237"/>
      <c r="K819" s="237"/>
      <c r="L819" s="237"/>
      <c r="M819" s="237"/>
      <c r="N819" s="237"/>
      <c r="O819" s="237"/>
      <c r="P819" s="237"/>
      <c r="Q819" s="237"/>
      <c r="R819" s="237"/>
      <c r="S819" s="237"/>
      <c r="T819" s="237"/>
      <c r="U819" s="237"/>
      <c r="V819" s="237"/>
      <c r="W819" s="237"/>
      <c r="X819" s="237"/>
      <c r="Y819" s="237"/>
      <c r="Z819" s="237"/>
    </row>
    <row r="820" spans="1:26">
      <c r="A820" s="238"/>
      <c r="B820" s="237"/>
      <c r="D820" s="237"/>
      <c r="E820" s="237"/>
      <c r="F820" s="237"/>
      <c r="G820" s="237"/>
      <c r="H820" s="237"/>
      <c r="I820" s="237"/>
      <c r="J820" s="237"/>
      <c r="K820" s="237"/>
      <c r="L820" s="237"/>
      <c r="M820" s="237"/>
      <c r="N820" s="237"/>
      <c r="O820" s="237"/>
      <c r="P820" s="237"/>
      <c r="Q820" s="237"/>
      <c r="R820" s="237"/>
      <c r="S820" s="237"/>
      <c r="T820" s="237"/>
      <c r="U820" s="237"/>
      <c r="V820" s="237"/>
      <c r="W820" s="237"/>
      <c r="X820" s="237"/>
      <c r="Y820" s="237"/>
      <c r="Z820" s="237"/>
    </row>
    <row r="821" spans="1:26">
      <c r="A821" s="238"/>
      <c r="B821" s="237"/>
      <c r="D821" s="237"/>
      <c r="E821" s="237"/>
      <c r="F821" s="237"/>
      <c r="G821" s="237"/>
      <c r="H821" s="237"/>
      <c r="I821" s="237"/>
      <c r="J821" s="237"/>
      <c r="K821" s="237"/>
      <c r="L821" s="237"/>
      <c r="M821" s="237"/>
      <c r="N821" s="237"/>
      <c r="O821" s="237"/>
      <c r="P821" s="237"/>
      <c r="Q821" s="237"/>
      <c r="R821" s="237"/>
      <c r="S821" s="237"/>
      <c r="T821" s="237"/>
      <c r="U821" s="237"/>
      <c r="V821" s="237"/>
      <c r="W821" s="237"/>
      <c r="X821" s="237"/>
      <c r="Y821" s="237"/>
      <c r="Z821" s="237"/>
    </row>
    <row r="822" spans="1:26">
      <c r="A822" s="238"/>
      <c r="B822" s="237"/>
      <c r="D822" s="237"/>
      <c r="E822" s="237"/>
      <c r="F822" s="237"/>
      <c r="G822" s="237"/>
      <c r="H822" s="237"/>
      <c r="I822" s="237"/>
      <c r="J822" s="237"/>
      <c r="K822" s="237"/>
      <c r="L822" s="237"/>
      <c r="M822" s="237"/>
      <c r="N822" s="237"/>
      <c r="O822" s="237"/>
      <c r="P822" s="237"/>
      <c r="Q822" s="237"/>
      <c r="R822" s="237"/>
      <c r="S822" s="237"/>
      <c r="T822" s="237"/>
      <c r="U822" s="237"/>
      <c r="V822" s="237"/>
      <c r="W822" s="237"/>
      <c r="X822" s="237"/>
      <c r="Y822" s="237"/>
      <c r="Z822" s="237"/>
    </row>
    <row r="823" spans="1:26">
      <c r="A823" s="238"/>
      <c r="B823" s="237"/>
      <c r="D823" s="237"/>
      <c r="E823" s="237"/>
      <c r="F823" s="237"/>
      <c r="G823" s="237"/>
      <c r="H823" s="237"/>
      <c r="I823" s="237"/>
      <c r="J823" s="237"/>
      <c r="K823" s="237"/>
      <c r="L823" s="237"/>
      <c r="M823" s="237"/>
      <c r="N823" s="237"/>
      <c r="O823" s="237"/>
      <c r="P823" s="237"/>
      <c r="Q823" s="237"/>
      <c r="R823" s="237"/>
      <c r="S823" s="237"/>
      <c r="T823" s="237"/>
      <c r="U823" s="237"/>
      <c r="V823" s="237"/>
      <c r="W823" s="237"/>
      <c r="X823" s="237"/>
      <c r="Y823" s="237"/>
      <c r="Z823" s="237"/>
    </row>
    <row r="824" spans="1:26">
      <c r="A824" s="238"/>
      <c r="B824" s="237"/>
      <c r="D824" s="237"/>
      <c r="E824" s="237"/>
      <c r="F824" s="237"/>
      <c r="G824" s="237"/>
      <c r="H824" s="237"/>
      <c r="I824" s="237"/>
      <c r="J824" s="237"/>
      <c r="K824" s="237"/>
      <c r="L824" s="237"/>
      <c r="M824" s="237"/>
      <c r="N824" s="237"/>
      <c r="O824" s="237"/>
      <c r="P824" s="237"/>
      <c r="Q824" s="237"/>
      <c r="R824" s="237"/>
      <c r="S824" s="237"/>
      <c r="T824" s="237"/>
      <c r="U824" s="237"/>
      <c r="V824" s="237"/>
      <c r="W824" s="237"/>
      <c r="X824" s="237"/>
      <c r="Y824" s="237"/>
      <c r="Z824" s="237"/>
    </row>
    <row r="825" spans="1:26">
      <c r="A825" s="238"/>
      <c r="B825" s="237"/>
      <c r="D825" s="237"/>
      <c r="E825" s="237"/>
      <c r="F825" s="237"/>
      <c r="G825" s="237"/>
      <c r="H825" s="237"/>
      <c r="I825" s="237"/>
      <c r="J825" s="237"/>
      <c r="K825" s="237"/>
      <c r="L825" s="237"/>
      <c r="M825" s="237"/>
      <c r="N825" s="237"/>
      <c r="O825" s="237"/>
      <c r="P825" s="237"/>
      <c r="Q825" s="237"/>
      <c r="R825" s="237"/>
      <c r="S825" s="237"/>
      <c r="T825" s="237"/>
      <c r="U825" s="237"/>
      <c r="V825" s="237"/>
      <c r="W825" s="237"/>
      <c r="X825" s="237"/>
      <c r="Y825" s="237"/>
      <c r="Z825" s="237"/>
    </row>
    <row r="826" spans="1:26">
      <c r="A826" s="238"/>
      <c r="B826" s="237"/>
      <c r="D826" s="237"/>
      <c r="E826" s="237"/>
      <c r="F826" s="237"/>
      <c r="G826" s="237"/>
      <c r="H826" s="237"/>
      <c r="I826" s="237"/>
      <c r="J826" s="237"/>
      <c r="K826" s="237"/>
      <c r="L826" s="237"/>
      <c r="M826" s="237"/>
      <c r="N826" s="237"/>
      <c r="O826" s="237"/>
      <c r="P826" s="237"/>
      <c r="Q826" s="237"/>
      <c r="R826" s="237"/>
      <c r="S826" s="237"/>
      <c r="T826" s="237"/>
      <c r="U826" s="237"/>
      <c r="V826" s="237"/>
      <c r="W826" s="237"/>
      <c r="X826" s="237"/>
      <c r="Y826" s="237"/>
      <c r="Z826" s="237"/>
    </row>
    <row r="827" spans="1:26">
      <c r="A827" s="238"/>
      <c r="B827" s="237"/>
      <c r="D827" s="237"/>
      <c r="E827" s="237"/>
      <c r="F827" s="237"/>
      <c r="G827" s="237"/>
      <c r="H827" s="237"/>
      <c r="I827" s="237"/>
      <c r="J827" s="237"/>
      <c r="K827" s="237"/>
      <c r="L827" s="237"/>
      <c r="M827" s="237"/>
      <c r="N827" s="237"/>
      <c r="O827" s="237"/>
      <c r="P827" s="237"/>
      <c r="Q827" s="237"/>
      <c r="R827" s="237"/>
      <c r="S827" s="237"/>
      <c r="T827" s="237"/>
      <c r="U827" s="237"/>
      <c r="V827" s="237"/>
      <c r="W827" s="237"/>
      <c r="X827" s="237"/>
      <c r="Y827" s="237"/>
      <c r="Z827" s="237"/>
    </row>
    <row r="828" spans="1:26">
      <c r="A828" s="238"/>
      <c r="B828" s="237"/>
      <c r="D828" s="237"/>
      <c r="E828" s="237"/>
      <c r="F828" s="237"/>
      <c r="G828" s="237"/>
      <c r="H828" s="237"/>
      <c r="I828" s="237"/>
      <c r="J828" s="237"/>
      <c r="K828" s="237"/>
      <c r="L828" s="237"/>
      <c r="M828" s="237"/>
      <c r="N828" s="237"/>
      <c r="O828" s="237"/>
      <c r="P828" s="237"/>
      <c r="Q828" s="237"/>
      <c r="R828" s="237"/>
      <c r="S828" s="237"/>
      <c r="T828" s="237"/>
      <c r="U828" s="237"/>
      <c r="V828" s="237"/>
      <c r="W828" s="237"/>
      <c r="X828" s="237"/>
      <c r="Y828" s="237"/>
      <c r="Z828" s="237"/>
    </row>
    <row r="829" spans="1:26">
      <c r="A829" s="238"/>
      <c r="B829" s="237"/>
      <c r="D829" s="237"/>
      <c r="E829" s="237"/>
      <c r="F829" s="237"/>
      <c r="G829" s="237"/>
      <c r="H829" s="237"/>
      <c r="I829" s="237"/>
      <c r="J829" s="237"/>
      <c r="K829" s="237"/>
      <c r="L829" s="237"/>
      <c r="M829" s="237"/>
      <c r="N829" s="237"/>
      <c r="O829" s="237"/>
      <c r="P829" s="237"/>
      <c r="Q829" s="237"/>
      <c r="R829" s="237"/>
      <c r="S829" s="237"/>
      <c r="T829" s="237"/>
      <c r="U829" s="237"/>
      <c r="V829" s="237"/>
      <c r="W829" s="237"/>
      <c r="X829" s="237"/>
      <c r="Y829" s="237"/>
      <c r="Z829" s="237"/>
    </row>
    <row r="830" spans="1:26">
      <c r="A830" s="238"/>
      <c r="B830" s="237"/>
      <c r="D830" s="237"/>
      <c r="E830" s="237"/>
      <c r="F830" s="237"/>
      <c r="G830" s="237"/>
      <c r="H830" s="237"/>
      <c r="I830" s="237"/>
      <c r="J830" s="237"/>
      <c r="K830" s="237"/>
      <c r="L830" s="237"/>
      <c r="M830" s="237"/>
      <c r="N830" s="237"/>
      <c r="O830" s="237"/>
      <c r="P830" s="237"/>
      <c r="Q830" s="237"/>
      <c r="R830" s="237"/>
      <c r="S830" s="237"/>
      <c r="T830" s="237"/>
      <c r="U830" s="237"/>
      <c r="V830" s="237"/>
      <c r="W830" s="237"/>
      <c r="X830" s="237"/>
      <c r="Y830" s="237"/>
      <c r="Z830" s="237"/>
    </row>
    <row r="831" spans="1:26">
      <c r="A831" s="238"/>
      <c r="B831" s="237"/>
      <c r="D831" s="237"/>
      <c r="E831" s="237"/>
      <c r="F831" s="237"/>
      <c r="G831" s="237"/>
      <c r="H831" s="237"/>
      <c r="I831" s="237"/>
      <c r="J831" s="237"/>
      <c r="K831" s="237"/>
      <c r="L831" s="237"/>
      <c r="M831" s="237"/>
      <c r="N831" s="237"/>
      <c r="O831" s="237"/>
      <c r="P831" s="237"/>
      <c r="Q831" s="237"/>
      <c r="R831" s="237"/>
      <c r="S831" s="237"/>
      <c r="T831" s="237"/>
      <c r="U831" s="237"/>
      <c r="V831" s="237"/>
      <c r="W831" s="237"/>
      <c r="X831" s="237"/>
      <c r="Y831" s="237"/>
      <c r="Z831" s="237"/>
    </row>
    <row r="832" spans="1:26">
      <c r="A832" s="238"/>
      <c r="B832" s="237"/>
      <c r="D832" s="237"/>
      <c r="E832" s="237"/>
      <c r="F832" s="237"/>
      <c r="G832" s="237"/>
      <c r="H832" s="237"/>
      <c r="I832" s="237"/>
      <c r="J832" s="237"/>
      <c r="K832" s="237"/>
      <c r="L832" s="237"/>
      <c r="M832" s="237"/>
      <c r="N832" s="237"/>
      <c r="O832" s="237"/>
      <c r="P832" s="237"/>
      <c r="Q832" s="237"/>
      <c r="R832" s="237"/>
      <c r="S832" s="237"/>
      <c r="T832" s="237"/>
      <c r="U832" s="237"/>
      <c r="V832" s="237"/>
      <c r="W832" s="237"/>
      <c r="X832" s="237"/>
      <c r="Y832" s="237"/>
      <c r="Z832" s="237"/>
    </row>
    <row r="833" spans="1:26">
      <c r="A833" s="238"/>
      <c r="B833" s="237"/>
      <c r="D833" s="237"/>
      <c r="E833" s="237"/>
      <c r="F833" s="237"/>
      <c r="G833" s="237"/>
      <c r="H833" s="237"/>
      <c r="I833" s="237"/>
      <c r="J833" s="237"/>
      <c r="K833" s="237"/>
      <c r="L833" s="237"/>
      <c r="M833" s="237"/>
      <c r="N833" s="237"/>
      <c r="O833" s="237"/>
      <c r="P833" s="237"/>
      <c r="Q833" s="237"/>
      <c r="R833" s="237"/>
      <c r="S833" s="237"/>
      <c r="T833" s="237"/>
      <c r="U833" s="237"/>
      <c r="V833" s="237"/>
      <c r="W833" s="237"/>
      <c r="X833" s="237"/>
      <c r="Y833" s="237"/>
      <c r="Z833" s="237"/>
    </row>
    <row r="834" spans="1:26">
      <c r="A834" s="238"/>
      <c r="B834" s="237"/>
      <c r="D834" s="237"/>
      <c r="E834" s="237"/>
      <c r="F834" s="237"/>
      <c r="G834" s="237"/>
      <c r="H834" s="237"/>
      <c r="I834" s="237"/>
      <c r="J834" s="237"/>
      <c r="K834" s="237"/>
      <c r="L834" s="237"/>
      <c r="M834" s="237"/>
      <c r="N834" s="237"/>
      <c r="O834" s="237"/>
      <c r="P834" s="237"/>
      <c r="Q834" s="237"/>
      <c r="R834" s="237"/>
      <c r="S834" s="237"/>
      <c r="T834" s="237"/>
      <c r="U834" s="237"/>
      <c r="V834" s="237"/>
      <c r="W834" s="237"/>
      <c r="X834" s="237"/>
      <c r="Y834" s="237"/>
      <c r="Z834" s="237"/>
    </row>
    <row r="835" spans="1:26">
      <c r="A835" s="238"/>
      <c r="B835" s="237"/>
      <c r="D835" s="237"/>
      <c r="E835" s="237"/>
      <c r="F835" s="237"/>
      <c r="G835" s="237"/>
      <c r="H835" s="237"/>
      <c r="I835" s="237"/>
      <c r="J835" s="237"/>
      <c r="K835" s="237"/>
      <c r="L835" s="237"/>
      <c r="M835" s="237"/>
      <c r="N835" s="237"/>
      <c r="O835" s="237"/>
      <c r="P835" s="237"/>
      <c r="Q835" s="237"/>
      <c r="R835" s="237"/>
      <c r="S835" s="237"/>
      <c r="T835" s="237"/>
      <c r="U835" s="237"/>
      <c r="V835" s="237"/>
      <c r="W835" s="237"/>
      <c r="X835" s="237"/>
      <c r="Y835" s="237"/>
      <c r="Z835" s="237"/>
    </row>
    <row r="836" spans="1:26">
      <c r="A836" s="238"/>
      <c r="B836" s="237"/>
      <c r="D836" s="237"/>
      <c r="E836" s="237"/>
      <c r="F836" s="237"/>
      <c r="G836" s="237"/>
      <c r="H836" s="237"/>
      <c r="I836" s="237"/>
      <c r="J836" s="237"/>
      <c r="K836" s="237"/>
      <c r="L836" s="237"/>
      <c r="M836" s="237"/>
      <c r="N836" s="237"/>
      <c r="O836" s="237"/>
      <c r="P836" s="237"/>
      <c r="Q836" s="237"/>
      <c r="R836" s="237"/>
      <c r="S836" s="237"/>
      <c r="T836" s="237"/>
      <c r="U836" s="237"/>
      <c r="V836" s="237"/>
      <c r="W836" s="237"/>
      <c r="X836" s="237"/>
      <c r="Y836" s="237"/>
      <c r="Z836" s="237"/>
    </row>
    <row r="837" spans="1:26">
      <c r="A837" s="238"/>
      <c r="B837" s="237"/>
      <c r="D837" s="237"/>
      <c r="E837" s="237"/>
      <c r="F837" s="237"/>
      <c r="G837" s="237"/>
      <c r="H837" s="237"/>
      <c r="I837" s="237"/>
      <c r="J837" s="237"/>
      <c r="K837" s="237"/>
      <c r="L837" s="237"/>
      <c r="M837" s="237"/>
      <c r="N837" s="237"/>
      <c r="O837" s="237"/>
      <c r="P837" s="237"/>
      <c r="Q837" s="237"/>
      <c r="R837" s="237"/>
      <c r="S837" s="237"/>
      <c r="T837" s="237"/>
      <c r="U837" s="237"/>
      <c r="V837" s="237"/>
      <c r="W837" s="237"/>
      <c r="X837" s="237"/>
      <c r="Y837" s="237"/>
      <c r="Z837" s="237"/>
    </row>
    <row r="838" spans="1:26">
      <c r="A838" s="238"/>
      <c r="B838" s="237"/>
      <c r="D838" s="237"/>
      <c r="E838" s="237"/>
      <c r="F838" s="237"/>
      <c r="G838" s="237"/>
      <c r="H838" s="237"/>
      <c r="I838" s="237"/>
      <c r="J838" s="237"/>
      <c r="K838" s="237"/>
      <c r="L838" s="237"/>
      <c r="M838" s="237"/>
      <c r="N838" s="237"/>
      <c r="O838" s="237"/>
      <c r="P838" s="237"/>
      <c r="Q838" s="237"/>
      <c r="R838" s="237"/>
      <c r="S838" s="237"/>
      <c r="T838" s="237"/>
      <c r="U838" s="237"/>
      <c r="V838" s="237"/>
      <c r="W838" s="237"/>
      <c r="X838" s="237"/>
      <c r="Y838" s="237"/>
      <c r="Z838" s="237"/>
    </row>
    <row r="839" spans="1:26">
      <c r="A839" s="238"/>
      <c r="B839" s="237"/>
      <c r="D839" s="237"/>
      <c r="E839" s="237"/>
      <c r="F839" s="237"/>
      <c r="G839" s="237"/>
      <c r="H839" s="237"/>
      <c r="I839" s="237"/>
      <c r="J839" s="237"/>
      <c r="K839" s="237"/>
      <c r="L839" s="237"/>
      <c r="M839" s="237"/>
      <c r="N839" s="237"/>
      <c r="O839" s="237"/>
      <c r="P839" s="237"/>
      <c r="Q839" s="237"/>
      <c r="R839" s="237"/>
      <c r="S839" s="237"/>
      <c r="T839" s="237"/>
      <c r="U839" s="237"/>
      <c r="V839" s="237"/>
      <c r="W839" s="237"/>
      <c r="X839" s="237"/>
      <c r="Y839" s="237"/>
      <c r="Z839" s="237"/>
    </row>
    <row r="840" spans="1:26">
      <c r="A840" s="238"/>
      <c r="B840" s="237"/>
      <c r="D840" s="237"/>
      <c r="E840" s="237"/>
      <c r="F840" s="237"/>
      <c r="G840" s="237"/>
      <c r="H840" s="237"/>
      <c r="I840" s="237"/>
      <c r="J840" s="237"/>
      <c r="K840" s="237"/>
      <c r="L840" s="237"/>
      <c r="M840" s="237"/>
      <c r="N840" s="237"/>
      <c r="O840" s="237"/>
      <c r="P840" s="237"/>
      <c r="Q840" s="237"/>
      <c r="R840" s="237"/>
      <c r="S840" s="237"/>
      <c r="T840" s="237"/>
      <c r="U840" s="237"/>
      <c r="V840" s="237"/>
      <c r="W840" s="237"/>
      <c r="X840" s="237"/>
      <c r="Y840" s="237"/>
      <c r="Z840" s="237"/>
    </row>
    <row r="841" spans="1:26">
      <c r="A841" s="238"/>
      <c r="B841" s="237"/>
      <c r="D841" s="237"/>
      <c r="E841" s="237"/>
      <c r="F841" s="237"/>
      <c r="G841" s="237"/>
      <c r="H841" s="237"/>
      <c r="I841" s="237"/>
      <c r="J841" s="237"/>
      <c r="K841" s="237"/>
      <c r="L841" s="237"/>
      <c r="M841" s="237"/>
      <c r="N841" s="237"/>
      <c r="O841" s="237"/>
      <c r="P841" s="237"/>
      <c r="Q841" s="237"/>
      <c r="R841" s="237"/>
      <c r="S841" s="237"/>
      <c r="T841" s="237"/>
      <c r="U841" s="237"/>
      <c r="V841" s="237"/>
      <c r="W841" s="237"/>
      <c r="X841" s="237"/>
      <c r="Y841" s="237"/>
      <c r="Z841" s="237"/>
    </row>
    <row r="842" spans="1:26">
      <c r="A842" s="238"/>
      <c r="B842" s="237"/>
      <c r="D842" s="237"/>
      <c r="E842" s="237"/>
      <c r="F842" s="237"/>
      <c r="G842" s="237"/>
      <c r="H842" s="237"/>
      <c r="I842" s="237"/>
      <c r="J842" s="237"/>
      <c r="K842" s="237"/>
      <c r="L842" s="237"/>
      <c r="M842" s="237"/>
      <c r="N842" s="237"/>
      <c r="O842" s="237"/>
      <c r="P842" s="237"/>
      <c r="Q842" s="237"/>
      <c r="R842" s="237"/>
      <c r="S842" s="237"/>
      <c r="T842" s="237"/>
      <c r="U842" s="237"/>
      <c r="V842" s="237"/>
      <c r="W842" s="237"/>
      <c r="X842" s="237"/>
      <c r="Y842" s="237"/>
      <c r="Z842" s="237"/>
    </row>
    <row r="843" spans="1:26">
      <c r="A843" s="238"/>
      <c r="B843" s="237"/>
      <c r="D843" s="237"/>
      <c r="E843" s="237"/>
      <c r="F843" s="237"/>
      <c r="G843" s="237"/>
      <c r="H843" s="237"/>
      <c r="I843" s="237"/>
      <c r="J843" s="237"/>
      <c r="K843" s="237"/>
      <c r="L843" s="237"/>
      <c r="M843" s="237"/>
      <c r="N843" s="237"/>
      <c r="O843" s="237"/>
      <c r="P843" s="237"/>
      <c r="Q843" s="237"/>
      <c r="R843" s="237"/>
      <c r="S843" s="237"/>
      <c r="T843" s="237"/>
      <c r="U843" s="237"/>
      <c r="V843" s="237"/>
      <c r="W843" s="237"/>
      <c r="X843" s="237"/>
      <c r="Y843" s="237"/>
      <c r="Z843" s="237"/>
    </row>
    <row r="844" spans="1:26">
      <c r="A844" s="238"/>
      <c r="B844" s="237"/>
      <c r="D844" s="237"/>
      <c r="E844" s="237"/>
      <c r="F844" s="237"/>
      <c r="G844" s="237"/>
      <c r="H844" s="237"/>
      <c r="I844" s="237"/>
      <c r="J844" s="237"/>
      <c r="K844" s="237"/>
      <c r="L844" s="237"/>
      <c r="M844" s="237"/>
      <c r="N844" s="237"/>
      <c r="O844" s="237"/>
      <c r="P844" s="237"/>
      <c r="Q844" s="237"/>
      <c r="R844" s="237"/>
      <c r="S844" s="237"/>
      <c r="T844" s="237"/>
      <c r="U844" s="237"/>
      <c r="V844" s="237"/>
      <c r="W844" s="237"/>
      <c r="X844" s="237"/>
      <c r="Y844" s="237"/>
      <c r="Z844" s="237"/>
    </row>
    <row r="845" spans="1:26">
      <c r="A845" s="238"/>
      <c r="B845" s="237"/>
      <c r="D845" s="237"/>
      <c r="E845" s="237"/>
      <c r="F845" s="237"/>
      <c r="G845" s="237"/>
      <c r="H845" s="237"/>
      <c r="I845" s="237"/>
      <c r="J845" s="237"/>
      <c r="K845" s="237"/>
      <c r="L845" s="237"/>
      <c r="M845" s="237"/>
      <c r="N845" s="237"/>
      <c r="O845" s="237"/>
      <c r="P845" s="237"/>
      <c r="Q845" s="237"/>
      <c r="R845" s="237"/>
      <c r="S845" s="237"/>
      <c r="T845" s="237"/>
      <c r="U845" s="237"/>
      <c r="V845" s="237"/>
      <c r="W845" s="237"/>
      <c r="X845" s="237"/>
      <c r="Y845" s="237"/>
      <c r="Z845" s="237"/>
    </row>
    <row r="846" spans="1:26">
      <c r="A846" s="238"/>
      <c r="B846" s="237"/>
      <c r="D846" s="237"/>
      <c r="E846" s="237"/>
      <c r="F846" s="237"/>
      <c r="G846" s="237"/>
      <c r="H846" s="237"/>
      <c r="I846" s="237"/>
      <c r="J846" s="237"/>
      <c r="K846" s="237"/>
      <c r="L846" s="237"/>
      <c r="M846" s="237"/>
      <c r="N846" s="237"/>
      <c r="O846" s="237"/>
      <c r="P846" s="237"/>
      <c r="Q846" s="237"/>
      <c r="R846" s="237"/>
      <c r="S846" s="237"/>
      <c r="T846" s="237"/>
      <c r="U846" s="237"/>
      <c r="V846" s="237"/>
      <c r="W846" s="237"/>
      <c r="X846" s="237"/>
      <c r="Y846" s="237"/>
      <c r="Z846" s="237"/>
    </row>
    <row r="847" spans="1:26">
      <c r="A847" s="238"/>
      <c r="B847" s="237"/>
      <c r="D847" s="237"/>
      <c r="E847" s="237"/>
      <c r="F847" s="237"/>
      <c r="G847" s="237"/>
      <c r="H847" s="237"/>
      <c r="I847" s="237"/>
      <c r="J847" s="237"/>
      <c r="K847" s="237"/>
      <c r="L847" s="237"/>
      <c r="M847" s="237"/>
      <c r="N847" s="237"/>
      <c r="O847" s="237"/>
      <c r="P847" s="237"/>
      <c r="Q847" s="237"/>
      <c r="R847" s="237"/>
      <c r="S847" s="237"/>
      <c r="T847" s="237"/>
      <c r="U847" s="237"/>
      <c r="V847" s="237"/>
      <c r="W847" s="237"/>
      <c r="X847" s="237"/>
      <c r="Y847" s="237"/>
      <c r="Z847" s="237"/>
    </row>
    <row r="848" spans="1:26">
      <c r="A848" s="238"/>
      <c r="B848" s="237"/>
      <c r="D848" s="237"/>
      <c r="E848" s="237"/>
      <c r="F848" s="237"/>
      <c r="G848" s="237"/>
      <c r="H848" s="237"/>
      <c r="I848" s="237"/>
      <c r="J848" s="237"/>
      <c r="K848" s="237"/>
      <c r="L848" s="237"/>
      <c r="M848" s="237"/>
      <c r="N848" s="237"/>
      <c r="O848" s="237"/>
      <c r="P848" s="237"/>
      <c r="Q848" s="237"/>
      <c r="R848" s="237"/>
      <c r="S848" s="237"/>
      <c r="T848" s="237"/>
      <c r="U848" s="237"/>
      <c r="V848" s="237"/>
      <c r="W848" s="237"/>
      <c r="X848" s="237"/>
      <c r="Y848" s="237"/>
      <c r="Z848" s="237"/>
    </row>
    <row r="849" spans="1:26">
      <c r="A849" s="238"/>
      <c r="B849" s="237"/>
      <c r="D849" s="237"/>
      <c r="E849" s="237"/>
      <c r="F849" s="237"/>
      <c r="G849" s="237"/>
      <c r="H849" s="237"/>
      <c r="I849" s="237"/>
      <c r="J849" s="237"/>
      <c r="K849" s="237"/>
      <c r="L849" s="237"/>
      <c r="M849" s="237"/>
      <c r="N849" s="237"/>
      <c r="O849" s="237"/>
      <c r="P849" s="237"/>
      <c r="Q849" s="237"/>
      <c r="R849" s="237"/>
      <c r="S849" s="237"/>
      <c r="T849" s="237"/>
      <c r="U849" s="237"/>
      <c r="V849" s="237"/>
      <c r="W849" s="237"/>
      <c r="X849" s="237"/>
      <c r="Y849" s="237"/>
      <c r="Z849" s="237"/>
    </row>
    <row r="850" spans="1:26">
      <c r="A850" s="238"/>
      <c r="B850" s="237"/>
      <c r="D850" s="237"/>
      <c r="E850" s="237"/>
      <c r="F850" s="237"/>
      <c r="G850" s="237"/>
      <c r="H850" s="237"/>
      <c r="I850" s="237"/>
      <c r="J850" s="237"/>
      <c r="K850" s="237"/>
      <c r="L850" s="237"/>
      <c r="M850" s="237"/>
      <c r="N850" s="237"/>
      <c r="O850" s="237"/>
      <c r="P850" s="237"/>
      <c r="Q850" s="237"/>
      <c r="R850" s="237"/>
      <c r="S850" s="237"/>
      <c r="T850" s="237"/>
      <c r="U850" s="237"/>
      <c r="V850" s="237"/>
      <c r="W850" s="237"/>
      <c r="X850" s="237"/>
      <c r="Y850" s="237"/>
      <c r="Z850" s="237"/>
    </row>
    <row r="851" spans="1:26">
      <c r="A851" s="238"/>
      <c r="B851" s="237"/>
      <c r="D851" s="237"/>
      <c r="E851" s="237"/>
      <c r="F851" s="237"/>
      <c r="G851" s="237"/>
      <c r="H851" s="237"/>
      <c r="I851" s="237"/>
      <c r="J851" s="237"/>
      <c r="K851" s="237"/>
      <c r="L851" s="237"/>
      <c r="M851" s="237"/>
      <c r="N851" s="237"/>
      <c r="O851" s="237"/>
      <c r="P851" s="237"/>
      <c r="Q851" s="237"/>
      <c r="R851" s="237"/>
      <c r="S851" s="237"/>
      <c r="T851" s="237"/>
      <c r="U851" s="237"/>
      <c r="V851" s="237"/>
      <c r="W851" s="237"/>
      <c r="X851" s="237"/>
      <c r="Y851" s="237"/>
      <c r="Z851" s="237"/>
    </row>
    <row r="852" spans="1:26">
      <c r="A852" s="238"/>
      <c r="B852" s="237"/>
      <c r="D852" s="237"/>
      <c r="E852" s="237"/>
      <c r="F852" s="237"/>
      <c r="G852" s="237"/>
      <c r="H852" s="237"/>
      <c r="I852" s="237"/>
      <c r="J852" s="237"/>
      <c r="K852" s="237"/>
      <c r="L852" s="237"/>
      <c r="M852" s="237"/>
      <c r="N852" s="237"/>
      <c r="O852" s="237"/>
      <c r="P852" s="237"/>
      <c r="Q852" s="237"/>
      <c r="R852" s="237"/>
      <c r="S852" s="237"/>
      <c r="T852" s="237"/>
      <c r="U852" s="237"/>
      <c r="V852" s="237"/>
      <c r="W852" s="237"/>
      <c r="X852" s="237"/>
      <c r="Y852" s="237"/>
      <c r="Z852" s="237"/>
    </row>
    <row r="853" spans="1:26">
      <c r="A853" s="238"/>
      <c r="B853" s="237"/>
      <c r="D853" s="237"/>
      <c r="E853" s="237"/>
      <c r="F853" s="237"/>
      <c r="G853" s="237"/>
      <c r="H853" s="237"/>
      <c r="I853" s="237"/>
      <c r="J853" s="237"/>
      <c r="K853" s="237"/>
      <c r="L853" s="237"/>
      <c r="M853" s="237"/>
      <c r="N853" s="237"/>
      <c r="O853" s="237"/>
      <c r="P853" s="237"/>
      <c r="Q853" s="237"/>
      <c r="R853" s="237"/>
      <c r="S853" s="237"/>
      <c r="T853" s="237"/>
      <c r="U853" s="237"/>
      <c r="V853" s="237"/>
      <c r="W853" s="237"/>
      <c r="X853" s="237"/>
      <c r="Y853" s="237"/>
      <c r="Z853" s="237"/>
    </row>
    <row r="854" spans="1:26">
      <c r="A854" s="238"/>
      <c r="B854" s="237"/>
      <c r="D854" s="237"/>
      <c r="E854" s="237"/>
      <c r="F854" s="237"/>
      <c r="G854" s="237"/>
      <c r="H854" s="237"/>
      <c r="I854" s="237"/>
      <c r="J854" s="237"/>
      <c r="K854" s="237"/>
      <c r="L854" s="237"/>
      <c r="M854" s="237"/>
      <c r="N854" s="237"/>
      <c r="O854" s="237"/>
      <c r="P854" s="237"/>
      <c r="Q854" s="237"/>
      <c r="R854" s="237"/>
      <c r="S854" s="237"/>
      <c r="T854" s="237"/>
      <c r="U854" s="237"/>
      <c r="V854" s="237"/>
      <c r="W854" s="237"/>
      <c r="X854" s="237"/>
      <c r="Y854" s="237"/>
      <c r="Z854" s="237"/>
    </row>
    <row r="855" spans="1:26">
      <c r="A855" s="238"/>
      <c r="B855" s="237"/>
      <c r="D855" s="237"/>
      <c r="E855" s="237"/>
      <c r="F855" s="237"/>
      <c r="G855" s="237"/>
      <c r="H855" s="237"/>
      <c r="I855" s="237"/>
      <c r="J855" s="237"/>
      <c r="K855" s="237"/>
      <c r="L855" s="237"/>
      <c r="M855" s="237"/>
      <c r="N855" s="237"/>
      <c r="O855" s="237"/>
      <c r="P855" s="237"/>
      <c r="Q855" s="237"/>
      <c r="R855" s="237"/>
      <c r="S855" s="237"/>
      <c r="T855" s="237"/>
      <c r="U855" s="237"/>
      <c r="V855" s="237"/>
      <c r="W855" s="237"/>
      <c r="X855" s="237"/>
      <c r="Y855" s="237"/>
      <c r="Z855" s="237"/>
    </row>
    <row r="856" spans="1:26">
      <c r="A856" s="238"/>
      <c r="B856" s="237"/>
      <c r="D856" s="237"/>
      <c r="E856" s="237"/>
      <c r="F856" s="237"/>
      <c r="G856" s="237"/>
      <c r="H856" s="237"/>
      <c r="I856" s="237"/>
      <c r="J856" s="237"/>
      <c r="K856" s="237"/>
      <c r="L856" s="237"/>
      <c r="M856" s="237"/>
      <c r="N856" s="237"/>
      <c r="O856" s="237"/>
      <c r="P856" s="237"/>
      <c r="Q856" s="237"/>
      <c r="R856" s="237"/>
      <c r="S856" s="237"/>
      <c r="T856" s="237"/>
      <c r="U856" s="237"/>
      <c r="V856" s="237"/>
      <c r="W856" s="237"/>
      <c r="X856" s="237"/>
      <c r="Y856" s="237"/>
      <c r="Z856" s="237"/>
    </row>
    <row r="857" spans="1:26">
      <c r="A857" s="238"/>
      <c r="B857" s="237"/>
      <c r="D857" s="237"/>
      <c r="E857" s="237"/>
      <c r="F857" s="237"/>
      <c r="G857" s="237"/>
      <c r="H857" s="237"/>
      <c r="I857" s="237"/>
      <c r="J857" s="237"/>
      <c r="K857" s="237"/>
      <c r="L857" s="237"/>
      <c r="M857" s="237"/>
      <c r="N857" s="237"/>
      <c r="O857" s="237"/>
      <c r="P857" s="237"/>
      <c r="Q857" s="237"/>
      <c r="R857" s="237"/>
      <c r="S857" s="237"/>
      <c r="T857" s="237"/>
      <c r="U857" s="237"/>
      <c r="V857" s="237"/>
      <c r="W857" s="237"/>
      <c r="X857" s="237"/>
      <c r="Y857" s="237"/>
      <c r="Z857" s="237"/>
    </row>
    <row r="858" spans="1:26">
      <c r="A858" s="238"/>
      <c r="B858" s="237"/>
      <c r="D858" s="237"/>
      <c r="E858" s="237"/>
      <c r="F858" s="237"/>
      <c r="G858" s="237"/>
      <c r="H858" s="237"/>
      <c r="I858" s="237"/>
      <c r="J858" s="237"/>
      <c r="K858" s="237"/>
      <c r="L858" s="237"/>
      <c r="M858" s="237"/>
      <c r="N858" s="237"/>
      <c r="O858" s="237"/>
      <c r="P858" s="237"/>
      <c r="Q858" s="237"/>
      <c r="R858" s="237"/>
      <c r="S858" s="237"/>
      <c r="T858" s="237"/>
      <c r="U858" s="237"/>
      <c r="V858" s="237"/>
      <c r="W858" s="237"/>
      <c r="X858" s="237"/>
      <c r="Y858" s="237"/>
      <c r="Z858" s="237"/>
    </row>
    <row r="859" spans="1:26">
      <c r="A859" s="238"/>
      <c r="B859" s="237"/>
      <c r="D859" s="237"/>
      <c r="E859" s="237"/>
      <c r="F859" s="237"/>
      <c r="G859" s="237"/>
      <c r="H859" s="237"/>
      <c r="I859" s="237"/>
      <c r="J859" s="237"/>
      <c r="K859" s="237"/>
      <c r="L859" s="237"/>
      <c r="M859" s="237"/>
      <c r="N859" s="237"/>
      <c r="O859" s="237"/>
      <c r="P859" s="237"/>
      <c r="Q859" s="237"/>
      <c r="R859" s="237"/>
      <c r="S859" s="237"/>
      <c r="T859" s="237"/>
      <c r="U859" s="237"/>
      <c r="V859" s="237"/>
      <c r="W859" s="237"/>
      <c r="X859" s="237"/>
      <c r="Y859" s="237"/>
      <c r="Z859" s="237"/>
    </row>
    <row r="860" spans="1:26">
      <c r="A860" s="238"/>
      <c r="B860" s="237"/>
      <c r="D860" s="237"/>
      <c r="E860" s="237"/>
      <c r="F860" s="237"/>
      <c r="G860" s="237"/>
      <c r="H860" s="237"/>
      <c r="I860" s="237"/>
      <c r="J860" s="237"/>
      <c r="K860" s="237"/>
      <c r="L860" s="237"/>
      <c r="M860" s="237"/>
      <c r="N860" s="237"/>
      <c r="O860" s="237"/>
      <c r="P860" s="237"/>
      <c r="Q860" s="237"/>
      <c r="R860" s="237"/>
      <c r="S860" s="237"/>
      <c r="T860" s="237"/>
      <c r="U860" s="237"/>
      <c r="V860" s="237"/>
      <c r="W860" s="237"/>
      <c r="X860" s="237"/>
      <c r="Y860" s="237"/>
      <c r="Z860" s="237"/>
    </row>
    <row r="861" spans="1:26">
      <c r="A861" s="238"/>
      <c r="B861" s="237"/>
      <c r="D861" s="237"/>
      <c r="E861" s="237"/>
      <c r="F861" s="237"/>
      <c r="G861" s="237"/>
      <c r="H861" s="237"/>
      <c r="I861" s="237"/>
      <c r="J861" s="237"/>
      <c r="K861" s="237"/>
      <c r="L861" s="237"/>
      <c r="M861" s="237"/>
      <c r="N861" s="237"/>
      <c r="O861" s="237"/>
      <c r="P861" s="237"/>
      <c r="Q861" s="237"/>
      <c r="R861" s="237"/>
      <c r="S861" s="237"/>
      <c r="T861" s="237"/>
      <c r="U861" s="237"/>
      <c r="V861" s="237"/>
      <c r="W861" s="237"/>
      <c r="X861" s="237"/>
      <c r="Y861" s="237"/>
      <c r="Z861" s="237"/>
    </row>
    <row r="862" spans="1:26">
      <c r="A862" s="238"/>
      <c r="B862" s="237"/>
      <c r="D862" s="237"/>
      <c r="E862" s="237"/>
      <c r="F862" s="237"/>
      <c r="G862" s="237"/>
      <c r="H862" s="237"/>
      <c r="I862" s="237"/>
      <c r="J862" s="237"/>
      <c r="K862" s="237"/>
      <c r="L862" s="237"/>
      <c r="M862" s="237"/>
      <c r="N862" s="237"/>
      <c r="O862" s="237"/>
      <c r="P862" s="237"/>
      <c r="Q862" s="237"/>
      <c r="R862" s="237"/>
      <c r="S862" s="237"/>
      <c r="T862" s="237"/>
      <c r="U862" s="237"/>
      <c r="V862" s="237"/>
      <c r="W862" s="237"/>
      <c r="X862" s="237"/>
      <c r="Y862" s="237"/>
      <c r="Z862" s="237"/>
    </row>
    <row r="863" spans="1:26">
      <c r="A863" s="238"/>
      <c r="B863" s="237"/>
      <c r="D863" s="237"/>
      <c r="E863" s="237"/>
      <c r="F863" s="237"/>
      <c r="G863" s="237"/>
      <c r="H863" s="237"/>
      <c r="I863" s="237"/>
      <c r="J863" s="237"/>
      <c r="K863" s="237"/>
      <c r="L863" s="237"/>
      <c r="M863" s="237"/>
      <c r="N863" s="237"/>
      <c r="O863" s="237"/>
      <c r="P863" s="237"/>
      <c r="Q863" s="237"/>
      <c r="R863" s="237"/>
      <c r="S863" s="237"/>
      <c r="T863" s="237"/>
      <c r="U863" s="237"/>
      <c r="V863" s="237"/>
      <c r="W863" s="237"/>
      <c r="X863" s="237"/>
      <c r="Y863" s="237"/>
      <c r="Z863" s="237"/>
    </row>
    <row r="864" spans="1:26">
      <c r="A864" s="238"/>
      <c r="B864" s="237"/>
      <c r="D864" s="237"/>
      <c r="E864" s="237"/>
      <c r="F864" s="237"/>
      <c r="G864" s="237"/>
      <c r="H864" s="237"/>
      <c r="I864" s="237"/>
      <c r="J864" s="237"/>
      <c r="K864" s="237"/>
      <c r="L864" s="237"/>
      <c r="M864" s="237"/>
      <c r="N864" s="237"/>
      <c r="O864" s="237"/>
      <c r="P864" s="237"/>
      <c r="Q864" s="237"/>
      <c r="R864" s="237"/>
      <c r="S864" s="237"/>
      <c r="T864" s="237"/>
      <c r="U864" s="237"/>
      <c r="V864" s="237"/>
      <c r="W864" s="237"/>
      <c r="X864" s="237"/>
      <c r="Y864" s="237"/>
      <c r="Z864" s="237"/>
    </row>
    <row r="865" spans="1:26">
      <c r="A865" s="238"/>
      <c r="B865" s="237"/>
      <c r="D865" s="237"/>
      <c r="E865" s="237"/>
      <c r="F865" s="237"/>
      <c r="G865" s="237"/>
      <c r="H865" s="237"/>
      <c r="I865" s="237"/>
      <c r="J865" s="237"/>
      <c r="K865" s="237"/>
      <c r="L865" s="237"/>
      <c r="M865" s="237"/>
      <c r="N865" s="237"/>
      <c r="O865" s="237"/>
      <c r="P865" s="237"/>
      <c r="Q865" s="237"/>
      <c r="R865" s="237"/>
      <c r="S865" s="237"/>
      <c r="T865" s="237"/>
      <c r="U865" s="237"/>
      <c r="V865" s="237"/>
      <c r="W865" s="237"/>
      <c r="X865" s="237"/>
      <c r="Y865" s="237"/>
      <c r="Z865" s="237"/>
    </row>
    <row r="866" spans="1:26">
      <c r="A866" s="238"/>
      <c r="B866" s="237"/>
      <c r="D866" s="237"/>
      <c r="E866" s="237"/>
      <c r="F866" s="237"/>
      <c r="G866" s="237"/>
      <c r="H866" s="237"/>
      <c r="I866" s="237"/>
      <c r="J866" s="237"/>
      <c r="K866" s="237"/>
      <c r="L866" s="237"/>
      <c r="M866" s="237"/>
      <c r="N866" s="237"/>
      <c r="O866" s="237"/>
      <c r="P866" s="237"/>
      <c r="Q866" s="237"/>
      <c r="R866" s="237"/>
      <c r="S866" s="237"/>
      <c r="T866" s="237"/>
      <c r="U866" s="237"/>
      <c r="V866" s="237"/>
      <c r="W866" s="237"/>
      <c r="X866" s="237"/>
      <c r="Y866" s="237"/>
      <c r="Z866" s="237"/>
    </row>
    <row r="867" spans="1:26">
      <c r="A867" s="238"/>
      <c r="B867" s="237"/>
      <c r="D867" s="237"/>
      <c r="E867" s="237"/>
      <c r="F867" s="237"/>
      <c r="G867" s="237"/>
      <c r="H867" s="237"/>
      <c r="I867" s="237"/>
      <c r="J867" s="237"/>
      <c r="K867" s="237"/>
      <c r="L867" s="237"/>
      <c r="M867" s="237"/>
      <c r="N867" s="237"/>
      <c r="O867" s="237"/>
      <c r="P867" s="237"/>
      <c r="Q867" s="237"/>
      <c r="R867" s="237"/>
      <c r="S867" s="237"/>
      <c r="T867" s="237"/>
      <c r="U867" s="237"/>
      <c r="V867" s="237"/>
      <c r="W867" s="237"/>
      <c r="X867" s="237"/>
      <c r="Y867" s="237"/>
      <c r="Z867" s="237"/>
    </row>
    <row r="868" spans="1:26">
      <c r="A868" s="238"/>
      <c r="B868" s="237"/>
      <c r="D868" s="237"/>
      <c r="E868" s="237"/>
      <c r="F868" s="237"/>
      <c r="G868" s="237"/>
      <c r="H868" s="237"/>
      <c r="I868" s="237"/>
      <c r="J868" s="237"/>
      <c r="K868" s="237"/>
      <c r="L868" s="237"/>
      <c r="M868" s="237"/>
      <c r="N868" s="237"/>
      <c r="O868" s="237"/>
      <c r="P868" s="237"/>
      <c r="Q868" s="237"/>
      <c r="R868" s="237"/>
      <c r="S868" s="237"/>
      <c r="T868" s="237"/>
      <c r="U868" s="237"/>
      <c r="V868" s="237"/>
      <c r="W868" s="237"/>
      <c r="X868" s="237"/>
      <c r="Y868" s="237"/>
      <c r="Z868" s="237"/>
    </row>
    <row r="869" spans="1:26">
      <c r="A869" s="238"/>
      <c r="B869" s="237"/>
      <c r="D869" s="237"/>
      <c r="E869" s="237"/>
      <c r="F869" s="237"/>
      <c r="G869" s="237"/>
      <c r="H869" s="237"/>
      <c r="I869" s="237"/>
      <c r="J869" s="237"/>
      <c r="K869" s="237"/>
      <c r="L869" s="237"/>
      <c r="M869" s="237"/>
      <c r="N869" s="237"/>
      <c r="O869" s="237"/>
      <c r="P869" s="237"/>
      <c r="Q869" s="237"/>
      <c r="R869" s="237"/>
      <c r="S869" s="237"/>
      <c r="T869" s="237"/>
      <c r="U869" s="237"/>
      <c r="V869" s="237"/>
      <c r="W869" s="237"/>
      <c r="X869" s="237"/>
      <c r="Y869" s="237"/>
      <c r="Z869" s="237"/>
    </row>
    <row r="870" spans="1:26">
      <c r="A870" s="238"/>
      <c r="B870" s="237"/>
      <c r="D870" s="237"/>
      <c r="E870" s="237"/>
      <c r="F870" s="237"/>
      <c r="G870" s="237"/>
      <c r="H870" s="237"/>
      <c r="I870" s="237"/>
      <c r="J870" s="237"/>
      <c r="K870" s="237"/>
      <c r="L870" s="237"/>
      <c r="M870" s="237"/>
      <c r="N870" s="237"/>
      <c r="O870" s="237"/>
      <c r="P870" s="237"/>
      <c r="Q870" s="237"/>
      <c r="R870" s="237"/>
      <c r="S870" s="237"/>
      <c r="T870" s="237"/>
      <c r="U870" s="237"/>
      <c r="V870" s="237"/>
      <c r="W870" s="237"/>
      <c r="X870" s="237"/>
      <c r="Y870" s="237"/>
      <c r="Z870" s="237"/>
    </row>
    <row r="871" spans="1:26">
      <c r="A871" s="238"/>
      <c r="B871" s="237"/>
      <c r="D871" s="237"/>
      <c r="E871" s="237"/>
      <c r="F871" s="237"/>
      <c r="G871" s="237"/>
      <c r="H871" s="237"/>
      <c r="I871" s="237"/>
      <c r="J871" s="237"/>
      <c r="K871" s="237"/>
      <c r="L871" s="237"/>
      <c r="M871" s="237"/>
      <c r="N871" s="237"/>
      <c r="O871" s="237"/>
      <c r="P871" s="237"/>
      <c r="Q871" s="237"/>
      <c r="R871" s="237"/>
      <c r="S871" s="237"/>
      <c r="T871" s="237"/>
      <c r="U871" s="237"/>
      <c r="V871" s="237"/>
      <c r="W871" s="237"/>
      <c r="X871" s="237"/>
      <c r="Y871" s="237"/>
      <c r="Z871" s="237"/>
    </row>
    <row r="872" spans="1:26">
      <c r="A872" s="238"/>
      <c r="B872" s="237"/>
      <c r="D872" s="237"/>
      <c r="E872" s="237"/>
      <c r="F872" s="237"/>
      <c r="G872" s="237"/>
      <c r="H872" s="237"/>
      <c r="I872" s="237"/>
      <c r="J872" s="237"/>
      <c r="K872" s="237"/>
      <c r="L872" s="237"/>
      <c r="M872" s="237"/>
      <c r="N872" s="237"/>
      <c r="O872" s="237"/>
      <c r="P872" s="237"/>
      <c r="Q872" s="237"/>
      <c r="R872" s="237"/>
      <c r="S872" s="237"/>
      <c r="T872" s="237"/>
      <c r="U872" s="237"/>
      <c r="V872" s="237"/>
      <c r="W872" s="237"/>
      <c r="X872" s="237"/>
      <c r="Y872" s="237"/>
      <c r="Z872" s="237"/>
    </row>
    <row r="873" spans="1:26">
      <c r="A873" s="238"/>
      <c r="B873" s="237"/>
      <c r="D873" s="237"/>
      <c r="E873" s="237"/>
      <c r="F873" s="237"/>
      <c r="G873" s="237"/>
      <c r="H873" s="237"/>
      <c r="I873" s="237"/>
      <c r="J873" s="237"/>
      <c r="K873" s="237"/>
      <c r="L873" s="237"/>
      <c r="M873" s="237"/>
      <c r="N873" s="237"/>
      <c r="O873" s="237"/>
      <c r="P873" s="237"/>
      <c r="Q873" s="237"/>
      <c r="R873" s="237"/>
      <c r="S873" s="237"/>
      <c r="T873" s="237"/>
      <c r="U873" s="237"/>
      <c r="V873" s="237"/>
      <c r="W873" s="237"/>
      <c r="X873" s="237"/>
      <c r="Y873" s="237"/>
      <c r="Z873" s="237"/>
    </row>
    <row r="874" spans="1:26">
      <c r="A874" s="238"/>
      <c r="B874" s="237"/>
      <c r="D874" s="237"/>
      <c r="E874" s="237"/>
      <c r="F874" s="237"/>
      <c r="G874" s="237"/>
      <c r="H874" s="237"/>
      <c r="I874" s="237"/>
      <c r="J874" s="237"/>
      <c r="K874" s="237"/>
      <c r="L874" s="237"/>
      <c r="M874" s="237"/>
      <c r="N874" s="237"/>
      <c r="O874" s="237"/>
      <c r="P874" s="237"/>
      <c r="Q874" s="237"/>
      <c r="R874" s="237"/>
      <c r="S874" s="237"/>
      <c r="T874" s="237"/>
      <c r="U874" s="237"/>
      <c r="V874" s="237"/>
      <c r="W874" s="237"/>
      <c r="X874" s="237"/>
      <c r="Y874" s="237"/>
      <c r="Z874" s="237"/>
    </row>
    <row r="875" spans="1:26">
      <c r="A875" s="238"/>
      <c r="B875" s="237"/>
      <c r="D875" s="237"/>
      <c r="E875" s="237"/>
      <c r="F875" s="237"/>
      <c r="G875" s="237"/>
      <c r="H875" s="237"/>
      <c r="I875" s="237"/>
      <c r="J875" s="237"/>
      <c r="K875" s="237"/>
      <c r="L875" s="237"/>
      <c r="M875" s="237"/>
      <c r="N875" s="237"/>
      <c r="O875" s="237"/>
      <c r="P875" s="237"/>
      <c r="Q875" s="237"/>
      <c r="R875" s="237"/>
      <c r="S875" s="237"/>
      <c r="T875" s="237"/>
      <c r="U875" s="237"/>
      <c r="V875" s="237"/>
      <c r="W875" s="237"/>
      <c r="X875" s="237"/>
      <c r="Y875" s="237"/>
      <c r="Z875" s="237"/>
    </row>
    <row r="876" spans="1:26">
      <c r="A876" s="238"/>
      <c r="B876" s="237"/>
      <c r="D876" s="237"/>
      <c r="E876" s="237"/>
      <c r="F876" s="237"/>
      <c r="G876" s="237"/>
      <c r="H876" s="237"/>
      <c r="I876" s="237"/>
      <c r="J876" s="237"/>
      <c r="K876" s="237"/>
      <c r="L876" s="237"/>
      <c r="M876" s="237"/>
      <c r="N876" s="237"/>
      <c r="O876" s="237"/>
      <c r="P876" s="237"/>
      <c r="Q876" s="237"/>
      <c r="R876" s="237"/>
      <c r="S876" s="237"/>
      <c r="T876" s="237"/>
      <c r="U876" s="237"/>
      <c r="V876" s="237"/>
      <c r="W876" s="237"/>
      <c r="X876" s="237"/>
      <c r="Y876" s="237"/>
      <c r="Z876" s="237"/>
    </row>
    <row r="877" spans="1:26">
      <c r="A877" s="238"/>
      <c r="B877" s="237"/>
      <c r="D877" s="237"/>
      <c r="E877" s="237"/>
      <c r="F877" s="237"/>
      <c r="G877" s="237"/>
      <c r="H877" s="237"/>
      <c r="I877" s="237"/>
      <c r="J877" s="237"/>
      <c r="K877" s="237"/>
      <c r="L877" s="237"/>
      <c r="M877" s="237"/>
      <c r="N877" s="237"/>
      <c r="O877" s="237"/>
      <c r="P877" s="237"/>
      <c r="Q877" s="237"/>
      <c r="R877" s="237"/>
      <c r="S877" s="237"/>
      <c r="T877" s="237"/>
      <c r="U877" s="237"/>
      <c r="V877" s="237"/>
      <c r="W877" s="237"/>
      <c r="X877" s="237"/>
      <c r="Y877" s="237"/>
      <c r="Z877" s="237"/>
    </row>
    <row r="878" spans="1:26">
      <c r="A878" s="238"/>
      <c r="B878" s="237"/>
      <c r="D878" s="237"/>
      <c r="E878" s="237"/>
      <c r="F878" s="237"/>
      <c r="G878" s="237"/>
      <c r="H878" s="237"/>
      <c r="I878" s="237"/>
      <c r="J878" s="237"/>
      <c r="K878" s="237"/>
      <c r="L878" s="237"/>
      <c r="M878" s="237"/>
      <c r="N878" s="237"/>
      <c r="O878" s="237"/>
      <c r="P878" s="237"/>
      <c r="Q878" s="237"/>
      <c r="R878" s="237"/>
      <c r="S878" s="237"/>
      <c r="T878" s="237"/>
      <c r="U878" s="237"/>
      <c r="V878" s="237"/>
      <c r="W878" s="237"/>
      <c r="X878" s="237"/>
      <c r="Y878" s="237"/>
      <c r="Z878" s="237"/>
    </row>
    <row r="879" spans="1:26">
      <c r="A879" s="238"/>
      <c r="B879" s="237"/>
      <c r="D879" s="237"/>
      <c r="E879" s="237"/>
      <c r="F879" s="237"/>
      <c r="G879" s="237"/>
      <c r="H879" s="237"/>
      <c r="I879" s="237"/>
      <c r="J879" s="237"/>
      <c r="K879" s="237"/>
      <c r="L879" s="237"/>
      <c r="M879" s="237"/>
      <c r="N879" s="237"/>
      <c r="O879" s="237"/>
      <c r="P879" s="237"/>
      <c r="Q879" s="237"/>
      <c r="R879" s="237"/>
      <c r="S879" s="237"/>
      <c r="T879" s="237"/>
      <c r="U879" s="237"/>
      <c r="V879" s="237"/>
      <c r="W879" s="237"/>
      <c r="X879" s="237"/>
      <c r="Y879" s="237"/>
      <c r="Z879" s="237"/>
    </row>
    <row r="880" spans="1:26">
      <c r="A880" s="238"/>
      <c r="B880" s="237"/>
      <c r="D880" s="237"/>
      <c r="E880" s="237"/>
      <c r="F880" s="237"/>
      <c r="G880" s="237"/>
      <c r="H880" s="237"/>
      <c r="I880" s="237"/>
      <c r="J880" s="237"/>
      <c r="K880" s="237"/>
      <c r="L880" s="237"/>
      <c r="M880" s="237"/>
      <c r="N880" s="237"/>
      <c r="O880" s="237"/>
      <c r="P880" s="237"/>
      <c r="Q880" s="237"/>
      <c r="R880" s="237"/>
      <c r="S880" s="237"/>
      <c r="T880" s="237"/>
      <c r="U880" s="237"/>
      <c r="V880" s="237"/>
      <c r="W880" s="237"/>
      <c r="X880" s="237"/>
      <c r="Y880" s="237"/>
      <c r="Z880" s="237"/>
    </row>
    <row r="881" spans="1:26">
      <c r="A881" s="238"/>
      <c r="B881" s="237"/>
      <c r="D881" s="237"/>
      <c r="E881" s="237"/>
      <c r="F881" s="237"/>
      <c r="G881" s="237"/>
      <c r="H881" s="237"/>
      <c r="I881" s="237"/>
      <c r="J881" s="237"/>
      <c r="K881" s="237"/>
      <c r="L881" s="237"/>
      <c r="M881" s="237"/>
      <c r="N881" s="237"/>
      <c r="O881" s="237"/>
      <c r="P881" s="237"/>
      <c r="Q881" s="237"/>
      <c r="R881" s="237"/>
      <c r="S881" s="237"/>
      <c r="T881" s="237"/>
      <c r="U881" s="237"/>
      <c r="V881" s="237"/>
      <c r="W881" s="237"/>
      <c r="X881" s="237"/>
      <c r="Y881" s="237"/>
      <c r="Z881" s="237"/>
    </row>
    <row r="882" spans="1:26">
      <c r="A882" s="238"/>
      <c r="B882" s="237"/>
      <c r="D882" s="237"/>
      <c r="E882" s="237"/>
      <c r="F882" s="237"/>
      <c r="G882" s="237"/>
      <c r="H882" s="237"/>
      <c r="I882" s="237"/>
      <c r="J882" s="237"/>
      <c r="K882" s="237"/>
      <c r="L882" s="237"/>
      <c r="M882" s="237"/>
      <c r="N882" s="237"/>
      <c r="O882" s="237"/>
      <c r="P882" s="237"/>
      <c r="Q882" s="237"/>
      <c r="R882" s="237"/>
      <c r="S882" s="237"/>
      <c r="T882" s="237"/>
      <c r="U882" s="237"/>
      <c r="V882" s="237"/>
      <c r="W882" s="237"/>
      <c r="X882" s="237"/>
      <c r="Y882" s="237"/>
      <c r="Z882" s="237"/>
    </row>
    <row r="883" spans="1:26">
      <c r="A883" s="238"/>
      <c r="B883" s="237"/>
      <c r="D883" s="237"/>
      <c r="E883" s="237"/>
      <c r="F883" s="237"/>
      <c r="G883" s="237"/>
      <c r="H883" s="237"/>
      <c r="I883" s="237"/>
      <c r="J883" s="237"/>
      <c r="K883" s="237"/>
      <c r="L883" s="237"/>
      <c r="M883" s="237"/>
      <c r="N883" s="237"/>
      <c r="O883" s="237"/>
      <c r="P883" s="237"/>
      <c r="Q883" s="237"/>
      <c r="R883" s="237"/>
      <c r="S883" s="237"/>
      <c r="T883" s="237"/>
      <c r="U883" s="237"/>
      <c r="V883" s="237"/>
      <c r="W883" s="237"/>
      <c r="X883" s="237"/>
      <c r="Y883" s="237"/>
      <c r="Z883" s="237"/>
    </row>
    <row r="884" spans="1:26">
      <c r="A884" s="238"/>
      <c r="B884" s="237"/>
      <c r="D884" s="237"/>
      <c r="E884" s="237"/>
      <c r="F884" s="237"/>
      <c r="G884" s="237"/>
      <c r="H884" s="237"/>
      <c r="I884" s="237"/>
      <c r="J884" s="237"/>
      <c r="K884" s="237"/>
      <c r="L884" s="237"/>
      <c r="M884" s="237"/>
      <c r="N884" s="237"/>
      <c r="O884" s="237"/>
      <c r="P884" s="237"/>
      <c r="Q884" s="237"/>
      <c r="R884" s="237"/>
      <c r="S884" s="237"/>
      <c r="T884" s="237"/>
      <c r="U884" s="237"/>
      <c r="V884" s="237"/>
      <c r="W884" s="237"/>
      <c r="X884" s="237"/>
      <c r="Y884" s="237"/>
      <c r="Z884" s="237"/>
    </row>
    <row r="885" spans="1:26">
      <c r="A885" s="238"/>
      <c r="B885" s="237"/>
      <c r="D885" s="237"/>
      <c r="E885" s="237"/>
      <c r="F885" s="237"/>
      <c r="G885" s="237"/>
      <c r="H885" s="237"/>
      <c r="I885" s="237"/>
      <c r="J885" s="237"/>
      <c r="K885" s="237"/>
      <c r="L885" s="237"/>
      <c r="M885" s="237"/>
      <c r="N885" s="237"/>
      <c r="O885" s="237"/>
      <c r="P885" s="237"/>
      <c r="Q885" s="237"/>
      <c r="R885" s="237"/>
      <c r="S885" s="237"/>
      <c r="T885" s="237"/>
      <c r="U885" s="237"/>
      <c r="V885" s="237"/>
      <c r="W885" s="237"/>
      <c r="X885" s="237"/>
      <c r="Y885" s="237"/>
      <c r="Z885" s="237"/>
    </row>
    <row r="886" spans="1:26">
      <c r="A886" s="238"/>
      <c r="B886" s="237"/>
      <c r="D886" s="237"/>
      <c r="E886" s="237"/>
      <c r="F886" s="237"/>
      <c r="G886" s="237"/>
      <c r="H886" s="237"/>
      <c r="I886" s="237"/>
      <c r="J886" s="237"/>
      <c r="K886" s="237"/>
      <c r="L886" s="237"/>
      <c r="M886" s="237"/>
      <c r="N886" s="237"/>
      <c r="O886" s="237"/>
      <c r="P886" s="237"/>
      <c r="Q886" s="237"/>
      <c r="R886" s="237"/>
      <c r="S886" s="237"/>
      <c r="T886" s="237"/>
      <c r="U886" s="237"/>
      <c r="V886" s="237"/>
      <c r="W886" s="237"/>
      <c r="X886" s="237"/>
      <c r="Y886" s="237"/>
      <c r="Z886" s="237"/>
    </row>
    <row r="887" spans="1:26">
      <c r="A887" s="238"/>
      <c r="B887" s="237"/>
      <c r="D887" s="237"/>
      <c r="E887" s="237"/>
      <c r="F887" s="237"/>
      <c r="G887" s="237"/>
      <c r="H887" s="237"/>
      <c r="I887" s="237"/>
      <c r="J887" s="237"/>
      <c r="K887" s="237"/>
      <c r="L887" s="237"/>
      <c r="M887" s="237"/>
      <c r="N887" s="237"/>
      <c r="O887" s="237"/>
      <c r="P887" s="237"/>
      <c r="Q887" s="237"/>
      <c r="R887" s="237"/>
      <c r="S887" s="237"/>
      <c r="T887" s="237"/>
      <c r="U887" s="237"/>
      <c r="V887" s="237"/>
      <c r="W887" s="237"/>
      <c r="X887" s="237"/>
      <c r="Y887" s="237"/>
      <c r="Z887" s="237"/>
    </row>
    <row r="888" spans="1:26">
      <c r="A888" s="238"/>
      <c r="B888" s="237"/>
      <c r="D888" s="237"/>
      <c r="E888" s="237"/>
      <c r="F888" s="237"/>
      <c r="G888" s="237"/>
      <c r="H888" s="237"/>
      <c r="I888" s="237"/>
      <c r="J888" s="237"/>
      <c r="K888" s="237"/>
      <c r="L888" s="237"/>
      <c r="M888" s="237"/>
      <c r="N888" s="237"/>
      <c r="O888" s="237"/>
      <c r="P888" s="237"/>
      <c r="Q888" s="237"/>
      <c r="R888" s="237"/>
      <c r="S888" s="237"/>
      <c r="T888" s="237"/>
      <c r="U888" s="237"/>
      <c r="V888" s="237"/>
      <c r="W888" s="237"/>
      <c r="X888" s="237"/>
      <c r="Y888" s="237"/>
      <c r="Z888" s="237"/>
    </row>
    <row r="889" spans="1:26">
      <c r="A889" s="238"/>
      <c r="B889" s="237"/>
      <c r="D889" s="237"/>
      <c r="E889" s="237"/>
      <c r="F889" s="237"/>
      <c r="G889" s="237"/>
      <c r="H889" s="237"/>
      <c r="I889" s="237"/>
      <c r="J889" s="237"/>
      <c r="K889" s="237"/>
      <c r="L889" s="237"/>
      <c r="M889" s="237"/>
      <c r="N889" s="237"/>
      <c r="O889" s="237"/>
      <c r="P889" s="237"/>
      <c r="Q889" s="237"/>
      <c r="R889" s="237"/>
      <c r="S889" s="237"/>
      <c r="T889" s="237"/>
      <c r="U889" s="237"/>
      <c r="V889" s="237"/>
      <c r="W889" s="237"/>
      <c r="X889" s="237"/>
      <c r="Y889" s="237"/>
      <c r="Z889" s="237"/>
    </row>
    <row r="890" spans="1:26">
      <c r="A890" s="238"/>
      <c r="B890" s="237"/>
      <c r="D890" s="237"/>
      <c r="E890" s="237"/>
      <c r="F890" s="237"/>
      <c r="G890" s="237"/>
      <c r="H890" s="237"/>
      <c r="I890" s="237"/>
      <c r="J890" s="237"/>
      <c r="K890" s="237"/>
      <c r="L890" s="237"/>
      <c r="M890" s="237"/>
      <c r="N890" s="237"/>
      <c r="O890" s="237"/>
      <c r="P890" s="237"/>
      <c r="Q890" s="237"/>
      <c r="R890" s="237"/>
      <c r="S890" s="237"/>
      <c r="T890" s="237"/>
      <c r="U890" s="237"/>
      <c r="V890" s="237"/>
      <c r="W890" s="237"/>
      <c r="X890" s="237"/>
      <c r="Y890" s="237"/>
      <c r="Z890" s="237"/>
    </row>
    <row r="891" spans="1:26">
      <c r="A891" s="238"/>
      <c r="B891" s="237"/>
      <c r="D891" s="237"/>
      <c r="E891" s="237"/>
      <c r="F891" s="237"/>
      <c r="G891" s="237"/>
      <c r="H891" s="237"/>
      <c r="I891" s="237"/>
      <c r="J891" s="237"/>
      <c r="K891" s="237"/>
      <c r="L891" s="237"/>
      <c r="M891" s="237"/>
      <c r="N891" s="237"/>
      <c r="O891" s="237"/>
      <c r="P891" s="237"/>
      <c r="Q891" s="237"/>
      <c r="R891" s="237"/>
      <c r="S891" s="237"/>
      <c r="T891" s="237"/>
      <c r="U891" s="237"/>
      <c r="V891" s="237"/>
      <c r="W891" s="237"/>
      <c r="X891" s="237"/>
      <c r="Y891" s="237"/>
      <c r="Z891" s="237"/>
    </row>
    <row r="892" spans="1:26">
      <c r="A892" s="238"/>
      <c r="B892" s="237"/>
      <c r="D892" s="237"/>
      <c r="E892" s="237"/>
      <c r="F892" s="237"/>
      <c r="G892" s="237"/>
      <c r="H892" s="237"/>
      <c r="I892" s="237"/>
      <c r="J892" s="237"/>
      <c r="K892" s="237"/>
      <c r="L892" s="237"/>
      <c r="M892" s="237"/>
      <c r="N892" s="237"/>
      <c r="O892" s="237"/>
      <c r="P892" s="237"/>
      <c r="Q892" s="237"/>
      <c r="R892" s="237"/>
      <c r="S892" s="237"/>
      <c r="T892" s="237"/>
      <c r="U892" s="237"/>
      <c r="V892" s="237"/>
      <c r="W892" s="237"/>
      <c r="X892" s="237"/>
      <c r="Y892" s="237"/>
      <c r="Z892" s="237"/>
    </row>
    <row r="893" spans="1:26">
      <c r="A893" s="238"/>
      <c r="B893" s="237"/>
      <c r="D893" s="237"/>
      <c r="E893" s="237"/>
      <c r="F893" s="237"/>
      <c r="G893" s="237"/>
      <c r="H893" s="237"/>
      <c r="I893" s="237"/>
      <c r="J893" s="237"/>
      <c r="K893" s="237"/>
      <c r="L893" s="237"/>
      <c r="M893" s="237"/>
      <c r="N893" s="237"/>
      <c r="O893" s="237"/>
      <c r="P893" s="237"/>
      <c r="Q893" s="237"/>
      <c r="R893" s="237"/>
      <c r="S893" s="237"/>
      <c r="T893" s="237"/>
      <c r="U893" s="237"/>
      <c r="V893" s="237"/>
      <c r="W893" s="237"/>
      <c r="X893" s="237"/>
      <c r="Y893" s="237"/>
      <c r="Z893" s="237"/>
    </row>
    <row r="894" spans="1:26">
      <c r="A894" s="238"/>
      <c r="B894" s="237"/>
      <c r="D894" s="237"/>
      <c r="E894" s="237"/>
      <c r="F894" s="237"/>
      <c r="G894" s="237"/>
      <c r="H894" s="237"/>
      <c r="I894" s="237"/>
      <c r="J894" s="237"/>
      <c r="K894" s="237"/>
      <c r="L894" s="237"/>
      <c r="M894" s="237"/>
      <c r="N894" s="237"/>
      <c r="O894" s="237"/>
      <c r="P894" s="237"/>
      <c r="Q894" s="237"/>
      <c r="R894" s="237"/>
      <c r="S894" s="237"/>
      <c r="T894" s="237"/>
      <c r="U894" s="237"/>
      <c r="V894" s="237"/>
      <c r="W894" s="237"/>
      <c r="X894" s="237"/>
      <c r="Y894" s="237"/>
      <c r="Z894" s="237"/>
    </row>
    <row r="895" spans="1:26">
      <c r="A895" s="238"/>
      <c r="B895" s="237"/>
      <c r="D895" s="237"/>
      <c r="E895" s="237"/>
      <c r="F895" s="237"/>
      <c r="G895" s="237"/>
      <c r="H895" s="237"/>
      <c r="I895" s="237"/>
      <c r="J895" s="237"/>
      <c r="K895" s="237"/>
      <c r="L895" s="237"/>
      <c r="M895" s="237"/>
      <c r="N895" s="237"/>
      <c r="O895" s="237"/>
      <c r="P895" s="237"/>
      <c r="Q895" s="237"/>
      <c r="R895" s="237"/>
      <c r="S895" s="237"/>
      <c r="T895" s="237"/>
      <c r="U895" s="237"/>
      <c r="V895" s="237"/>
      <c r="W895" s="237"/>
      <c r="X895" s="237"/>
      <c r="Y895" s="237"/>
      <c r="Z895" s="237"/>
    </row>
    <row r="896" spans="1:26">
      <c r="A896" s="238"/>
      <c r="B896" s="237"/>
      <c r="D896" s="237"/>
      <c r="E896" s="237"/>
      <c r="F896" s="237"/>
      <c r="G896" s="237"/>
      <c r="H896" s="237"/>
      <c r="I896" s="237"/>
      <c r="J896" s="237"/>
      <c r="K896" s="237"/>
      <c r="L896" s="237"/>
      <c r="M896" s="237"/>
      <c r="N896" s="237"/>
      <c r="O896" s="237"/>
      <c r="P896" s="237"/>
      <c r="Q896" s="237"/>
      <c r="R896" s="237"/>
      <c r="S896" s="237"/>
      <c r="T896" s="237"/>
      <c r="U896" s="237"/>
      <c r="V896" s="237"/>
      <c r="W896" s="237"/>
      <c r="X896" s="237"/>
      <c r="Y896" s="237"/>
      <c r="Z896" s="237"/>
    </row>
    <row r="897" spans="1:26">
      <c r="A897" s="238"/>
      <c r="B897" s="237"/>
      <c r="D897" s="237"/>
      <c r="E897" s="237"/>
      <c r="F897" s="237"/>
      <c r="G897" s="237"/>
      <c r="H897" s="237"/>
      <c r="I897" s="237"/>
      <c r="J897" s="237"/>
      <c r="K897" s="237"/>
      <c r="L897" s="237"/>
      <c r="M897" s="237"/>
      <c r="N897" s="237"/>
      <c r="O897" s="237"/>
      <c r="P897" s="237"/>
      <c r="Q897" s="237"/>
      <c r="R897" s="237"/>
      <c r="S897" s="237"/>
      <c r="T897" s="237"/>
      <c r="U897" s="237"/>
      <c r="V897" s="237"/>
      <c r="W897" s="237"/>
      <c r="X897" s="237"/>
      <c r="Y897" s="237"/>
      <c r="Z897" s="237"/>
    </row>
    <row r="898" spans="1:26">
      <c r="A898" s="238"/>
      <c r="B898" s="237"/>
      <c r="D898" s="237"/>
      <c r="E898" s="237"/>
      <c r="F898" s="237"/>
      <c r="G898" s="237"/>
      <c r="H898" s="237"/>
      <c r="I898" s="237"/>
      <c r="J898" s="237"/>
      <c r="K898" s="237"/>
      <c r="L898" s="237"/>
      <c r="M898" s="237"/>
      <c r="N898" s="237"/>
      <c r="O898" s="237"/>
      <c r="P898" s="237"/>
      <c r="Q898" s="237"/>
      <c r="R898" s="237"/>
      <c r="S898" s="237"/>
      <c r="T898" s="237"/>
      <c r="U898" s="237"/>
      <c r="V898" s="237"/>
      <c r="W898" s="237"/>
      <c r="X898" s="237"/>
      <c r="Y898" s="237"/>
      <c r="Z898" s="237"/>
    </row>
    <row r="899" spans="1:26">
      <c r="A899" s="238"/>
      <c r="B899" s="237"/>
      <c r="D899" s="237"/>
      <c r="E899" s="237"/>
      <c r="F899" s="237"/>
      <c r="G899" s="237"/>
      <c r="H899" s="237"/>
      <c r="I899" s="237"/>
      <c r="J899" s="237"/>
      <c r="K899" s="237"/>
      <c r="L899" s="237"/>
      <c r="M899" s="237"/>
      <c r="N899" s="237"/>
      <c r="O899" s="237"/>
      <c r="P899" s="237"/>
      <c r="Q899" s="237"/>
      <c r="R899" s="237"/>
      <c r="S899" s="237"/>
      <c r="T899" s="237"/>
      <c r="U899" s="237"/>
      <c r="V899" s="237"/>
      <c r="W899" s="237"/>
      <c r="X899" s="237"/>
      <c r="Y899" s="237"/>
      <c r="Z899" s="237"/>
    </row>
    <row r="900" spans="1:26">
      <c r="A900" s="238"/>
      <c r="B900" s="237"/>
      <c r="D900" s="237"/>
      <c r="E900" s="237"/>
      <c r="F900" s="237"/>
      <c r="G900" s="237"/>
      <c r="H900" s="237"/>
      <c r="I900" s="237"/>
      <c r="J900" s="237"/>
      <c r="K900" s="237"/>
      <c r="L900" s="237"/>
      <c r="M900" s="237"/>
      <c r="N900" s="237"/>
      <c r="O900" s="237"/>
      <c r="P900" s="237"/>
      <c r="Q900" s="237"/>
      <c r="R900" s="237"/>
      <c r="S900" s="237"/>
      <c r="T900" s="237"/>
      <c r="U900" s="237"/>
      <c r="V900" s="237"/>
      <c r="W900" s="237"/>
      <c r="X900" s="237"/>
      <c r="Y900" s="237"/>
      <c r="Z900" s="237"/>
    </row>
    <row r="901" spans="1:26">
      <c r="A901" s="238"/>
      <c r="B901" s="237"/>
      <c r="D901" s="237"/>
      <c r="E901" s="237"/>
      <c r="F901" s="237"/>
      <c r="G901" s="237"/>
      <c r="H901" s="237"/>
      <c r="I901" s="237"/>
      <c r="J901" s="237"/>
      <c r="K901" s="237"/>
      <c r="L901" s="237"/>
      <c r="M901" s="237"/>
      <c r="N901" s="237"/>
      <c r="O901" s="237"/>
      <c r="P901" s="237"/>
      <c r="Q901" s="237"/>
      <c r="R901" s="237"/>
      <c r="S901" s="237"/>
      <c r="T901" s="237"/>
      <c r="U901" s="237"/>
      <c r="V901" s="237"/>
      <c r="W901" s="237"/>
      <c r="X901" s="237"/>
      <c r="Y901" s="237"/>
      <c r="Z901" s="237"/>
    </row>
    <row r="902" spans="1:26">
      <c r="A902" s="238"/>
      <c r="B902" s="237"/>
      <c r="D902" s="237"/>
      <c r="E902" s="237"/>
      <c r="F902" s="237"/>
      <c r="G902" s="237"/>
      <c r="H902" s="237"/>
      <c r="I902" s="237"/>
      <c r="J902" s="237"/>
      <c r="K902" s="237"/>
      <c r="L902" s="237"/>
      <c r="M902" s="237"/>
      <c r="N902" s="237"/>
      <c r="O902" s="237"/>
      <c r="P902" s="237"/>
      <c r="Q902" s="237"/>
      <c r="R902" s="237"/>
      <c r="S902" s="237"/>
      <c r="T902" s="237"/>
      <c r="U902" s="237"/>
      <c r="V902" s="237"/>
      <c r="W902" s="237"/>
      <c r="X902" s="237"/>
      <c r="Y902" s="237"/>
      <c r="Z902" s="237"/>
    </row>
    <row r="903" spans="1:26">
      <c r="A903" s="238"/>
      <c r="B903" s="237"/>
      <c r="D903" s="237"/>
      <c r="E903" s="237"/>
      <c r="F903" s="237"/>
      <c r="G903" s="237"/>
      <c r="H903" s="237"/>
      <c r="I903" s="237"/>
      <c r="J903" s="237"/>
      <c r="K903" s="237"/>
      <c r="L903" s="237"/>
      <c r="M903" s="237"/>
      <c r="N903" s="237"/>
      <c r="O903" s="237"/>
      <c r="P903" s="237"/>
      <c r="Q903" s="237"/>
      <c r="R903" s="237"/>
      <c r="S903" s="237"/>
      <c r="T903" s="237"/>
      <c r="U903" s="237"/>
      <c r="V903" s="237"/>
      <c r="W903" s="237"/>
      <c r="X903" s="237"/>
      <c r="Y903" s="237"/>
      <c r="Z903" s="237"/>
    </row>
    <row r="904" spans="1:26">
      <c r="A904" s="238"/>
      <c r="B904" s="237"/>
      <c r="D904" s="237"/>
      <c r="E904" s="237"/>
      <c r="F904" s="237"/>
      <c r="G904" s="237"/>
      <c r="H904" s="237"/>
      <c r="I904" s="237"/>
      <c r="J904" s="237"/>
      <c r="K904" s="237"/>
      <c r="L904" s="237"/>
      <c r="M904" s="237"/>
      <c r="N904" s="237"/>
      <c r="O904" s="237"/>
      <c r="P904" s="237"/>
      <c r="Q904" s="237"/>
      <c r="R904" s="237"/>
      <c r="S904" s="237"/>
      <c r="T904" s="237"/>
      <c r="U904" s="237"/>
      <c r="V904" s="237"/>
      <c r="W904" s="237"/>
      <c r="X904" s="237"/>
      <c r="Y904" s="237"/>
      <c r="Z904" s="237"/>
    </row>
    <row r="905" spans="1:26">
      <c r="A905" s="238"/>
      <c r="B905" s="237"/>
      <c r="D905" s="237"/>
      <c r="E905" s="237"/>
      <c r="F905" s="237"/>
      <c r="G905" s="237"/>
      <c r="H905" s="237"/>
      <c r="I905" s="237"/>
      <c r="J905" s="237"/>
      <c r="K905" s="237"/>
      <c r="L905" s="237"/>
      <c r="M905" s="237"/>
      <c r="N905" s="237"/>
      <c r="O905" s="237"/>
      <c r="P905" s="237"/>
      <c r="Q905" s="237"/>
      <c r="R905" s="237"/>
      <c r="S905" s="237"/>
      <c r="T905" s="237"/>
      <c r="U905" s="237"/>
      <c r="V905" s="237"/>
      <c r="W905" s="237"/>
      <c r="X905" s="237"/>
      <c r="Y905" s="237"/>
      <c r="Z905" s="237"/>
    </row>
    <row r="906" spans="1:26">
      <c r="A906" s="238"/>
      <c r="B906" s="237"/>
      <c r="D906" s="237"/>
      <c r="E906" s="237"/>
      <c r="F906" s="237"/>
      <c r="G906" s="237"/>
      <c r="H906" s="237"/>
      <c r="I906" s="237"/>
      <c r="J906" s="237"/>
      <c r="K906" s="237"/>
      <c r="L906" s="237"/>
      <c r="M906" s="237"/>
      <c r="N906" s="237"/>
      <c r="O906" s="237"/>
      <c r="P906" s="237"/>
      <c r="Q906" s="237"/>
      <c r="R906" s="237"/>
      <c r="S906" s="237"/>
      <c r="T906" s="237"/>
      <c r="U906" s="237"/>
      <c r="V906" s="237"/>
      <c r="W906" s="237"/>
      <c r="X906" s="237"/>
      <c r="Y906" s="237"/>
      <c r="Z906" s="237"/>
    </row>
    <row r="907" spans="1:26">
      <c r="A907" s="238"/>
      <c r="B907" s="237"/>
      <c r="D907" s="237"/>
      <c r="E907" s="237"/>
      <c r="F907" s="237"/>
      <c r="G907" s="237"/>
      <c r="H907" s="237"/>
      <c r="I907" s="237"/>
      <c r="J907" s="237"/>
      <c r="K907" s="237"/>
      <c r="L907" s="237"/>
      <c r="M907" s="237"/>
      <c r="N907" s="237"/>
      <c r="O907" s="237"/>
      <c r="P907" s="237"/>
      <c r="Q907" s="237"/>
      <c r="R907" s="237"/>
      <c r="S907" s="237"/>
      <c r="T907" s="237"/>
      <c r="U907" s="237"/>
      <c r="V907" s="237"/>
      <c r="W907" s="237"/>
      <c r="X907" s="237"/>
      <c r="Y907" s="237"/>
      <c r="Z907" s="237"/>
    </row>
    <row r="908" spans="1:26">
      <c r="A908" s="238"/>
      <c r="B908" s="237"/>
      <c r="D908" s="237"/>
      <c r="E908" s="237"/>
      <c r="F908" s="237"/>
      <c r="G908" s="237"/>
      <c r="H908" s="237"/>
      <c r="I908" s="237"/>
      <c r="J908" s="237"/>
      <c r="K908" s="237"/>
      <c r="L908" s="237"/>
      <c r="M908" s="237"/>
      <c r="N908" s="237"/>
      <c r="O908" s="237"/>
      <c r="P908" s="237"/>
      <c r="Q908" s="237"/>
      <c r="R908" s="237"/>
      <c r="S908" s="237"/>
      <c r="T908" s="237"/>
      <c r="U908" s="237"/>
      <c r="V908" s="237"/>
      <c r="W908" s="237"/>
      <c r="X908" s="237"/>
      <c r="Y908" s="237"/>
      <c r="Z908" s="237"/>
    </row>
    <row r="909" spans="1:26">
      <c r="A909" s="238"/>
      <c r="B909" s="237"/>
      <c r="D909" s="237"/>
      <c r="E909" s="237"/>
      <c r="F909" s="237"/>
      <c r="G909" s="237"/>
      <c r="H909" s="237"/>
      <c r="I909" s="237"/>
      <c r="J909" s="237"/>
      <c r="K909" s="237"/>
      <c r="L909" s="237"/>
      <c r="M909" s="237"/>
      <c r="N909" s="237"/>
      <c r="O909" s="237"/>
      <c r="P909" s="237"/>
      <c r="Q909" s="237"/>
      <c r="R909" s="237"/>
      <c r="S909" s="237"/>
      <c r="T909" s="237"/>
      <c r="U909" s="237"/>
      <c r="V909" s="237"/>
      <c r="W909" s="237"/>
      <c r="X909" s="237"/>
      <c r="Y909" s="237"/>
      <c r="Z909" s="237"/>
    </row>
    <row r="910" spans="1:26">
      <c r="A910" s="238"/>
      <c r="B910" s="237"/>
      <c r="D910" s="237"/>
      <c r="E910" s="237"/>
      <c r="F910" s="237"/>
      <c r="G910" s="237"/>
      <c r="H910" s="237"/>
      <c r="I910" s="237"/>
      <c r="J910" s="237"/>
      <c r="K910" s="237"/>
      <c r="L910" s="237"/>
      <c r="M910" s="237"/>
      <c r="N910" s="237"/>
      <c r="O910" s="237"/>
      <c r="P910" s="237"/>
      <c r="Q910" s="237"/>
      <c r="R910" s="237"/>
      <c r="S910" s="237"/>
      <c r="T910" s="237"/>
      <c r="U910" s="237"/>
      <c r="V910" s="237"/>
      <c r="W910" s="237"/>
      <c r="X910" s="237"/>
      <c r="Y910" s="237"/>
      <c r="Z910" s="237"/>
    </row>
    <row r="911" spans="1:26">
      <c r="A911" s="238"/>
      <c r="B911" s="237"/>
      <c r="D911" s="237"/>
      <c r="E911" s="237"/>
      <c r="F911" s="237"/>
      <c r="G911" s="237"/>
      <c r="H911" s="237"/>
      <c r="I911" s="237"/>
      <c r="J911" s="237"/>
      <c r="K911" s="237"/>
      <c r="L911" s="237"/>
      <c r="M911" s="237"/>
      <c r="N911" s="237"/>
      <c r="O911" s="237"/>
      <c r="P911" s="237"/>
      <c r="Q911" s="237"/>
      <c r="R911" s="237"/>
      <c r="S911" s="237"/>
      <c r="T911" s="237"/>
      <c r="U911" s="237"/>
      <c r="V911" s="237"/>
      <c r="W911" s="237"/>
      <c r="X911" s="237"/>
      <c r="Y911" s="237"/>
      <c r="Z911" s="237"/>
    </row>
    <row r="912" spans="1:26">
      <c r="A912" s="238"/>
      <c r="B912" s="237"/>
      <c r="D912" s="237"/>
      <c r="E912" s="237"/>
      <c r="F912" s="237"/>
      <c r="G912" s="237"/>
      <c r="H912" s="237"/>
      <c r="I912" s="237"/>
      <c r="J912" s="237"/>
      <c r="K912" s="237"/>
      <c r="L912" s="237"/>
      <c r="M912" s="237"/>
      <c r="N912" s="237"/>
      <c r="O912" s="237"/>
      <c r="P912" s="237"/>
      <c r="Q912" s="237"/>
      <c r="R912" s="237"/>
      <c r="S912" s="237"/>
      <c r="T912" s="237"/>
      <c r="U912" s="237"/>
      <c r="V912" s="237"/>
      <c r="W912" s="237"/>
      <c r="X912" s="237"/>
      <c r="Y912" s="237"/>
      <c r="Z912" s="237"/>
    </row>
    <row r="913" spans="1:26">
      <c r="A913" s="238"/>
      <c r="B913" s="237"/>
      <c r="D913" s="237"/>
      <c r="E913" s="237"/>
      <c r="F913" s="237"/>
      <c r="G913" s="237"/>
      <c r="H913" s="237"/>
      <c r="I913" s="237"/>
      <c r="J913" s="237"/>
      <c r="K913" s="237"/>
      <c r="L913" s="237"/>
      <c r="M913" s="237"/>
      <c r="N913" s="237"/>
      <c r="O913" s="237"/>
      <c r="P913" s="237"/>
      <c r="Q913" s="237"/>
      <c r="R913" s="237"/>
      <c r="S913" s="237"/>
      <c r="T913" s="237"/>
      <c r="U913" s="237"/>
      <c r="V913" s="237"/>
      <c r="W913" s="237"/>
      <c r="X913" s="237"/>
      <c r="Y913" s="237"/>
      <c r="Z913" s="237"/>
    </row>
    <row r="914" spans="1:26">
      <c r="A914" s="238"/>
      <c r="B914" s="237"/>
      <c r="D914" s="237"/>
      <c r="E914" s="237"/>
      <c r="F914" s="237"/>
      <c r="G914" s="237"/>
      <c r="H914" s="237"/>
      <c r="I914" s="237"/>
      <c r="J914" s="237"/>
      <c r="K914" s="237"/>
      <c r="L914" s="237"/>
      <c r="M914" s="237"/>
      <c r="N914" s="237"/>
      <c r="O914" s="237"/>
      <c r="P914" s="237"/>
      <c r="Q914" s="237"/>
      <c r="R914" s="237"/>
      <c r="S914" s="237"/>
      <c r="T914" s="237"/>
      <c r="U914" s="237"/>
      <c r="V914" s="237"/>
      <c r="W914" s="237"/>
      <c r="X914" s="237"/>
      <c r="Y914" s="237"/>
      <c r="Z914" s="237"/>
    </row>
    <row r="915" spans="1:26">
      <c r="A915" s="238"/>
      <c r="B915" s="237"/>
      <c r="D915" s="237"/>
      <c r="E915" s="237"/>
      <c r="F915" s="237"/>
      <c r="G915" s="237"/>
      <c r="H915" s="237"/>
      <c r="I915" s="237"/>
      <c r="J915" s="237"/>
      <c r="K915" s="237"/>
      <c r="L915" s="237"/>
      <c r="M915" s="237"/>
      <c r="N915" s="237"/>
      <c r="O915" s="237"/>
      <c r="P915" s="237"/>
      <c r="Q915" s="237"/>
      <c r="R915" s="237"/>
      <c r="S915" s="237"/>
      <c r="T915" s="237"/>
      <c r="U915" s="237"/>
      <c r="V915" s="237"/>
      <c r="W915" s="237"/>
      <c r="X915" s="237"/>
      <c r="Y915" s="237"/>
      <c r="Z915" s="237"/>
    </row>
    <row r="916" spans="1:26">
      <c r="A916" s="238"/>
      <c r="B916" s="237"/>
      <c r="D916" s="237"/>
      <c r="E916" s="237"/>
      <c r="F916" s="237"/>
      <c r="G916" s="237"/>
      <c r="H916" s="237"/>
      <c r="I916" s="237"/>
      <c r="J916" s="237"/>
      <c r="K916" s="237"/>
      <c r="L916" s="237"/>
      <c r="M916" s="237"/>
      <c r="N916" s="237"/>
      <c r="O916" s="237"/>
      <c r="P916" s="237"/>
      <c r="Q916" s="237"/>
      <c r="R916" s="237"/>
      <c r="S916" s="237"/>
      <c r="T916" s="237"/>
      <c r="U916" s="237"/>
      <c r="V916" s="237"/>
      <c r="W916" s="237"/>
      <c r="X916" s="237"/>
      <c r="Y916" s="237"/>
      <c r="Z916" s="237"/>
    </row>
    <row r="917" spans="1:26">
      <c r="A917" s="238"/>
      <c r="B917" s="237"/>
      <c r="D917" s="237"/>
      <c r="E917" s="237"/>
      <c r="F917" s="237"/>
      <c r="G917" s="237"/>
      <c r="H917" s="237"/>
      <c r="I917" s="237"/>
      <c r="J917" s="237"/>
      <c r="K917" s="237"/>
      <c r="L917" s="237"/>
      <c r="M917" s="237"/>
      <c r="N917" s="237"/>
      <c r="O917" s="237"/>
      <c r="P917" s="237"/>
      <c r="Q917" s="237"/>
      <c r="R917" s="237"/>
      <c r="S917" s="237"/>
      <c r="T917" s="237"/>
      <c r="U917" s="237"/>
      <c r="V917" s="237"/>
      <c r="W917" s="237"/>
      <c r="X917" s="237"/>
      <c r="Y917" s="237"/>
      <c r="Z917" s="237"/>
    </row>
    <row r="918" spans="1:26">
      <c r="A918" s="238"/>
      <c r="B918" s="237"/>
      <c r="D918" s="237"/>
      <c r="E918" s="237"/>
      <c r="F918" s="237"/>
      <c r="G918" s="237"/>
      <c r="H918" s="237"/>
      <c r="I918" s="237"/>
      <c r="J918" s="237"/>
      <c r="K918" s="237"/>
      <c r="L918" s="237"/>
      <c r="M918" s="237"/>
      <c r="N918" s="237"/>
      <c r="O918" s="237"/>
      <c r="P918" s="237"/>
      <c r="Q918" s="237"/>
      <c r="R918" s="237"/>
      <c r="S918" s="237"/>
      <c r="T918" s="237"/>
      <c r="U918" s="237"/>
      <c r="V918" s="237"/>
      <c r="W918" s="237"/>
      <c r="X918" s="237"/>
      <c r="Y918" s="237"/>
      <c r="Z918" s="237"/>
    </row>
    <row r="919" spans="1:26">
      <c r="A919" s="238"/>
      <c r="B919" s="237"/>
      <c r="D919" s="237"/>
      <c r="E919" s="237"/>
      <c r="F919" s="237"/>
      <c r="G919" s="237"/>
      <c r="H919" s="237"/>
      <c r="I919" s="237"/>
      <c r="J919" s="237"/>
      <c r="K919" s="237"/>
      <c r="L919" s="237"/>
      <c r="M919" s="237"/>
      <c r="N919" s="237"/>
      <c r="O919" s="237"/>
      <c r="P919" s="237"/>
      <c r="Q919" s="237"/>
      <c r="R919" s="237"/>
      <c r="S919" s="237"/>
      <c r="T919" s="237"/>
      <c r="U919" s="237"/>
      <c r="V919" s="237"/>
      <c r="W919" s="237"/>
      <c r="X919" s="237"/>
      <c r="Y919" s="237"/>
      <c r="Z919" s="237"/>
    </row>
    <row r="920" spans="1:26">
      <c r="A920" s="238"/>
      <c r="B920" s="237"/>
      <c r="D920" s="237"/>
      <c r="E920" s="237"/>
      <c r="F920" s="237"/>
      <c r="G920" s="237"/>
      <c r="H920" s="237"/>
      <c r="I920" s="237"/>
      <c r="J920" s="237"/>
      <c r="K920" s="237"/>
      <c r="L920" s="237"/>
      <c r="M920" s="237"/>
      <c r="N920" s="237"/>
      <c r="O920" s="237"/>
      <c r="P920" s="237"/>
      <c r="Q920" s="237"/>
      <c r="R920" s="237"/>
      <c r="S920" s="237"/>
      <c r="T920" s="237"/>
      <c r="U920" s="237"/>
      <c r="V920" s="237"/>
      <c r="W920" s="237"/>
      <c r="X920" s="237"/>
      <c r="Y920" s="237"/>
      <c r="Z920" s="237"/>
    </row>
    <row r="921" spans="1:26">
      <c r="A921" s="238"/>
      <c r="B921" s="237"/>
      <c r="D921" s="237"/>
      <c r="E921" s="237"/>
      <c r="F921" s="237"/>
      <c r="G921" s="237"/>
      <c r="H921" s="237"/>
      <c r="I921" s="237"/>
      <c r="J921" s="237"/>
      <c r="K921" s="237"/>
      <c r="L921" s="237"/>
      <c r="M921" s="237"/>
      <c r="N921" s="237"/>
      <c r="O921" s="237"/>
      <c r="P921" s="237"/>
      <c r="Q921" s="237"/>
      <c r="R921" s="237"/>
      <c r="S921" s="237"/>
      <c r="T921" s="237"/>
      <c r="U921" s="237"/>
      <c r="V921" s="237"/>
      <c r="W921" s="237"/>
      <c r="X921" s="237"/>
      <c r="Y921" s="237"/>
      <c r="Z921" s="237"/>
    </row>
    <row r="922" spans="1:26">
      <c r="A922" s="238"/>
      <c r="B922" s="237"/>
      <c r="D922" s="237"/>
      <c r="E922" s="237"/>
      <c r="F922" s="237"/>
      <c r="G922" s="237"/>
      <c r="H922" s="237"/>
      <c r="I922" s="237"/>
      <c r="J922" s="237"/>
      <c r="K922" s="237"/>
      <c r="L922" s="237"/>
      <c r="M922" s="237"/>
      <c r="N922" s="237"/>
      <c r="O922" s="237"/>
      <c r="P922" s="237"/>
      <c r="Q922" s="237"/>
      <c r="R922" s="237"/>
      <c r="S922" s="237"/>
      <c r="T922" s="237"/>
      <c r="U922" s="237"/>
      <c r="V922" s="237"/>
      <c r="W922" s="237"/>
      <c r="X922" s="237"/>
      <c r="Y922" s="237"/>
      <c r="Z922" s="237"/>
    </row>
    <row r="923" spans="1:26">
      <c r="A923" s="238"/>
      <c r="B923" s="237"/>
      <c r="D923" s="237"/>
      <c r="E923" s="237"/>
      <c r="F923" s="237"/>
      <c r="G923" s="237"/>
      <c r="H923" s="237"/>
      <c r="I923" s="237"/>
      <c r="J923" s="237"/>
      <c r="K923" s="237"/>
      <c r="L923" s="237"/>
      <c r="M923" s="237"/>
      <c r="N923" s="237"/>
      <c r="O923" s="237"/>
      <c r="P923" s="237"/>
      <c r="Q923" s="237"/>
      <c r="R923" s="237"/>
      <c r="S923" s="237"/>
      <c r="T923" s="237"/>
      <c r="U923" s="237"/>
      <c r="V923" s="237"/>
      <c r="W923" s="237"/>
      <c r="X923" s="237"/>
      <c r="Y923" s="237"/>
      <c r="Z923" s="237"/>
    </row>
    <row r="924" spans="1:26">
      <c r="A924" s="238"/>
      <c r="B924" s="237"/>
      <c r="D924" s="237"/>
      <c r="E924" s="237"/>
      <c r="F924" s="237"/>
      <c r="G924" s="237"/>
      <c r="H924" s="237"/>
      <c r="I924" s="237"/>
      <c r="J924" s="237"/>
      <c r="K924" s="237"/>
      <c r="L924" s="237"/>
      <c r="M924" s="237"/>
      <c r="N924" s="237"/>
      <c r="O924" s="237"/>
      <c r="P924" s="237"/>
      <c r="Q924" s="237"/>
      <c r="R924" s="237"/>
      <c r="S924" s="237"/>
      <c r="T924" s="237"/>
      <c r="U924" s="237"/>
      <c r="V924" s="237"/>
      <c r="W924" s="237"/>
      <c r="X924" s="237"/>
      <c r="Y924" s="237"/>
      <c r="Z924" s="237"/>
    </row>
    <row r="925" spans="1:26">
      <c r="A925" s="238"/>
      <c r="B925" s="237"/>
      <c r="D925" s="237"/>
      <c r="E925" s="237"/>
      <c r="F925" s="237"/>
      <c r="G925" s="237"/>
      <c r="H925" s="237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7"/>
      <c r="W925" s="237"/>
      <c r="X925" s="237"/>
      <c r="Y925" s="237"/>
      <c r="Z925" s="237"/>
    </row>
    <row r="926" spans="1:26">
      <c r="A926" s="238"/>
      <c r="B926" s="237"/>
      <c r="D926" s="237"/>
      <c r="E926" s="237"/>
      <c r="F926" s="237"/>
      <c r="G926" s="237"/>
      <c r="H926" s="237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7"/>
      <c r="W926" s="237"/>
      <c r="X926" s="237"/>
      <c r="Y926" s="237"/>
      <c r="Z926" s="237"/>
    </row>
    <row r="927" spans="1:26">
      <c r="A927" s="238"/>
      <c r="B927" s="237"/>
      <c r="D927" s="237"/>
      <c r="E927" s="237"/>
      <c r="F927" s="237"/>
      <c r="G927" s="237"/>
      <c r="H927" s="237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7"/>
      <c r="W927" s="237"/>
      <c r="X927" s="237"/>
      <c r="Y927" s="237"/>
      <c r="Z927" s="237"/>
    </row>
    <row r="928" spans="1:26">
      <c r="A928" s="238"/>
      <c r="B928" s="237"/>
      <c r="D928" s="237"/>
      <c r="E928" s="237"/>
      <c r="F928" s="237"/>
      <c r="G928" s="237"/>
      <c r="H928" s="237"/>
      <c r="I928" s="237"/>
      <c r="J928" s="237"/>
      <c r="K928" s="237"/>
      <c r="L928" s="237"/>
      <c r="M928" s="237"/>
      <c r="N928" s="237"/>
      <c r="O928" s="237"/>
      <c r="P928" s="237"/>
      <c r="Q928" s="237"/>
      <c r="R928" s="237"/>
      <c r="S928" s="237"/>
      <c r="T928" s="237"/>
      <c r="U928" s="237"/>
      <c r="V928" s="237"/>
      <c r="W928" s="237"/>
      <c r="X928" s="237"/>
      <c r="Y928" s="237"/>
      <c r="Z928" s="237"/>
    </row>
    <row r="929" spans="1:26">
      <c r="A929" s="238"/>
      <c r="B929" s="237"/>
      <c r="D929" s="237"/>
      <c r="E929" s="237"/>
      <c r="F929" s="237"/>
      <c r="G929" s="237"/>
      <c r="H929" s="237"/>
      <c r="I929" s="237"/>
      <c r="J929" s="237"/>
      <c r="K929" s="237"/>
      <c r="L929" s="237"/>
      <c r="M929" s="237"/>
      <c r="N929" s="237"/>
      <c r="O929" s="237"/>
      <c r="P929" s="237"/>
      <c r="Q929" s="237"/>
      <c r="R929" s="237"/>
      <c r="S929" s="237"/>
      <c r="T929" s="237"/>
      <c r="U929" s="237"/>
      <c r="V929" s="237"/>
      <c r="W929" s="237"/>
      <c r="X929" s="237"/>
      <c r="Y929" s="237"/>
      <c r="Z929" s="237"/>
    </row>
    <row r="930" spans="1:26">
      <c r="A930" s="238"/>
      <c r="B930" s="237"/>
      <c r="D930" s="237"/>
      <c r="E930" s="237"/>
      <c r="F930" s="237"/>
      <c r="G930" s="237"/>
      <c r="H930" s="237"/>
      <c r="I930" s="237"/>
      <c r="J930" s="237"/>
      <c r="K930" s="237"/>
      <c r="L930" s="237"/>
      <c r="M930" s="237"/>
      <c r="N930" s="237"/>
      <c r="O930" s="237"/>
      <c r="P930" s="237"/>
      <c r="Q930" s="237"/>
      <c r="R930" s="237"/>
      <c r="S930" s="237"/>
      <c r="T930" s="237"/>
      <c r="U930" s="237"/>
      <c r="V930" s="237"/>
      <c r="W930" s="237"/>
      <c r="X930" s="237"/>
      <c r="Y930" s="237"/>
      <c r="Z930" s="237"/>
    </row>
    <row r="931" spans="1:26">
      <c r="A931" s="238"/>
      <c r="B931" s="237"/>
      <c r="D931" s="237"/>
      <c r="E931" s="237"/>
      <c r="F931" s="237"/>
      <c r="G931" s="237"/>
      <c r="H931" s="237"/>
      <c r="I931" s="237"/>
      <c r="J931" s="237"/>
      <c r="K931" s="237"/>
      <c r="L931" s="237"/>
      <c r="M931" s="237"/>
      <c r="N931" s="237"/>
      <c r="O931" s="237"/>
      <c r="P931" s="237"/>
      <c r="Q931" s="237"/>
      <c r="R931" s="237"/>
      <c r="S931" s="237"/>
      <c r="T931" s="237"/>
      <c r="U931" s="237"/>
      <c r="V931" s="237"/>
      <c r="W931" s="237"/>
      <c r="X931" s="237"/>
      <c r="Y931" s="237"/>
      <c r="Z931" s="237"/>
    </row>
    <row r="932" spans="1:26">
      <c r="A932" s="238"/>
      <c r="B932" s="237"/>
      <c r="D932" s="237"/>
      <c r="E932" s="237"/>
      <c r="F932" s="237"/>
      <c r="G932" s="237"/>
      <c r="H932" s="237"/>
      <c r="I932" s="237"/>
      <c r="J932" s="237"/>
      <c r="K932" s="237"/>
      <c r="L932" s="237"/>
      <c r="M932" s="237"/>
      <c r="N932" s="237"/>
      <c r="O932" s="237"/>
      <c r="P932" s="237"/>
      <c r="Q932" s="237"/>
      <c r="R932" s="237"/>
      <c r="S932" s="237"/>
      <c r="T932" s="237"/>
      <c r="U932" s="237"/>
      <c r="V932" s="237"/>
      <c r="W932" s="237"/>
      <c r="X932" s="237"/>
      <c r="Y932" s="237"/>
      <c r="Z932" s="237"/>
    </row>
    <row r="933" spans="1:26">
      <c r="A933" s="238"/>
      <c r="B933" s="237"/>
      <c r="D933" s="237"/>
      <c r="E933" s="237"/>
      <c r="F933" s="237"/>
      <c r="G933" s="237"/>
      <c r="H933" s="237"/>
      <c r="I933" s="237"/>
      <c r="J933" s="237"/>
      <c r="K933" s="237"/>
      <c r="L933" s="237"/>
      <c r="M933" s="237"/>
      <c r="N933" s="237"/>
      <c r="O933" s="237"/>
      <c r="P933" s="237"/>
      <c r="Q933" s="237"/>
      <c r="R933" s="237"/>
      <c r="S933" s="237"/>
      <c r="T933" s="237"/>
      <c r="U933" s="237"/>
      <c r="V933" s="237"/>
      <c r="W933" s="237"/>
      <c r="X933" s="237"/>
      <c r="Y933" s="237"/>
      <c r="Z933" s="237"/>
    </row>
    <row r="934" spans="1:26">
      <c r="A934" s="238"/>
      <c r="B934" s="237"/>
      <c r="D934" s="237"/>
      <c r="E934" s="237"/>
      <c r="F934" s="237"/>
      <c r="G934" s="237"/>
      <c r="H934" s="237"/>
      <c r="I934" s="237"/>
      <c r="J934" s="237"/>
      <c r="K934" s="237"/>
      <c r="L934" s="237"/>
      <c r="M934" s="237"/>
      <c r="N934" s="237"/>
      <c r="O934" s="237"/>
      <c r="P934" s="237"/>
      <c r="Q934" s="237"/>
      <c r="R934" s="237"/>
      <c r="S934" s="237"/>
      <c r="T934" s="237"/>
      <c r="U934" s="237"/>
      <c r="V934" s="237"/>
      <c r="W934" s="237"/>
      <c r="X934" s="237"/>
      <c r="Y934" s="237"/>
      <c r="Z934" s="237"/>
    </row>
    <row r="935" spans="1:26">
      <c r="A935" s="238"/>
      <c r="B935" s="237"/>
      <c r="D935" s="237"/>
      <c r="E935" s="237"/>
      <c r="F935" s="237"/>
      <c r="G935" s="237"/>
      <c r="H935" s="237"/>
      <c r="I935" s="237"/>
      <c r="J935" s="237"/>
      <c r="K935" s="237"/>
      <c r="L935" s="237"/>
      <c r="M935" s="237"/>
      <c r="N935" s="237"/>
      <c r="O935" s="237"/>
      <c r="P935" s="237"/>
      <c r="Q935" s="237"/>
      <c r="R935" s="237"/>
      <c r="S935" s="237"/>
      <c r="T935" s="237"/>
      <c r="U935" s="237"/>
      <c r="V935" s="237"/>
      <c r="W935" s="237"/>
      <c r="X935" s="237"/>
      <c r="Y935" s="237"/>
      <c r="Z935" s="237"/>
    </row>
    <row r="936" spans="1:26">
      <c r="A936" s="238"/>
      <c r="B936" s="237"/>
      <c r="D936" s="237"/>
      <c r="E936" s="237"/>
      <c r="F936" s="237"/>
      <c r="G936" s="237"/>
      <c r="H936" s="237"/>
      <c r="I936" s="237"/>
      <c r="J936" s="237"/>
      <c r="K936" s="237"/>
      <c r="L936" s="237"/>
      <c r="M936" s="237"/>
      <c r="N936" s="237"/>
      <c r="O936" s="237"/>
      <c r="P936" s="237"/>
      <c r="Q936" s="237"/>
      <c r="R936" s="237"/>
      <c r="S936" s="237"/>
      <c r="T936" s="237"/>
      <c r="U936" s="237"/>
      <c r="V936" s="237"/>
      <c r="W936" s="237"/>
      <c r="X936" s="237"/>
      <c r="Y936" s="237"/>
      <c r="Z936" s="237"/>
    </row>
    <row r="937" spans="1:26">
      <c r="A937" s="238"/>
      <c r="B937" s="237"/>
      <c r="D937" s="237"/>
      <c r="E937" s="237"/>
      <c r="F937" s="237"/>
      <c r="G937" s="237"/>
      <c r="H937" s="237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7"/>
      <c r="W937" s="237"/>
      <c r="X937" s="237"/>
      <c r="Y937" s="237"/>
      <c r="Z937" s="237"/>
    </row>
    <row r="938" spans="1:26">
      <c r="A938" s="238"/>
      <c r="B938" s="237"/>
      <c r="D938" s="237"/>
      <c r="E938" s="237"/>
      <c r="F938" s="237"/>
      <c r="G938" s="237"/>
      <c r="H938" s="237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7"/>
      <c r="W938" s="237"/>
      <c r="X938" s="237"/>
      <c r="Y938" s="237"/>
      <c r="Z938" s="237"/>
    </row>
    <row r="939" spans="1:26">
      <c r="A939" s="238"/>
      <c r="B939" s="237"/>
      <c r="D939" s="237"/>
      <c r="E939" s="237"/>
      <c r="F939" s="237"/>
      <c r="G939" s="237"/>
      <c r="H939" s="237"/>
      <c r="I939" s="237"/>
      <c r="J939" s="237"/>
      <c r="K939" s="237"/>
      <c r="L939" s="237"/>
      <c r="M939" s="237"/>
      <c r="N939" s="237"/>
      <c r="O939" s="237"/>
      <c r="P939" s="237"/>
      <c r="Q939" s="237"/>
      <c r="R939" s="237"/>
      <c r="S939" s="237"/>
      <c r="T939" s="237"/>
      <c r="U939" s="237"/>
      <c r="V939" s="237"/>
      <c r="W939" s="237"/>
      <c r="X939" s="237"/>
      <c r="Y939" s="237"/>
      <c r="Z939" s="237"/>
    </row>
    <row r="940" spans="1:26">
      <c r="A940" s="238"/>
      <c r="B940" s="237"/>
      <c r="D940" s="237"/>
      <c r="E940" s="237"/>
      <c r="F940" s="237"/>
      <c r="G940" s="237"/>
      <c r="H940" s="237"/>
      <c r="I940" s="237"/>
      <c r="J940" s="237"/>
      <c r="K940" s="237"/>
      <c r="L940" s="237"/>
      <c r="M940" s="237"/>
      <c r="N940" s="237"/>
      <c r="O940" s="237"/>
      <c r="P940" s="237"/>
      <c r="Q940" s="237"/>
      <c r="R940" s="237"/>
      <c r="S940" s="237"/>
      <c r="T940" s="237"/>
      <c r="U940" s="237"/>
      <c r="V940" s="237"/>
      <c r="W940" s="237"/>
      <c r="X940" s="237"/>
      <c r="Y940" s="237"/>
      <c r="Z940" s="237"/>
    </row>
    <row r="941" spans="1:26">
      <c r="A941" s="238"/>
      <c r="B941" s="237"/>
      <c r="D941" s="237"/>
      <c r="E941" s="237"/>
      <c r="F941" s="237"/>
      <c r="G941" s="237"/>
      <c r="H941" s="237"/>
      <c r="I941" s="237"/>
      <c r="J941" s="237"/>
      <c r="K941" s="237"/>
      <c r="L941" s="237"/>
      <c r="M941" s="237"/>
      <c r="N941" s="237"/>
      <c r="O941" s="237"/>
      <c r="P941" s="237"/>
      <c r="Q941" s="237"/>
      <c r="R941" s="237"/>
      <c r="S941" s="237"/>
      <c r="T941" s="237"/>
      <c r="U941" s="237"/>
      <c r="V941" s="237"/>
      <c r="W941" s="237"/>
      <c r="X941" s="237"/>
      <c r="Y941" s="237"/>
      <c r="Z941" s="237"/>
    </row>
    <row r="942" spans="1:26">
      <c r="A942" s="238"/>
      <c r="B942" s="237"/>
      <c r="D942" s="237"/>
      <c r="E942" s="237"/>
      <c r="F942" s="237"/>
      <c r="G942" s="237"/>
      <c r="H942" s="237"/>
      <c r="I942" s="237"/>
      <c r="J942" s="237"/>
      <c r="K942" s="237"/>
      <c r="L942" s="237"/>
      <c r="M942" s="237"/>
      <c r="N942" s="237"/>
      <c r="O942" s="237"/>
      <c r="P942" s="237"/>
      <c r="Q942" s="237"/>
      <c r="R942" s="237"/>
      <c r="S942" s="237"/>
      <c r="T942" s="237"/>
      <c r="U942" s="237"/>
      <c r="V942" s="237"/>
      <c r="W942" s="237"/>
      <c r="X942" s="237"/>
      <c r="Y942" s="237"/>
      <c r="Z942" s="237"/>
    </row>
    <row r="943" spans="1:26">
      <c r="A943" s="238"/>
      <c r="B943" s="237"/>
      <c r="D943" s="237"/>
      <c r="E943" s="237"/>
      <c r="F943" s="237"/>
      <c r="G943" s="237"/>
      <c r="H943" s="237"/>
      <c r="I943" s="237"/>
      <c r="J943" s="237"/>
      <c r="K943" s="237"/>
      <c r="L943" s="237"/>
      <c r="M943" s="237"/>
      <c r="N943" s="237"/>
      <c r="O943" s="237"/>
      <c r="P943" s="237"/>
      <c r="Q943" s="237"/>
      <c r="R943" s="237"/>
      <c r="S943" s="237"/>
      <c r="T943" s="237"/>
      <c r="U943" s="237"/>
      <c r="V943" s="237"/>
      <c r="W943" s="237"/>
      <c r="X943" s="237"/>
      <c r="Y943" s="237"/>
      <c r="Z943" s="237"/>
    </row>
    <row r="944" spans="1:26">
      <c r="A944" s="238"/>
      <c r="B944" s="237"/>
      <c r="D944" s="237"/>
      <c r="E944" s="237"/>
      <c r="F944" s="237"/>
      <c r="G944" s="237"/>
      <c r="H944" s="237"/>
      <c r="I944" s="237"/>
      <c r="J944" s="237"/>
      <c r="K944" s="237"/>
      <c r="L944" s="237"/>
      <c r="M944" s="237"/>
      <c r="N944" s="237"/>
      <c r="O944" s="237"/>
      <c r="P944" s="237"/>
      <c r="Q944" s="237"/>
      <c r="R944" s="237"/>
      <c r="S944" s="237"/>
      <c r="T944" s="237"/>
      <c r="U944" s="237"/>
      <c r="V944" s="237"/>
      <c r="W944" s="237"/>
      <c r="X944" s="237"/>
      <c r="Y944" s="237"/>
      <c r="Z944" s="237"/>
    </row>
    <row r="945" spans="1:26">
      <c r="A945" s="238"/>
      <c r="B945" s="237"/>
      <c r="D945" s="237"/>
      <c r="E945" s="237"/>
      <c r="F945" s="237"/>
      <c r="G945" s="237"/>
      <c r="H945" s="237"/>
      <c r="I945" s="237"/>
      <c r="J945" s="237"/>
      <c r="K945" s="237"/>
      <c r="L945" s="237"/>
      <c r="M945" s="237"/>
      <c r="N945" s="237"/>
      <c r="O945" s="237"/>
      <c r="P945" s="237"/>
      <c r="Q945" s="237"/>
      <c r="R945" s="237"/>
      <c r="S945" s="237"/>
      <c r="T945" s="237"/>
      <c r="U945" s="237"/>
      <c r="V945" s="237"/>
      <c r="W945" s="237"/>
      <c r="X945" s="237"/>
      <c r="Y945" s="237"/>
      <c r="Z945" s="237"/>
    </row>
    <row r="946" spans="1:26">
      <c r="A946" s="238"/>
      <c r="B946" s="237"/>
      <c r="D946" s="237"/>
      <c r="E946" s="237"/>
      <c r="F946" s="237"/>
      <c r="G946" s="237"/>
      <c r="H946" s="237"/>
      <c r="I946" s="237"/>
      <c r="J946" s="237"/>
      <c r="K946" s="237"/>
      <c r="L946" s="237"/>
      <c r="M946" s="237"/>
      <c r="N946" s="237"/>
      <c r="O946" s="237"/>
      <c r="P946" s="237"/>
      <c r="Q946" s="237"/>
      <c r="R946" s="237"/>
      <c r="S946" s="237"/>
      <c r="T946" s="237"/>
      <c r="U946" s="237"/>
      <c r="V946" s="237"/>
      <c r="W946" s="237"/>
      <c r="X946" s="237"/>
      <c r="Y946" s="237"/>
      <c r="Z946" s="237"/>
    </row>
    <row r="947" spans="1:26">
      <c r="A947" s="238"/>
      <c r="B947" s="237"/>
      <c r="D947" s="237"/>
      <c r="E947" s="237"/>
      <c r="F947" s="237"/>
      <c r="G947" s="237"/>
      <c r="H947" s="237"/>
      <c r="I947" s="237"/>
      <c r="J947" s="237"/>
      <c r="K947" s="237"/>
      <c r="L947" s="237"/>
      <c r="M947" s="237"/>
      <c r="N947" s="237"/>
      <c r="O947" s="237"/>
      <c r="P947" s="237"/>
      <c r="Q947" s="237"/>
      <c r="R947" s="237"/>
      <c r="S947" s="237"/>
      <c r="T947" s="237"/>
      <c r="U947" s="237"/>
      <c r="V947" s="237"/>
      <c r="W947" s="237"/>
      <c r="X947" s="237"/>
      <c r="Y947" s="237"/>
      <c r="Z947" s="237"/>
    </row>
    <row r="948" spans="1:26">
      <c r="A948" s="238"/>
      <c r="B948" s="237"/>
      <c r="D948" s="237"/>
      <c r="E948" s="237"/>
      <c r="F948" s="237"/>
      <c r="G948" s="237"/>
      <c r="H948" s="237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7"/>
      <c r="W948" s="237"/>
      <c r="X948" s="237"/>
      <c r="Y948" s="237"/>
      <c r="Z948" s="237"/>
    </row>
    <row r="949" spans="1:26">
      <c r="A949" s="238"/>
      <c r="B949" s="237"/>
      <c r="D949" s="237"/>
      <c r="E949" s="237"/>
      <c r="F949" s="237"/>
      <c r="G949" s="237"/>
      <c r="H949" s="237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7"/>
      <c r="W949" s="237"/>
      <c r="X949" s="237"/>
      <c r="Y949" s="237"/>
      <c r="Z949" s="237"/>
    </row>
    <row r="950" spans="1:26">
      <c r="A950" s="238"/>
      <c r="B950" s="237"/>
      <c r="D950" s="237"/>
      <c r="E950" s="237"/>
      <c r="F950" s="237"/>
      <c r="G950" s="237"/>
      <c r="H950" s="237"/>
      <c r="I950" s="237"/>
      <c r="J950" s="237"/>
      <c r="K950" s="237"/>
      <c r="L950" s="237"/>
      <c r="M950" s="237"/>
      <c r="N950" s="237"/>
      <c r="O950" s="237"/>
      <c r="P950" s="237"/>
      <c r="Q950" s="237"/>
      <c r="R950" s="237"/>
      <c r="S950" s="237"/>
      <c r="T950" s="237"/>
      <c r="U950" s="237"/>
      <c r="V950" s="237"/>
      <c r="W950" s="237"/>
      <c r="X950" s="237"/>
      <c r="Y950" s="237"/>
      <c r="Z950" s="237"/>
    </row>
    <row r="951" spans="1:26">
      <c r="A951" s="238"/>
      <c r="B951" s="237"/>
      <c r="D951" s="237"/>
      <c r="E951" s="237"/>
      <c r="F951" s="237"/>
      <c r="G951" s="237"/>
      <c r="H951" s="237"/>
      <c r="I951" s="237"/>
      <c r="J951" s="237"/>
      <c r="K951" s="237"/>
      <c r="L951" s="237"/>
      <c r="M951" s="237"/>
      <c r="N951" s="237"/>
      <c r="O951" s="237"/>
      <c r="P951" s="237"/>
      <c r="Q951" s="237"/>
      <c r="R951" s="237"/>
      <c r="S951" s="237"/>
      <c r="T951" s="237"/>
      <c r="U951" s="237"/>
      <c r="V951" s="237"/>
      <c r="W951" s="237"/>
      <c r="X951" s="237"/>
      <c r="Y951" s="237"/>
      <c r="Z951" s="237"/>
    </row>
    <row r="952" spans="1:26">
      <c r="A952" s="238"/>
      <c r="B952" s="237"/>
      <c r="D952" s="237"/>
      <c r="E952" s="237"/>
      <c r="F952" s="237"/>
      <c r="G952" s="237"/>
      <c r="H952" s="237"/>
      <c r="I952" s="237"/>
      <c r="J952" s="237"/>
      <c r="K952" s="237"/>
      <c r="L952" s="237"/>
      <c r="M952" s="237"/>
      <c r="N952" s="237"/>
      <c r="O952" s="237"/>
      <c r="P952" s="237"/>
      <c r="Q952" s="237"/>
      <c r="R952" s="237"/>
      <c r="S952" s="237"/>
      <c r="T952" s="237"/>
      <c r="U952" s="237"/>
      <c r="V952" s="237"/>
      <c r="W952" s="237"/>
      <c r="X952" s="237"/>
      <c r="Y952" s="237"/>
      <c r="Z952" s="237"/>
    </row>
    <row r="953" spans="1:26">
      <c r="A953" s="238"/>
      <c r="B953" s="237"/>
      <c r="D953" s="237"/>
      <c r="E953" s="237"/>
      <c r="F953" s="237"/>
      <c r="G953" s="237"/>
      <c r="H953" s="237"/>
      <c r="I953" s="237"/>
      <c r="J953" s="237"/>
      <c r="K953" s="237"/>
      <c r="L953" s="237"/>
      <c r="M953" s="237"/>
      <c r="N953" s="237"/>
      <c r="O953" s="237"/>
      <c r="P953" s="237"/>
      <c r="Q953" s="237"/>
      <c r="R953" s="237"/>
      <c r="S953" s="237"/>
      <c r="T953" s="237"/>
      <c r="U953" s="237"/>
      <c r="V953" s="237"/>
      <c r="W953" s="237"/>
      <c r="X953" s="237"/>
      <c r="Y953" s="237"/>
      <c r="Z953" s="237"/>
    </row>
    <row r="954" spans="1:26">
      <c r="A954" s="238"/>
      <c r="B954" s="237"/>
      <c r="D954" s="237"/>
      <c r="E954" s="237"/>
      <c r="F954" s="237"/>
      <c r="G954" s="237"/>
      <c r="H954" s="237"/>
      <c r="I954" s="237"/>
      <c r="J954" s="237"/>
      <c r="K954" s="237"/>
      <c r="L954" s="237"/>
      <c r="M954" s="237"/>
      <c r="N954" s="237"/>
      <c r="O954" s="237"/>
      <c r="P954" s="237"/>
      <c r="Q954" s="237"/>
      <c r="R954" s="237"/>
      <c r="S954" s="237"/>
      <c r="T954" s="237"/>
      <c r="U954" s="237"/>
      <c r="V954" s="237"/>
      <c r="W954" s="237"/>
      <c r="X954" s="237"/>
      <c r="Y954" s="237"/>
      <c r="Z954" s="237"/>
    </row>
    <row r="955" spans="1:26">
      <c r="A955" s="238"/>
      <c r="B955" s="237"/>
      <c r="D955" s="237"/>
      <c r="E955" s="237"/>
      <c r="F955" s="237"/>
      <c r="G955" s="237"/>
      <c r="H955" s="237"/>
      <c r="I955" s="237"/>
      <c r="J955" s="237"/>
      <c r="K955" s="237"/>
      <c r="L955" s="237"/>
      <c r="M955" s="237"/>
      <c r="N955" s="237"/>
      <c r="O955" s="237"/>
      <c r="P955" s="237"/>
      <c r="Q955" s="237"/>
      <c r="R955" s="237"/>
      <c r="S955" s="237"/>
      <c r="T955" s="237"/>
      <c r="U955" s="237"/>
      <c r="V955" s="237"/>
      <c r="W955" s="237"/>
      <c r="X955" s="237"/>
      <c r="Y955" s="237"/>
      <c r="Z955" s="237"/>
    </row>
    <row r="956" spans="1:26">
      <c r="A956" s="238"/>
      <c r="B956" s="237"/>
      <c r="D956" s="237"/>
      <c r="E956" s="237"/>
      <c r="F956" s="237"/>
      <c r="G956" s="237"/>
      <c r="H956" s="237"/>
      <c r="I956" s="237"/>
      <c r="J956" s="237"/>
      <c r="K956" s="237"/>
      <c r="L956" s="237"/>
      <c r="M956" s="237"/>
      <c r="N956" s="237"/>
      <c r="O956" s="237"/>
      <c r="P956" s="237"/>
      <c r="Q956" s="237"/>
      <c r="R956" s="237"/>
      <c r="S956" s="237"/>
      <c r="T956" s="237"/>
      <c r="U956" s="237"/>
      <c r="V956" s="237"/>
      <c r="W956" s="237"/>
      <c r="X956" s="237"/>
      <c r="Y956" s="237"/>
      <c r="Z956" s="237"/>
    </row>
    <row r="957" spans="1:26">
      <c r="A957" s="238"/>
      <c r="B957" s="237"/>
      <c r="D957" s="237"/>
      <c r="E957" s="237"/>
      <c r="F957" s="237"/>
      <c r="G957" s="237"/>
      <c r="H957" s="237"/>
      <c r="I957" s="237"/>
      <c r="J957" s="237"/>
      <c r="K957" s="237"/>
      <c r="L957" s="237"/>
      <c r="M957" s="237"/>
      <c r="N957" s="237"/>
      <c r="O957" s="237"/>
      <c r="P957" s="237"/>
      <c r="Q957" s="237"/>
      <c r="R957" s="237"/>
      <c r="S957" s="237"/>
      <c r="T957" s="237"/>
      <c r="U957" s="237"/>
      <c r="V957" s="237"/>
      <c r="W957" s="237"/>
      <c r="X957" s="237"/>
      <c r="Y957" s="237"/>
      <c r="Z957" s="237"/>
    </row>
    <row r="958" spans="1:26">
      <c r="A958" s="238"/>
      <c r="B958" s="237"/>
      <c r="D958" s="237"/>
      <c r="E958" s="237"/>
      <c r="F958" s="237"/>
      <c r="G958" s="237"/>
      <c r="H958" s="237"/>
      <c r="I958" s="237"/>
      <c r="J958" s="237"/>
      <c r="K958" s="237"/>
      <c r="L958" s="237"/>
      <c r="M958" s="237"/>
      <c r="N958" s="237"/>
      <c r="O958" s="237"/>
      <c r="P958" s="237"/>
      <c r="Q958" s="237"/>
      <c r="R958" s="237"/>
      <c r="S958" s="237"/>
      <c r="T958" s="237"/>
      <c r="U958" s="237"/>
      <c r="V958" s="237"/>
      <c r="W958" s="237"/>
      <c r="X958" s="237"/>
      <c r="Y958" s="237"/>
      <c r="Z958" s="237"/>
    </row>
    <row r="959" spans="1:26">
      <c r="A959" s="238"/>
      <c r="B959" s="237"/>
      <c r="D959" s="237"/>
      <c r="E959" s="237"/>
      <c r="F959" s="237"/>
      <c r="G959" s="237"/>
      <c r="H959" s="237"/>
      <c r="I959" s="237"/>
      <c r="J959" s="237"/>
      <c r="K959" s="237"/>
      <c r="L959" s="237"/>
      <c r="M959" s="237"/>
      <c r="N959" s="237"/>
      <c r="O959" s="237"/>
      <c r="P959" s="237"/>
      <c r="Q959" s="237"/>
      <c r="R959" s="237"/>
      <c r="S959" s="237"/>
      <c r="T959" s="237"/>
      <c r="U959" s="237"/>
      <c r="V959" s="237"/>
      <c r="W959" s="237"/>
      <c r="X959" s="237"/>
      <c r="Y959" s="237"/>
      <c r="Z959" s="237"/>
    </row>
    <row r="960" spans="1:26">
      <c r="A960" s="238"/>
      <c r="B960" s="237"/>
      <c r="D960" s="237"/>
      <c r="E960" s="237"/>
      <c r="F960" s="237"/>
      <c r="G960" s="237"/>
      <c r="H960" s="237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7"/>
      <c r="W960" s="237"/>
      <c r="X960" s="237"/>
      <c r="Y960" s="237"/>
      <c r="Z960" s="237"/>
    </row>
    <row r="961" spans="1:26">
      <c r="A961" s="238"/>
      <c r="B961" s="237"/>
      <c r="D961" s="237"/>
      <c r="E961" s="237"/>
      <c r="F961" s="237"/>
      <c r="G961" s="237"/>
      <c r="H961" s="237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7"/>
      <c r="W961" s="237"/>
      <c r="X961" s="237"/>
      <c r="Y961" s="237"/>
      <c r="Z961" s="237"/>
    </row>
    <row r="962" spans="1:26">
      <c r="A962" s="238"/>
      <c r="B962" s="237"/>
      <c r="D962" s="237"/>
      <c r="E962" s="237"/>
      <c r="F962" s="237"/>
      <c r="G962" s="237"/>
      <c r="H962" s="237"/>
      <c r="I962" s="237"/>
      <c r="J962" s="237"/>
      <c r="K962" s="237"/>
      <c r="L962" s="237"/>
      <c r="M962" s="237"/>
      <c r="N962" s="237"/>
      <c r="O962" s="237"/>
      <c r="P962" s="237"/>
      <c r="Q962" s="237"/>
      <c r="R962" s="237"/>
      <c r="S962" s="237"/>
      <c r="T962" s="237"/>
      <c r="U962" s="237"/>
      <c r="V962" s="237"/>
      <c r="W962" s="237"/>
      <c r="X962" s="237"/>
      <c r="Y962" s="237"/>
      <c r="Z962" s="237"/>
    </row>
    <row r="963" spans="1:26">
      <c r="A963" s="238"/>
      <c r="B963" s="237"/>
      <c r="D963" s="237"/>
      <c r="E963" s="237"/>
      <c r="F963" s="237"/>
      <c r="G963" s="237"/>
      <c r="H963" s="237"/>
      <c r="I963" s="237"/>
      <c r="J963" s="237"/>
      <c r="K963" s="237"/>
      <c r="L963" s="237"/>
      <c r="M963" s="237"/>
      <c r="N963" s="237"/>
      <c r="O963" s="237"/>
      <c r="P963" s="237"/>
      <c r="Q963" s="237"/>
      <c r="R963" s="237"/>
      <c r="S963" s="237"/>
      <c r="T963" s="237"/>
      <c r="U963" s="237"/>
      <c r="V963" s="237"/>
      <c r="W963" s="237"/>
      <c r="X963" s="237"/>
      <c r="Y963" s="237"/>
      <c r="Z963" s="237"/>
    </row>
    <row r="964" spans="1:26">
      <c r="A964" s="238"/>
      <c r="B964" s="237"/>
      <c r="D964" s="237"/>
      <c r="E964" s="237"/>
      <c r="F964" s="237"/>
      <c r="G964" s="237"/>
      <c r="H964" s="237"/>
      <c r="I964" s="237"/>
      <c r="J964" s="237"/>
      <c r="K964" s="237"/>
      <c r="L964" s="237"/>
      <c r="M964" s="237"/>
      <c r="N964" s="237"/>
      <c r="O964" s="237"/>
      <c r="P964" s="237"/>
      <c r="Q964" s="237"/>
      <c r="R964" s="237"/>
      <c r="S964" s="237"/>
      <c r="T964" s="237"/>
      <c r="U964" s="237"/>
      <c r="V964" s="237"/>
      <c r="W964" s="237"/>
      <c r="X964" s="237"/>
      <c r="Y964" s="237"/>
      <c r="Z964" s="237"/>
    </row>
    <row r="965" spans="1:26">
      <c r="A965" s="238"/>
      <c r="B965" s="237"/>
      <c r="D965" s="237"/>
      <c r="E965" s="237"/>
      <c r="F965" s="237"/>
      <c r="G965" s="237"/>
      <c r="H965" s="237"/>
      <c r="I965" s="237"/>
      <c r="J965" s="237"/>
      <c r="K965" s="237"/>
      <c r="L965" s="237"/>
      <c r="M965" s="237"/>
      <c r="N965" s="237"/>
      <c r="O965" s="237"/>
      <c r="P965" s="237"/>
      <c r="Q965" s="237"/>
      <c r="R965" s="237"/>
      <c r="S965" s="237"/>
      <c r="T965" s="237"/>
      <c r="U965" s="237"/>
      <c r="V965" s="237"/>
      <c r="W965" s="237"/>
      <c r="X965" s="237"/>
      <c r="Y965" s="237"/>
      <c r="Z965" s="237"/>
    </row>
    <row r="966" spans="1:26">
      <c r="A966" s="238"/>
      <c r="B966" s="237"/>
      <c r="D966" s="237"/>
      <c r="E966" s="237"/>
      <c r="F966" s="237"/>
      <c r="G966" s="237"/>
      <c r="H966" s="237"/>
      <c r="I966" s="237"/>
      <c r="J966" s="237"/>
      <c r="K966" s="237"/>
      <c r="L966" s="237"/>
      <c r="M966" s="237"/>
      <c r="N966" s="237"/>
      <c r="O966" s="237"/>
      <c r="P966" s="237"/>
      <c r="Q966" s="237"/>
      <c r="R966" s="237"/>
      <c r="S966" s="237"/>
      <c r="T966" s="237"/>
      <c r="U966" s="237"/>
      <c r="V966" s="237"/>
      <c r="W966" s="237"/>
      <c r="X966" s="237"/>
      <c r="Y966" s="237"/>
      <c r="Z966" s="237"/>
    </row>
    <row r="967" spans="1:26">
      <c r="A967" s="238"/>
      <c r="B967" s="237"/>
      <c r="D967" s="237"/>
      <c r="E967" s="237"/>
      <c r="F967" s="237"/>
      <c r="G967" s="237"/>
      <c r="H967" s="237"/>
      <c r="I967" s="237"/>
      <c r="J967" s="237"/>
      <c r="K967" s="237"/>
      <c r="L967" s="237"/>
      <c r="M967" s="237"/>
      <c r="N967" s="237"/>
      <c r="O967" s="237"/>
      <c r="P967" s="237"/>
      <c r="Q967" s="237"/>
      <c r="R967" s="237"/>
      <c r="S967" s="237"/>
      <c r="T967" s="237"/>
      <c r="U967" s="237"/>
      <c r="V967" s="237"/>
      <c r="W967" s="237"/>
      <c r="X967" s="237"/>
      <c r="Y967" s="237"/>
      <c r="Z967" s="237"/>
    </row>
    <row r="968" spans="1:26">
      <c r="A968" s="238"/>
      <c r="B968" s="237"/>
      <c r="D968" s="237"/>
      <c r="E968" s="237"/>
      <c r="F968" s="237"/>
      <c r="G968" s="237"/>
      <c r="H968" s="237"/>
      <c r="I968" s="237"/>
      <c r="J968" s="237"/>
      <c r="K968" s="237"/>
      <c r="L968" s="237"/>
      <c r="M968" s="237"/>
      <c r="N968" s="237"/>
      <c r="O968" s="237"/>
      <c r="P968" s="237"/>
      <c r="Q968" s="237"/>
      <c r="R968" s="237"/>
      <c r="S968" s="237"/>
      <c r="T968" s="237"/>
      <c r="U968" s="237"/>
      <c r="V968" s="237"/>
      <c r="W968" s="237"/>
      <c r="X968" s="237"/>
      <c r="Y968" s="237"/>
      <c r="Z968" s="237"/>
    </row>
    <row r="969" spans="1:26">
      <c r="A969" s="238"/>
      <c r="B969" s="237"/>
      <c r="D969" s="237"/>
      <c r="E969" s="237"/>
      <c r="F969" s="237"/>
      <c r="G969" s="237"/>
      <c r="H969" s="237"/>
      <c r="I969" s="237"/>
      <c r="J969" s="237"/>
      <c r="K969" s="237"/>
      <c r="L969" s="237"/>
      <c r="M969" s="237"/>
      <c r="N969" s="237"/>
      <c r="O969" s="237"/>
      <c r="P969" s="237"/>
      <c r="Q969" s="237"/>
      <c r="R969" s="237"/>
      <c r="S969" s="237"/>
      <c r="T969" s="237"/>
      <c r="U969" s="237"/>
      <c r="V969" s="237"/>
      <c r="W969" s="237"/>
      <c r="X969" s="237"/>
      <c r="Y969" s="237"/>
      <c r="Z969" s="237"/>
    </row>
    <row r="970" spans="1:26">
      <c r="A970" s="238"/>
      <c r="B970" s="237"/>
      <c r="D970" s="237"/>
      <c r="E970" s="237"/>
      <c r="F970" s="237"/>
      <c r="G970" s="237"/>
      <c r="H970" s="237"/>
      <c r="I970" s="237"/>
      <c r="J970" s="237"/>
      <c r="K970" s="237"/>
      <c r="L970" s="237"/>
      <c r="M970" s="237"/>
      <c r="N970" s="237"/>
      <c r="O970" s="237"/>
      <c r="P970" s="237"/>
      <c r="Q970" s="237"/>
      <c r="R970" s="237"/>
      <c r="S970" s="237"/>
      <c r="T970" s="237"/>
      <c r="U970" s="237"/>
      <c r="V970" s="237"/>
      <c r="W970" s="237"/>
      <c r="X970" s="237"/>
      <c r="Y970" s="237"/>
      <c r="Z970" s="237"/>
    </row>
    <row r="971" spans="1:26">
      <c r="A971" s="238"/>
      <c r="B971" s="237"/>
      <c r="D971" s="237"/>
      <c r="E971" s="237"/>
      <c r="F971" s="237"/>
      <c r="G971" s="237"/>
      <c r="H971" s="237"/>
      <c r="I971" s="237"/>
      <c r="J971" s="237"/>
      <c r="K971" s="237"/>
      <c r="L971" s="237"/>
      <c r="M971" s="237"/>
      <c r="N971" s="237"/>
      <c r="O971" s="237"/>
      <c r="P971" s="237"/>
      <c r="Q971" s="237"/>
      <c r="R971" s="237"/>
      <c r="S971" s="237"/>
      <c r="T971" s="237"/>
      <c r="U971" s="237"/>
      <c r="V971" s="237"/>
      <c r="W971" s="237"/>
      <c r="X971" s="237"/>
      <c r="Y971" s="237"/>
      <c r="Z971" s="237"/>
    </row>
    <row r="972" spans="1:26">
      <c r="A972" s="238"/>
      <c r="B972" s="237"/>
      <c r="D972" s="237"/>
      <c r="E972" s="237"/>
      <c r="F972" s="237"/>
      <c r="G972" s="237"/>
      <c r="H972" s="237"/>
      <c r="I972" s="237"/>
      <c r="J972" s="237"/>
      <c r="K972" s="237"/>
      <c r="L972" s="237"/>
      <c r="M972" s="237"/>
      <c r="N972" s="237"/>
      <c r="O972" s="237"/>
      <c r="P972" s="237"/>
      <c r="Q972" s="237"/>
      <c r="R972" s="237"/>
      <c r="S972" s="237"/>
      <c r="T972" s="237"/>
      <c r="U972" s="237"/>
      <c r="V972" s="237"/>
      <c r="W972" s="237"/>
      <c r="X972" s="237"/>
      <c r="Y972" s="237"/>
      <c r="Z972" s="237"/>
    </row>
    <row r="973" spans="1:26">
      <c r="A973" s="238"/>
      <c r="B973" s="237"/>
      <c r="D973" s="237"/>
      <c r="E973" s="237"/>
      <c r="F973" s="237"/>
      <c r="G973" s="237"/>
      <c r="H973" s="237"/>
      <c r="I973" s="237"/>
      <c r="J973" s="237"/>
      <c r="K973" s="237"/>
      <c r="L973" s="237"/>
      <c r="M973" s="237"/>
      <c r="N973" s="237"/>
      <c r="O973" s="237"/>
      <c r="P973" s="237"/>
      <c r="Q973" s="237"/>
      <c r="R973" s="237"/>
      <c r="S973" s="237"/>
      <c r="T973" s="237"/>
      <c r="U973" s="237"/>
      <c r="V973" s="237"/>
      <c r="W973" s="237"/>
      <c r="X973" s="237"/>
      <c r="Y973" s="237"/>
      <c r="Z973" s="237"/>
    </row>
    <row r="974" spans="1:26">
      <c r="A974" s="238"/>
      <c r="B974" s="237"/>
      <c r="D974" s="237"/>
      <c r="E974" s="237"/>
      <c r="F974" s="237"/>
      <c r="G974" s="237"/>
      <c r="H974" s="237"/>
      <c r="I974" s="237"/>
      <c r="J974" s="237"/>
      <c r="K974" s="237"/>
      <c r="L974" s="237"/>
      <c r="M974" s="237"/>
      <c r="N974" s="237"/>
      <c r="O974" s="237"/>
      <c r="P974" s="237"/>
      <c r="Q974" s="237"/>
      <c r="R974" s="237"/>
      <c r="S974" s="237"/>
      <c r="T974" s="237"/>
      <c r="U974" s="237"/>
      <c r="V974" s="237"/>
      <c r="W974" s="237"/>
      <c r="X974" s="237"/>
      <c r="Y974" s="237"/>
      <c r="Z974" s="237"/>
    </row>
    <row r="975" spans="1:26">
      <c r="A975" s="238"/>
      <c r="B975" s="237"/>
      <c r="D975" s="237"/>
      <c r="E975" s="237"/>
      <c r="F975" s="237"/>
      <c r="G975" s="237"/>
      <c r="H975" s="237"/>
      <c r="I975" s="237"/>
      <c r="J975" s="237"/>
      <c r="K975" s="237"/>
      <c r="L975" s="237"/>
      <c r="M975" s="237"/>
      <c r="N975" s="237"/>
      <c r="O975" s="237"/>
      <c r="P975" s="237"/>
      <c r="Q975" s="237"/>
      <c r="R975" s="237"/>
      <c r="S975" s="237"/>
      <c r="T975" s="237"/>
      <c r="U975" s="237"/>
      <c r="V975" s="237"/>
      <c r="W975" s="237"/>
      <c r="X975" s="237"/>
      <c r="Y975" s="237"/>
      <c r="Z975" s="237"/>
    </row>
    <row r="976" spans="1:26">
      <c r="A976" s="238"/>
      <c r="B976" s="237"/>
      <c r="D976" s="237"/>
      <c r="E976" s="237"/>
      <c r="F976" s="237"/>
      <c r="G976" s="237"/>
      <c r="H976" s="237"/>
      <c r="I976" s="237"/>
      <c r="J976" s="237"/>
      <c r="K976" s="237"/>
      <c r="L976" s="237"/>
      <c r="M976" s="237"/>
      <c r="N976" s="237"/>
      <c r="O976" s="237"/>
      <c r="P976" s="237"/>
      <c r="Q976" s="237"/>
      <c r="R976" s="237"/>
      <c r="S976" s="237"/>
      <c r="T976" s="237"/>
      <c r="U976" s="237"/>
      <c r="V976" s="237"/>
      <c r="W976" s="237"/>
      <c r="X976" s="237"/>
      <c r="Y976" s="237"/>
      <c r="Z976" s="237"/>
    </row>
    <row r="977" spans="1:26">
      <c r="A977" s="238"/>
      <c r="B977" s="237"/>
      <c r="D977" s="237"/>
      <c r="E977" s="237"/>
      <c r="F977" s="237"/>
      <c r="G977" s="237"/>
      <c r="H977" s="237"/>
      <c r="I977" s="237"/>
      <c r="J977" s="237"/>
      <c r="K977" s="237"/>
      <c r="L977" s="237"/>
      <c r="M977" s="237"/>
      <c r="N977" s="237"/>
      <c r="O977" s="237"/>
      <c r="P977" s="237"/>
      <c r="Q977" s="237"/>
      <c r="R977" s="237"/>
      <c r="S977" s="237"/>
      <c r="T977" s="237"/>
      <c r="U977" s="237"/>
      <c r="V977" s="237"/>
      <c r="W977" s="237"/>
      <c r="X977" s="237"/>
      <c r="Y977" s="237"/>
      <c r="Z977" s="237"/>
    </row>
    <row r="978" spans="1:26">
      <c r="A978" s="238"/>
      <c r="B978" s="237"/>
      <c r="D978" s="237"/>
      <c r="E978" s="237"/>
      <c r="F978" s="237"/>
      <c r="G978" s="237"/>
      <c r="H978" s="237"/>
      <c r="I978" s="237"/>
      <c r="J978" s="237"/>
      <c r="K978" s="237"/>
      <c r="L978" s="237"/>
      <c r="M978" s="237"/>
      <c r="N978" s="237"/>
      <c r="O978" s="237"/>
      <c r="P978" s="237"/>
      <c r="Q978" s="237"/>
      <c r="R978" s="237"/>
      <c r="S978" s="237"/>
      <c r="T978" s="237"/>
      <c r="U978" s="237"/>
      <c r="V978" s="237"/>
      <c r="W978" s="237"/>
      <c r="X978" s="237"/>
      <c r="Y978" s="237"/>
      <c r="Z978" s="237"/>
    </row>
    <row r="979" spans="1:26">
      <c r="A979" s="238"/>
      <c r="B979" s="237"/>
      <c r="D979" s="237"/>
      <c r="E979" s="237"/>
      <c r="F979" s="237"/>
      <c r="G979" s="237"/>
      <c r="H979" s="237"/>
      <c r="I979" s="237"/>
      <c r="J979" s="237"/>
      <c r="K979" s="237"/>
      <c r="L979" s="237"/>
      <c r="M979" s="237"/>
      <c r="N979" s="237"/>
      <c r="O979" s="237"/>
      <c r="P979" s="237"/>
      <c r="Q979" s="237"/>
      <c r="R979" s="237"/>
      <c r="S979" s="237"/>
      <c r="T979" s="237"/>
      <c r="U979" s="237"/>
      <c r="V979" s="237"/>
      <c r="W979" s="237"/>
      <c r="X979" s="237"/>
      <c r="Y979" s="237"/>
      <c r="Z979" s="237"/>
    </row>
    <row r="980" spans="1:26">
      <c r="A980" s="238"/>
      <c r="B980" s="237"/>
      <c r="D980" s="237"/>
      <c r="E980" s="237"/>
      <c r="F980" s="237"/>
      <c r="G980" s="237"/>
      <c r="H980" s="237"/>
      <c r="I980" s="237"/>
      <c r="J980" s="237"/>
      <c r="K980" s="237"/>
      <c r="L980" s="237"/>
      <c r="M980" s="237"/>
      <c r="N980" s="237"/>
      <c r="O980" s="237"/>
      <c r="P980" s="237"/>
      <c r="Q980" s="237"/>
      <c r="R980" s="237"/>
      <c r="S980" s="237"/>
      <c r="T980" s="237"/>
      <c r="U980" s="237"/>
      <c r="V980" s="237"/>
      <c r="W980" s="237"/>
      <c r="X980" s="237"/>
      <c r="Y980" s="237"/>
      <c r="Z980" s="237"/>
    </row>
    <row r="981" spans="1:26">
      <c r="A981" s="238"/>
      <c r="B981" s="237"/>
      <c r="D981" s="237"/>
      <c r="E981" s="237"/>
      <c r="F981" s="237"/>
      <c r="G981" s="237"/>
      <c r="H981" s="237"/>
      <c r="I981" s="237"/>
      <c r="J981" s="237"/>
      <c r="K981" s="237"/>
      <c r="L981" s="237"/>
      <c r="M981" s="237"/>
      <c r="N981" s="237"/>
      <c r="O981" s="237"/>
      <c r="P981" s="237"/>
      <c r="Q981" s="237"/>
      <c r="R981" s="237"/>
      <c r="S981" s="237"/>
      <c r="T981" s="237"/>
      <c r="U981" s="237"/>
      <c r="V981" s="237"/>
      <c r="W981" s="237"/>
      <c r="X981" s="237"/>
      <c r="Y981" s="237"/>
      <c r="Z981" s="237"/>
    </row>
    <row r="982" spans="1:26">
      <c r="A982" s="238"/>
      <c r="B982" s="237"/>
      <c r="D982" s="237"/>
      <c r="E982" s="237"/>
      <c r="F982" s="237"/>
      <c r="G982" s="237"/>
      <c r="H982" s="237"/>
      <c r="I982" s="237"/>
      <c r="J982" s="237"/>
      <c r="K982" s="237"/>
      <c r="L982" s="237"/>
      <c r="M982" s="237"/>
      <c r="N982" s="237"/>
      <c r="O982" s="237"/>
      <c r="P982" s="237"/>
      <c r="Q982" s="237"/>
      <c r="R982" s="237"/>
      <c r="S982" s="237"/>
      <c r="T982" s="237"/>
      <c r="U982" s="237"/>
      <c r="V982" s="237"/>
      <c r="W982" s="237"/>
      <c r="X982" s="237"/>
      <c r="Y982" s="237"/>
      <c r="Z982" s="237"/>
    </row>
    <row r="983" spans="1:26">
      <c r="A983" s="238"/>
      <c r="B983" s="237"/>
      <c r="D983" s="237"/>
      <c r="E983" s="237"/>
      <c r="F983" s="237"/>
      <c r="G983" s="237"/>
      <c r="H983" s="237"/>
      <c r="I983" s="237"/>
      <c r="J983" s="237"/>
      <c r="K983" s="237"/>
      <c r="L983" s="237"/>
      <c r="M983" s="237"/>
      <c r="N983" s="237"/>
      <c r="O983" s="237"/>
      <c r="P983" s="237"/>
      <c r="Q983" s="237"/>
      <c r="R983" s="237"/>
      <c r="S983" s="237"/>
      <c r="T983" s="237"/>
      <c r="U983" s="237"/>
      <c r="V983" s="237"/>
      <c r="W983" s="237"/>
      <c r="X983" s="237"/>
      <c r="Y983" s="237"/>
      <c r="Z983" s="237"/>
    </row>
    <row r="984" spans="1:26">
      <c r="A984" s="238"/>
      <c r="B984" s="237"/>
      <c r="D984" s="237"/>
      <c r="E984" s="237"/>
      <c r="F984" s="237"/>
      <c r="G984" s="237"/>
      <c r="H984" s="237"/>
      <c r="I984" s="237"/>
      <c r="J984" s="237"/>
      <c r="K984" s="237"/>
      <c r="L984" s="237"/>
      <c r="M984" s="237"/>
      <c r="N984" s="237"/>
      <c r="O984" s="237"/>
      <c r="P984" s="237"/>
      <c r="Q984" s="237"/>
      <c r="R984" s="237"/>
      <c r="S984" s="237"/>
      <c r="T984" s="237"/>
      <c r="U984" s="237"/>
      <c r="V984" s="237"/>
      <c r="W984" s="237"/>
      <c r="X984" s="237"/>
      <c r="Y984" s="237"/>
      <c r="Z984" s="237"/>
    </row>
    <row r="985" spans="1:26">
      <c r="A985" s="238"/>
      <c r="B985" s="237"/>
      <c r="D985" s="237"/>
      <c r="E985" s="237"/>
      <c r="F985" s="237"/>
      <c r="G985" s="237"/>
      <c r="H985" s="237"/>
      <c r="I985" s="237"/>
      <c r="J985" s="237"/>
      <c r="K985" s="237"/>
      <c r="L985" s="237"/>
      <c r="M985" s="237"/>
      <c r="N985" s="237"/>
      <c r="O985" s="237"/>
      <c r="P985" s="237"/>
      <c r="Q985" s="237"/>
      <c r="R985" s="237"/>
      <c r="S985" s="237"/>
      <c r="T985" s="237"/>
      <c r="U985" s="237"/>
      <c r="V985" s="237"/>
      <c r="W985" s="237"/>
      <c r="X985" s="237"/>
      <c r="Y985" s="237"/>
      <c r="Z985" s="237"/>
    </row>
    <row r="986" spans="1:26">
      <c r="A986" s="238"/>
      <c r="B986" s="237"/>
      <c r="D986" s="237"/>
      <c r="E986" s="237"/>
      <c r="F986" s="237"/>
      <c r="G986" s="237"/>
      <c r="H986" s="237"/>
      <c r="I986" s="237"/>
      <c r="J986" s="237"/>
      <c r="K986" s="237"/>
      <c r="L986" s="237"/>
      <c r="M986" s="237"/>
      <c r="N986" s="237"/>
      <c r="O986" s="237"/>
      <c r="P986" s="237"/>
      <c r="Q986" s="237"/>
      <c r="R986" s="237"/>
      <c r="S986" s="237"/>
      <c r="T986" s="237"/>
      <c r="U986" s="237"/>
      <c r="V986" s="237"/>
      <c r="W986" s="237"/>
      <c r="X986" s="237"/>
      <c r="Y986" s="237"/>
      <c r="Z986" s="237"/>
    </row>
    <row r="987" spans="1:26">
      <c r="A987" s="238"/>
      <c r="B987" s="237"/>
      <c r="D987" s="237"/>
      <c r="E987" s="237"/>
      <c r="F987" s="237"/>
      <c r="G987" s="237"/>
      <c r="H987" s="237"/>
      <c r="I987" s="237"/>
      <c r="J987" s="237"/>
      <c r="K987" s="237"/>
      <c r="L987" s="237"/>
      <c r="M987" s="237"/>
      <c r="N987" s="237"/>
      <c r="O987" s="237"/>
      <c r="P987" s="237"/>
      <c r="Q987" s="237"/>
      <c r="R987" s="237"/>
      <c r="S987" s="237"/>
      <c r="T987" s="237"/>
      <c r="U987" s="237"/>
      <c r="V987" s="237"/>
      <c r="W987" s="237"/>
      <c r="X987" s="237"/>
      <c r="Y987" s="237"/>
      <c r="Z987" s="237"/>
    </row>
    <row r="988" spans="1:26">
      <c r="A988" s="238"/>
      <c r="B988" s="237"/>
      <c r="D988" s="237"/>
      <c r="E988" s="237"/>
      <c r="F988" s="237"/>
      <c r="G988" s="237"/>
      <c r="H988" s="237"/>
      <c r="I988" s="237"/>
      <c r="J988" s="237"/>
      <c r="K988" s="237"/>
      <c r="L988" s="237"/>
      <c r="M988" s="237"/>
      <c r="N988" s="237"/>
      <c r="O988" s="237"/>
      <c r="P988" s="237"/>
      <c r="Q988" s="237"/>
      <c r="R988" s="237"/>
      <c r="S988" s="237"/>
      <c r="T988" s="237"/>
      <c r="U988" s="237"/>
      <c r="V988" s="237"/>
      <c r="W988" s="237"/>
      <c r="X988" s="237"/>
      <c r="Y988" s="237"/>
      <c r="Z988" s="237"/>
    </row>
    <row r="989" spans="1:26">
      <c r="A989" s="238"/>
      <c r="B989" s="237"/>
      <c r="D989" s="237"/>
      <c r="E989" s="237"/>
      <c r="F989" s="237"/>
      <c r="G989" s="237"/>
      <c r="H989" s="237"/>
      <c r="I989" s="237"/>
      <c r="J989" s="237"/>
      <c r="K989" s="237"/>
      <c r="L989" s="237"/>
      <c r="M989" s="237"/>
      <c r="N989" s="237"/>
      <c r="O989" s="237"/>
      <c r="P989" s="237"/>
      <c r="Q989" s="237"/>
      <c r="R989" s="237"/>
      <c r="S989" s="237"/>
      <c r="T989" s="237"/>
      <c r="U989" s="237"/>
      <c r="V989" s="237"/>
      <c r="W989" s="237"/>
      <c r="X989" s="237"/>
      <c r="Y989" s="237"/>
      <c r="Z989" s="237"/>
    </row>
    <row r="990" spans="1:26">
      <c r="A990" s="238"/>
      <c r="B990" s="237"/>
      <c r="D990" s="237"/>
      <c r="E990" s="237"/>
      <c r="F990" s="237"/>
      <c r="G990" s="237"/>
      <c r="H990" s="237"/>
      <c r="I990" s="237"/>
      <c r="J990" s="237"/>
      <c r="K990" s="237"/>
      <c r="L990" s="237"/>
      <c r="M990" s="237"/>
      <c r="N990" s="237"/>
      <c r="O990" s="237"/>
      <c r="P990" s="237"/>
      <c r="Q990" s="237"/>
      <c r="R990" s="237"/>
      <c r="S990" s="237"/>
      <c r="T990" s="237"/>
      <c r="U990" s="237"/>
      <c r="V990" s="237"/>
      <c r="W990" s="237"/>
      <c r="X990" s="237"/>
      <c r="Y990" s="237"/>
      <c r="Z990" s="237"/>
    </row>
    <row r="991" spans="1:26">
      <c r="A991" s="238"/>
      <c r="B991" s="237"/>
      <c r="D991" s="237"/>
      <c r="E991" s="237"/>
      <c r="F991" s="237"/>
      <c r="G991" s="237"/>
      <c r="H991" s="237"/>
      <c r="I991" s="237"/>
      <c r="J991" s="237"/>
      <c r="K991" s="237"/>
      <c r="L991" s="237"/>
      <c r="M991" s="237"/>
      <c r="N991" s="237"/>
      <c r="O991" s="237"/>
      <c r="P991" s="237"/>
      <c r="Q991" s="237"/>
      <c r="R991" s="237"/>
      <c r="S991" s="237"/>
      <c r="T991" s="237"/>
      <c r="U991" s="237"/>
      <c r="V991" s="237"/>
      <c r="W991" s="237"/>
      <c r="X991" s="237"/>
      <c r="Y991" s="237"/>
      <c r="Z991" s="237"/>
    </row>
    <row r="992" spans="1:26">
      <c r="A992" s="238"/>
      <c r="B992" s="237"/>
      <c r="D992" s="237"/>
      <c r="E992" s="237"/>
      <c r="F992" s="237"/>
      <c r="G992" s="237"/>
      <c r="H992" s="237"/>
      <c r="I992" s="237"/>
      <c r="J992" s="237"/>
      <c r="K992" s="237"/>
      <c r="L992" s="237"/>
      <c r="M992" s="237"/>
      <c r="N992" s="237"/>
      <c r="O992" s="237"/>
      <c r="P992" s="237"/>
      <c r="Q992" s="237"/>
      <c r="R992" s="237"/>
      <c r="S992" s="237"/>
      <c r="T992" s="237"/>
      <c r="U992" s="237"/>
      <c r="V992" s="237"/>
      <c r="W992" s="237"/>
      <c r="X992" s="237"/>
      <c r="Y992" s="237"/>
      <c r="Z992" s="237"/>
    </row>
    <row r="993" spans="1:26">
      <c r="A993" s="238"/>
      <c r="B993" s="237"/>
      <c r="D993" s="237"/>
      <c r="E993" s="237"/>
      <c r="F993" s="237"/>
      <c r="G993" s="237"/>
      <c r="H993" s="237"/>
      <c r="I993" s="237"/>
      <c r="J993" s="237"/>
      <c r="K993" s="237"/>
      <c r="L993" s="237"/>
      <c r="M993" s="237"/>
      <c r="N993" s="237"/>
      <c r="O993" s="237"/>
      <c r="P993" s="237"/>
      <c r="Q993" s="237"/>
      <c r="R993" s="237"/>
      <c r="S993" s="237"/>
      <c r="T993" s="237"/>
      <c r="U993" s="237"/>
      <c r="V993" s="237"/>
      <c r="W993" s="237"/>
      <c r="X993" s="237"/>
      <c r="Y993" s="237"/>
      <c r="Z993" s="237"/>
    </row>
    <row r="994" spans="1:26">
      <c r="A994" s="238"/>
      <c r="B994" s="237"/>
      <c r="D994" s="237"/>
      <c r="E994" s="237"/>
      <c r="F994" s="237"/>
      <c r="G994" s="237"/>
      <c r="H994" s="237"/>
      <c r="I994" s="237"/>
      <c r="J994" s="237"/>
      <c r="K994" s="237"/>
      <c r="L994" s="237"/>
      <c r="M994" s="237"/>
      <c r="N994" s="237"/>
      <c r="O994" s="237"/>
      <c r="P994" s="237"/>
      <c r="Q994" s="237"/>
      <c r="R994" s="237"/>
      <c r="S994" s="237"/>
      <c r="T994" s="237"/>
      <c r="U994" s="237"/>
      <c r="V994" s="237"/>
      <c r="W994" s="237"/>
      <c r="X994" s="237"/>
      <c r="Y994" s="237"/>
      <c r="Z994" s="237"/>
    </row>
    <row r="995" spans="1:26">
      <c r="A995" s="238"/>
      <c r="B995" s="237"/>
      <c r="D995" s="237"/>
      <c r="E995" s="237"/>
      <c r="F995" s="237"/>
      <c r="G995" s="237"/>
      <c r="H995" s="237"/>
      <c r="I995" s="237"/>
      <c r="J995" s="237"/>
      <c r="K995" s="237"/>
      <c r="L995" s="237"/>
      <c r="M995" s="237"/>
      <c r="N995" s="237"/>
      <c r="O995" s="237"/>
      <c r="P995" s="237"/>
      <c r="Q995" s="237"/>
      <c r="R995" s="237"/>
      <c r="S995" s="237"/>
      <c r="T995" s="237"/>
      <c r="U995" s="237"/>
      <c r="V995" s="237"/>
      <c r="W995" s="237"/>
      <c r="X995" s="237"/>
      <c r="Y995" s="237"/>
      <c r="Z995" s="237"/>
    </row>
    <row r="996" spans="1:26">
      <c r="A996" s="238"/>
      <c r="B996" s="237"/>
      <c r="D996" s="237"/>
      <c r="E996" s="237"/>
      <c r="F996" s="237"/>
      <c r="G996" s="237"/>
      <c r="H996" s="237"/>
      <c r="I996" s="237"/>
      <c r="J996" s="237"/>
      <c r="K996" s="237"/>
      <c r="L996" s="237"/>
      <c r="M996" s="237"/>
      <c r="N996" s="237"/>
      <c r="O996" s="237"/>
      <c r="P996" s="237"/>
      <c r="Q996" s="237"/>
      <c r="R996" s="237"/>
      <c r="S996" s="237"/>
      <c r="T996" s="237"/>
      <c r="U996" s="237"/>
      <c r="V996" s="237"/>
      <c r="W996" s="237"/>
      <c r="X996" s="237"/>
      <c r="Y996" s="237"/>
      <c r="Z996" s="237"/>
    </row>
    <row r="997" spans="1:26">
      <c r="A997" s="238"/>
      <c r="B997" s="237"/>
      <c r="D997" s="237"/>
      <c r="E997" s="237"/>
      <c r="F997" s="237"/>
      <c r="G997" s="237"/>
      <c r="H997" s="237"/>
      <c r="I997" s="237"/>
      <c r="J997" s="237"/>
      <c r="K997" s="237"/>
      <c r="L997" s="237"/>
      <c r="M997" s="237"/>
      <c r="N997" s="237"/>
      <c r="O997" s="237"/>
      <c r="P997" s="237"/>
      <c r="Q997" s="237"/>
      <c r="R997" s="237"/>
      <c r="S997" s="237"/>
      <c r="T997" s="237"/>
      <c r="U997" s="237"/>
      <c r="V997" s="237"/>
      <c r="W997" s="237"/>
      <c r="X997" s="237"/>
      <c r="Y997" s="237"/>
      <c r="Z997" s="237"/>
    </row>
    <row r="998" spans="1:26">
      <c r="A998" s="238"/>
      <c r="B998" s="237"/>
      <c r="D998" s="237"/>
      <c r="E998" s="237"/>
      <c r="F998" s="237"/>
      <c r="G998" s="237"/>
      <c r="H998" s="237"/>
      <c r="I998" s="237"/>
      <c r="J998" s="237"/>
      <c r="K998" s="237"/>
      <c r="L998" s="237"/>
      <c r="M998" s="237"/>
      <c r="N998" s="237"/>
      <c r="O998" s="237"/>
      <c r="P998" s="237"/>
      <c r="Q998" s="237"/>
      <c r="R998" s="237"/>
      <c r="S998" s="237"/>
      <c r="T998" s="237"/>
      <c r="U998" s="237"/>
      <c r="V998" s="237"/>
      <c r="W998" s="237"/>
      <c r="X998" s="237"/>
      <c r="Y998" s="237"/>
      <c r="Z998" s="237"/>
    </row>
    <row r="999" spans="1:26">
      <c r="A999" s="238"/>
      <c r="B999" s="237"/>
      <c r="D999" s="237"/>
      <c r="E999" s="237"/>
      <c r="F999" s="237"/>
      <c r="G999" s="237"/>
      <c r="H999" s="237"/>
      <c r="I999" s="237"/>
      <c r="J999" s="237"/>
      <c r="K999" s="237"/>
      <c r="L999" s="237"/>
      <c r="M999" s="237"/>
      <c r="N999" s="237"/>
      <c r="O999" s="237"/>
      <c r="P999" s="237"/>
      <c r="Q999" s="237"/>
      <c r="R999" s="237"/>
      <c r="S999" s="237"/>
      <c r="T999" s="237"/>
      <c r="U999" s="237"/>
      <c r="V999" s="237"/>
      <c r="W999" s="237"/>
      <c r="X999" s="237"/>
      <c r="Y999" s="237"/>
      <c r="Z999" s="237"/>
    </row>
    <row r="1000" spans="1:26">
      <c r="A1000" s="238"/>
      <c r="B1000" s="237"/>
      <c r="D1000" s="237"/>
      <c r="E1000" s="237"/>
      <c r="F1000" s="237"/>
      <c r="G1000" s="237"/>
      <c r="H1000" s="237"/>
      <c r="I1000" s="237"/>
      <c r="J1000" s="237"/>
      <c r="K1000" s="237"/>
      <c r="L1000" s="237"/>
      <c r="M1000" s="237"/>
      <c r="N1000" s="237"/>
      <c r="O1000" s="237"/>
      <c r="P1000" s="237"/>
      <c r="Q1000" s="237"/>
      <c r="R1000" s="237"/>
      <c r="S1000" s="237"/>
      <c r="T1000" s="237"/>
      <c r="U1000" s="237"/>
      <c r="V1000" s="237"/>
      <c r="W1000" s="237"/>
      <c r="X1000" s="237"/>
      <c r="Y1000" s="237"/>
      <c r="Z1000" s="237"/>
    </row>
    <row r="1001" spans="1:26">
      <c r="A1001" s="238"/>
      <c r="B1001" s="237"/>
      <c r="D1001" s="237"/>
      <c r="E1001" s="237"/>
      <c r="F1001" s="237"/>
      <c r="G1001" s="237"/>
      <c r="H1001" s="237"/>
      <c r="I1001" s="237"/>
      <c r="J1001" s="237"/>
      <c r="K1001" s="237"/>
      <c r="L1001" s="237"/>
      <c r="M1001" s="237"/>
      <c r="N1001" s="237"/>
      <c r="O1001" s="237"/>
      <c r="P1001" s="237"/>
      <c r="Q1001" s="237"/>
      <c r="R1001" s="237"/>
      <c r="S1001" s="237"/>
      <c r="T1001" s="237"/>
      <c r="U1001" s="237"/>
      <c r="V1001" s="237"/>
      <c r="W1001" s="237"/>
      <c r="X1001" s="237"/>
      <c r="Y1001" s="237"/>
      <c r="Z1001" s="237"/>
    </row>
    <row r="1002" spans="1:26">
      <c r="A1002" s="238"/>
      <c r="B1002" s="237"/>
      <c r="D1002" s="237"/>
      <c r="E1002" s="237"/>
      <c r="F1002" s="237"/>
      <c r="G1002" s="237"/>
      <c r="H1002" s="237"/>
      <c r="I1002" s="237"/>
      <c r="J1002" s="237"/>
      <c r="K1002" s="237"/>
      <c r="L1002" s="237"/>
      <c r="M1002" s="237"/>
      <c r="N1002" s="237"/>
      <c r="O1002" s="237"/>
      <c r="P1002" s="237"/>
      <c r="Q1002" s="237"/>
      <c r="R1002" s="237"/>
      <c r="S1002" s="237"/>
      <c r="T1002" s="237"/>
      <c r="U1002" s="237"/>
      <c r="V1002" s="237"/>
      <c r="W1002" s="237"/>
      <c r="X1002" s="237"/>
      <c r="Y1002" s="237"/>
      <c r="Z1002" s="237"/>
    </row>
    <row r="1003" spans="1:26">
      <c r="A1003" s="238"/>
      <c r="B1003" s="237"/>
      <c r="D1003" s="237"/>
      <c r="E1003" s="237"/>
      <c r="F1003" s="237"/>
      <c r="G1003" s="237"/>
      <c r="H1003" s="237"/>
      <c r="I1003" s="237"/>
      <c r="J1003" s="237"/>
      <c r="K1003" s="237"/>
      <c r="L1003" s="237"/>
      <c r="M1003" s="237"/>
      <c r="N1003" s="237"/>
      <c r="O1003" s="237"/>
      <c r="P1003" s="237"/>
      <c r="Q1003" s="237"/>
      <c r="R1003" s="237"/>
      <c r="S1003" s="237"/>
      <c r="T1003" s="237"/>
      <c r="U1003" s="237"/>
      <c r="V1003" s="237"/>
      <c r="W1003" s="237"/>
      <c r="X1003" s="237"/>
      <c r="Y1003" s="237"/>
      <c r="Z1003" s="237"/>
    </row>
    <row r="1004" spans="1:26">
      <c r="A1004" s="238"/>
      <c r="B1004" s="237"/>
      <c r="D1004" s="237"/>
      <c r="E1004" s="237"/>
      <c r="F1004" s="237"/>
      <c r="G1004" s="237"/>
      <c r="H1004" s="237"/>
      <c r="I1004" s="237"/>
      <c r="J1004" s="237"/>
      <c r="K1004" s="237"/>
      <c r="L1004" s="237"/>
      <c r="M1004" s="237"/>
      <c r="N1004" s="237"/>
      <c r="O1004" s="237"/>
      <c r="P1004" s="237"/>
      <c r="Q1004" s="237"/>
      <c r="R1004" s="237"/>
      <c r="S1004" s="237"/>
      <c r="T1004" s="237"/>
      <c r="U1004" s="237"/>
      <c r="V1004" s="237"/>
      <c r="W1004" s="237"/>
      <c r="X1004" s="237"/>
      <c r="Y1004" s="237"/>
      <c r="Z1004" s="237"/>
    </row>
    <row r="1005" spans="1:26">
      <c r="A1005" s="238"/>
      <c r="B1005" s="237"/>
      <c r="D1005" s="237"/>
      <c r="E1005" s="237"/>
      <c r="F1005" s="237"/>
      <c r="G1005" s="237"/>
      <c r="H1005" s="237"/>
      <c r="I1005" s="237"/>
      <c r="J1005" s="237"/>
      <c r="K1005" s="237"/>
      <c r="L1005" s="237"/>
      <c r="M1005" s="237"/>
      <c r="N1005" s="237"/>
      <c r="O1005" s="237"/>
      <c r="P1005" s="237"/>
      <c r="Q1005" s="237"/>
      <c r="R1005" s="237"/>
      <c r="S1005" s="237"/>
      <c r="T1005" s="237"/>
      <c r="U1005" s="237"/>
      <c r="V1005" s="237"/>
      <c r="W1005" s="237"/>
      <c r="X1005" s="237"/>
      <c r="Y1005" s="237"/>
      <c r="Z1005" s="237"/>
    </row>
    <row r="1006" spans="1:26">
      <c r="A1006" s="238"/>
      <c r="B1006" s="237"/>
      <c r="D1006" s="237"/>
      <c r="E1006" s="237"/>
      <c r="F1006" s="237"/>
      <c r="G1006" s="237"/>
      <c r="H1006" s="237"/>
      <c r="I1006" s="237"/>
      <c r="J1006" s="237"/>
      <c r="K1006" s="237"/>
      <c r="L1006" s="237"/>
      <c r="M1006" s="237"/>
      <c r="N1006" s="237"/>
      <c r="O1006" s="237"/>
      <c r="P1006" s="237"/>
      <c r="Q1006" s="237"/>
      <c r="R1006" s="237"/>
      <c r="S1006" s="237"/>
      <c r="T1006" s="237"/>
      <c r="U1006" s="237"/>
      <c r="V1006" s="237"/>
      <c r="W1006" s="237"/>
      <c r="X1006" s="237"/>
      <c r="Y1006" s="237"/>
      <c r="Z1006" s="237"/>
    </row>
    <row r="1007" spans="1:26">
      <c r="A1007" s="238"/>
      <c r="B1007" s="237"/>
      <c r="D1007" s="237"/>
      <c r="E1007" s="237"/>
      <c r="F1007" s="237"/>
      <c r="G1007" s="237"/>
      <c r="H1007" s="237"/>
      <c r="I1007" s="237"/>
      <c r="J1007" s="237"/>
      <c r="K1007" s="237"/>
      <c r="L1007" s="237"/>
      <c r="M1007" s="237"/>
      <c r="N1007" s="237"/>
      <c r="O1007" s="237"/>
      <c r="P1007" s="237"/>
      <c r="Q1007" s="237"/>
      <c r="R1007" s="237"/>
      <c r="S1007" s="237"/>
      <c r="T1007" s="237"/>
      <c r="U1007" s="237"/>
      <c r="V1007" s="237"/>
      <c r="W1007" s="237"/>
      <c r="X1007" s="237"/>
      <c r="Y1007" s="237"/>
      <c r="Z1007" s="237"/>
    </row>
    <row r="1008" spans="1:26">
      <c r="A1008" s="238"/>
      <c r="B1008" s="237"/>
      <c r="D1008" s="237"/>
      <c r="E1008" s="237"/>
      <c r="F1008" s="237"/>
      <c r="G1008" s="237"/>
      <c r="H1008" s="237"/>
      <c r="I1008" s="237"/>
      <c r="J1008" s="237"/>
      <c r="K1008" s="237"/>
      <c r="L1008" s="237"/>
      <c r="M1008" s="237"/>
      <c r="N1008" s="237"/>
      <c r="O1008" s="237"/>
      <c r="P1008" s="237"/>
      <c r="Q1008" s="237"/>
      <c r="R1008" s="237"/>
      <c r="S1008" s="237"/>
      <c r="T1008" s="237"/>
      <c r="U1008" s="237"/>
      <c r="V1008" s="237"/>
      <c r="W1008" s="237"/>
      <c r="X1008" s="237"/>
      <c r="Y1008" s="237"/>
      <c r="Z1008" s="237"/>
    </row>
    <row r="1009" spans="1:26">
      <c r="A1009" s="238"/>
      <c r="B1009" s="237"/>
      <c r="D1009" s="237"/>
      <c r="E1009" s="237"/>
      <c r="F1009" s="237"/>
      <c r="G1009" s="237"/>
      <c r="H1009" s="237"/>
      <c r="I1009" s="237"/>
      <c r="J1009" s="237"/>
      <c r="K1009" s="237"/>
      <c r="L1009" s="237"/>
      <c r="M1009" s="237"/>
      <c r="N1009" s="237"/>
      <c r="O1009" s="237"/>
      <c r="P1009" s="237"/>
      <c r="Q1009" s="237"/>
      <c r="R1009" s="237"/>
      <c r="S1009" s="237"/>
      <c r="T1009" s="237"/>
      <c r="U1009" s="237"/>
      <c r="V1009" s="237"/>
      <c r="W1009" s="237"/>
      <c r="X1009" s="237"/>
      <c r="Y1009" s="237"/>
      <c r="Z1009" s="237"/>
    </row>
    <row r="1010" spans="1:26">
      <c r="A1010" s="238"/>
      <c r="B1010" s="237"/>
      <c r="D1010" s="237"/>
      <c r="E1010" s="237"/>
      <c r="F1010" s="237"/>
      <c r="G1010" s="237"/>
      <c r="H1010" s="237"/>
      <c r="I1010" s="237"/>
      <c r="J1010" s="237"/>
      <c r="K1010" s="237"/>
      <c r="L1010" s="237"/>
      <c r="M1010" s="237"/>
      <c r="N1010" s="237"/>
      <c r="O1010" s="237"/>
      <c r="P1010" s="237"/>
      <c r="Q1010" s="237"/>
      <c r="R1010" s="237"/>
      <c r="S1010" s="237"/>
      <c r="T1010" s="237"/>
      <c r="U1010" s="237"/>
      <c r="V1010" s="237"/>
      <c r="W1010" s="237"/>
      <c r="X1010" s="237"/>
      <c r="Y1010" s="237"/>
      <c r="Z1010" s="237"/>
    </row>
    <row r="1011" spans="1:26">
      <c r="A1011" s="238"/>
      <c r="B1011" s="237"/>
      <c r="D1011" s="237"/>
      <c r="E1011" s="237"/>
      <c r="F1011" s="237"/>
      <c r="G1011" s="237"/>
      <c r="H1011" s="237"/>
      <c r="I1011" s="237"/>
      <c r="J1011" s="237"/>
      <c r="K1011" s="237"/>
      <c r="L1011" s="237"/>
      <c r="M1011" s="237"/>
      <c r="N1011" s="237"/>
      <c r="O1011" s="237"/>
      <c r="P1011" s="237"/>
      <c r="Q1011" s="237"/>
      <c r="R1011" s="237"/>
      <c r="S1011" s="237"/>
      <c r="T1011" s="237"/>
      <c r="U1011" s="237"/>
      <c r="V1011" s="237"/>
      <c r="W1011" s="237"/>
      <c r="X1011" s="237"/>
      <c r="Y1011" s="237"/>
      <c r="Z1011" s="237"/>
    </row>
    <row r="1012" spans="1:26">
      <c r="A1012" s="238"/>
      <c r="B1012" s="237"/>
      <c r="D1012" s="237"/>
      <c r="E1012" s="237"/>
      <c r="F1012" s="237"/>
      <c r="G1012" s="237"/>
      <c r="H1012" s="237"/>
      <c r="I1012" s="237"/>
      <c r="J1012" s="237"/>
      <c r="K1012" s="237"/>
      <c r="L1012" s="237"/>
      <c r="M1012" s="237"/>
      <c r="N1012" s="237"/>
      <c r="O1012" s="237"/>
      <c r="P1012" s="237"/>
      <c r="Q1012" s="237"/>
      <c r="R1012" s="237"/>
      <c r="S1012" s="237"/>
      <c r="T1012" s="237"/>
      <c r="U1012" s="237"/>
      <c r="V1012" s="237"/>
      <c r="W1012" s="237"/>
      <c r="X1012" s="237"/>
      <c r="Y1012" s="237"/>
      <c r="Z1012" s="237"/>
    </row>
    <row r="1013" spans="1:26">
      <c r="A1013" s="238"/>
      <c r="B1013" s="237"/>
      <c r="D1013" s="237"/>
      <c r="E1013" s="237"/>
      <c r="F1013" s="237"/>
      <c r="G1013" s="237"/>
      <c r="H1013" s="237"/>
      <c r="I1013" s="237"/>
      <c r="J1013" s="237"/>
      <c r="K1013" s="237"/>
      <c r="L1013" s="237"/>
      <c r="M1013" s="237"/>
      <c r="N1013" s="237"/>
      <c r="O1013" s="237"/>
      <c r="P1013" s="237"/>
      <c r="Q1013" s="237"/>
      <c r="R1013" s="237"/>
      <c r="S1013" s="237"/>
      <c r="T1013" s="237"/>
      <c r="U1013" s="237"/>
      <c r="V1013" s="237"/>
      <c r="W1013" s="237"/>
      <c r="X1013" s="237"/>
      <c r="Y1013" s="237"/>
      <c r="Z1013" s="237"/>
    </row>
    <row r="1014" spans="1:26">
      <c r="A1014" s="238"/>
      <c r="B1014" s="237"/>
      <c r="D1014" s="237"/>
      <c r="E1014" s="237"/>
      <c r="F1014" s="237"/>
      <c r="G1014" s="237"/>
      <c r="H1014" s="237"/>
      <c r="I1014" s="237"/>
      <c r="J1014" s="237"/>
      <c r="K1014" s="237"/>
      <c r="L1014" s="237"/>
      <c r="M1014" s="237"/>
      <c r="N1014" s="237"/>
      <c r="O1014" s="237"/>
      <c r="P1014" s="237"/>
      <c r="Q1014" s="237"/>
      <c r="R1014" s="237"/>
      <c r="S1014" s="237"/>
      <c r="T1014" s="237"/>
      <c r="U1014" s="237"/>
      <c r="V1014" s="237"/>
      <c r="W1014" s="237"/>
      <c r="X1014" s="237"/>
      <c r="Y1014" s="237"/>
      <c r="Z1014" s="237"/>
    </row>
    <row r="1015" spans="1:26">
      <c r="A1015" s="238"/>
      <c r="B1015" s="237"/>
      <c r="D1015" s="237"/>
      <c r="E1015" s="237"/>
      <c r="F1015" s="237"/>
      <c r="G1015" s="237"/>
      <c r="H1015" s="237"/>
      <c r="I1015" s="237"/>
      <c r="J1015" s="237"/>
      <c r="K1015" s="237"/>
      <c r="L1015" s="237"/>
      <c r="M1015" s="237"/>
      <c r="N1015" s="237"/>
      <c r="O1015" s="237"/>
      <c r="P1015" s="237"/>
      <c r="Q1015" s="237"/>
      <c r="R1015" s="237"/>
      <c r="S1015" s="237"/>
      <c r="T1015" s="237"/>
      <c r="U1015" s="237"/>
      <c r="V1015" s="237"/>
      <c r="W1015" s="237"/>
      <c r="X1015" s="237"/>
      <c r="Y1015" s="237"/>
      <c r="Z1015" s="237"/>
    </row>
    <row r="1016" spans="1:26">
      <c r="A1016" s="238"/>
      <c r="B1016" s="237"/>
      <c r="D1016" s="237"/>
      <c r="E1016" s="237"/>
      <c r="F1016" s="237"/>
      <c r="G1016" s="237"/>
      <c r="H1016" s="237"/>
      <c r="I1016" s="237"/>
      <c r="J1016" s="237"/>
      <c r="K1016" s="237"/>
      <c r="L1016" s="237"/>
      <c r="M1016" s="237"/>
      <c r="N1016" s="237"/>
      <c r="O1016" s="237"/>
      <c r="P1016" s="237"/>
      <c r="Q1016" s="237"/>
      <c r="R1016" s="237"/>
      <c r="S1016" s="237"/>
      <c r="T1016" s="237"/>
      <c r="U1016" s="237"/>
      <c r="V1016" s="237"/>
      <c r="W1016" s="237"/>
      <c r="X1016" s="237"/>
      <c r="Y1016" s="237"/>
      <c r="Z1016" s="237"/>
    </row>
    <row r="1017" spans="1:26">
      <c r="A1017" s="238"/>
      <c r="B1017" s="237"/>
      <c r="D1017" s="237"/>
      <c r="E1017" s="237"/>
      <c r="F1017" s="237"/>
      <c r="G1017" s="237"/>
      <c r="H1017" s="237"/>
      <c r="I1017" s="237"/>
      <c r="J1017" s="237"/>
      <c r="K1017" s="237"/>
      <c r="L1017" s="237"/>
      <c r="M1017" s="237"/>
      <c r="N1017" s="237"/>
      <c r="O1017" s="237"/>
      <c r="P1017" s="237"/>
      <c r="Q1017" s="237"/>
      <c r="R1017" s="237"/>
      <c r="S1017" s="237"/>
      <c r="T1017" s="237"/>
      <c r="U1017" s="237"/>
      <c r="V1017" s="237"/>
      <c r="W1017" s="237"/>
      <c r="X1017" s="237"/>
      <c r="Y1017" s="237"/>
      <c r="Z1017" s="237"/>
    </row>
    <row r="1018" spans="1:26">
      <c r="A1018" s="238"/>
      <c r="B1018" s="237"/>
      <c r="D1018" s="237"/>
      <c r="E1018" s="237"/>
      <c r="F1018" s="237"/>
      <c r="G1018" s="237"/>
      <c r="H1018" s="237"/>
      <c r="I1018" s="237"/>
      <c r="J1018" s="237"/>
      <c r="K1018" s="237"/>
      <c r="L1018" s="237"/>
      <c r="M1018" s="237"/>
      <c r="N1018" s="237"/>
      <c r="O1018" s="237"/>
      <c r="P1018" s="237"/>
      <c r="Q1018" s="237"/>
      <c r="R1018" s="237"/>
      <c r="S1018" s="237"/>
      <c r="T1018" s="237"/>
      <c r="U1018" s="237"/>
      <c r="V1018" s="237"/>
      <c r="W1018" s="237"/>
      <c r="X1018" s="237"/>
      <c r="Y1018" s="237"/>
      <c r="Z1018" s="237"/>
    </row>
    <row r="1019" spans="1:26">
      <c r="A1019" s="238"/>
      <c r="B1019" s="237"/>
      <c r="D1019" s="237"/>
      <c r="E1019" s="237"/>
      <c r="F1019" s="237"/>
      <c r="G1019" s="237"/>
      <c r="H1019" s="237"/>
      <c r="I1019" s="237"/>
      <c r="J1019" s="237"/>
      <c r="K1019" s="237"/>
      <c r="L1019" s="237"/>
      <c r="M1019" s="237"/>
      <c r="N1019" s="237"/>
      <c r="O1019" s="237"/>
      <c r="P1019" s="237"/>
      <c r="Q1019" s="237"/>
      <c r="R1019" s="237"/>
      <c r="S1019" s="237"/>
      <c r="T1019" s="237"/>
      <c r="U1019" s="237"/>
      <c r="V1019" s="237"/>
      <c r="W1019" s="237"/>
      <c r="X1019" s="237"/>
      <c r="Y1019" s="237"/>
      <c r="Z1019" s="237"/>
    </row>
    <row r="1020" spans="1:26">
      <c r="A1020" s="238"/>
      <c r="B1020" s="237"/>
      <c r="D1020" s="237"/>
      <c r="E1020" s="237"/>
      <c r="F1020" s="237"/>
      <c r="G1020" s="237"/>
      <c r="H1020" s="237"/>
      <c r="I1020" s="237"/>
      <c r="J1020" s="237"/>
      <c r="K1020" s="237"/>
      <c r="L1020" s="237"/>
      <c r="M1020" s="237"/>
      <c r="N1020" s="237"/>
      <c r="O1020" s="237"/>
      <c r="P1020" s="237"/>
      <c r="Q1020" s="237"/>
      <c r="R1020" s="237"/>
      <c r="S1020" s="237"/>
      <c r="T1020" s="237"/>
      <c r="U1020" s="237"/>
      <c r="V1020" s="237"/>
      <c r="W1020" s="237"/>
      <c r="X1020" s="237"/>
      <c r="Y1020" s="237"/>
      <c r="Z1020" s="237"/>
    </row>
    <row r="1021" spans="1:26">
      <c r="A1021" s="238"/>
      <c r="B1021" s="237"/>
      <c r="D1021" s="237"/>
      <c r="E1021" s="237"/>
      <c r="F1021" s="237"/>
      <c r="G1021" s="237"/>
      <c r="H1021" s="237"/>
      <c r="I1021" s="237"/>
      <c r="J1021" s="237"/>
      <c r="K1021" s="237"/>
      <c r="L1021" s="237"/>
      <c r="M1021" s="237"/>
      <c r="N1021" s="237"/>
      <c r="O1021" s="237"/>
      <c r="P1021" s="237"/>
      <c r="Q1021" s="237"/>
      <c r="R1021" s="237"/>
      <c r="S1021" s="237"/>
      <c r="T1021" s="237"/>
      <c r="U1021" s="237"/>
      <c r="V1021" s="237"/>
      <c r="W1021" s="237"/>
      <c r="X1021" s="237"/>
      <c r="Y1021" s="237"/>
      <c r="Z1021" s="237"/>
    </row>
    <row r="1022" spans="1:26">
      <c r="A1022" s="238"/>
      <c r="B1022" s="237"/>
      <c r="D1022" s="237"/>
      <c r="E1022" s="237"/>
      <c r="F1022" s="237"/>
      <c r="G1022" s="237"/>
      <c r="H1022" s="237"/>
      <c r="I1022" s="237"/>
      <c r="J1022" s="237"/>
      <c r="K1022" s="237"/>
      <c r="L1022" s="237"/>
      <c r="M1022" s="237"/>
      <c r="N1022" s="237"/>
      <c r="O1022" s="237"/>
      <c r="P1022" s="237"/>
      <c r="Q1022" s="237"/>
      <c r="R1022" s="237"/>
      <c r="S1022" s="237"/>
      <c r="T1022" s="237"/>
      <c r="U1022" s="237"/>
      <c r="V1022" s="237"/>
      <c r="W1022" s="237"/>
      <c r="X1022" s="237"/>
      <c r="Y1022" s="237"/>
      <c r="Z1022" s="237"/>
    </row>
    <row r="1023" spans="1:26">
      <c r="A1023" s="238"/>
      <c r="B1023" s="237"/>
      <c r="D1023" s="237"/>
      <c r="E1023" s="237"/>
      <c r="F1023" s="237"/>
      <c r="G1023" s="237"/>
      <c r="H1023" s="237"/>
      <c r="I1023" s="237"/>
      <c r="J1023" s="237"/>
      <c r="K1023" s="237"/>
      <c r="L1023" s="237"/>
      <c r="M1023" s="237"/>
      <c r="N1023" s="237"/>
      <c r="O1023" s="237"/>
      <c r="P1023" s="237"/>
      <c r="Q1023" s="237"/>
      <c r="R1023" s="237"/>
      <c r="S1023" s="237"/>
      <c r="T1023" s="237"/>
      <c r="U1023" s="237"/>
      <c r="V1023" s="237"/>
      <c r="W1023" s="237"/>
      <c r="X1023" s="237"/>
      <c r="Y1023" s="237"/>
      <c r="Z1023" s="237"/>
    </row>
    <row r="1024" spans="1:26">
      <c r="A1024" s="238"/>
      <c r="B1024" s="237"/>
      <c r="D1024" s="237"/>
      <c r="E1024" s="237"/>
      <c r="F1024" s="237"/>
      <c r="G1024" s="237"/>
      <c r="H1024" s="237"/>
      <c r="I1024" s="237"/>
      <c r="J1024" s="237"/>
      <c r="K1024" s="237"/>
      <c r="L1024" s="237"/>
      <c r="M1024" s="237"/>
      <c r="N1024" s="237"/>
      <c r="O1024" s="237"/>
      <c r="P1024" s="237"/>
      <c r="Q1024" s="237"/>
      <c r="R1024" s="237"/>
      <c r="S1024" s="237"/>
      <c r="T1024" s="237"/>
      <c r="U1024" s="237"/>
      <c r="V1024" s="237"/>
      <c r="W1024" s="237"/>
      <c r="X1024" s="237"/>
      <c r="Y1024" s="237"/>
      <c r="Z1024" s="237"/>
    </row>
    <row r="1025" spans="1:26">
      <c r="A1025" s="238"/>
      <c r="B1025" s="237"/>
      <c r="D1025" s="237"/>
      <c r="E1025" s="237"/>
      <c r="F1025" s="237"/>
      <c r="G1025" s="237"/>
      <c r="H1025" s="237"/>
      <c r="I1025" s="237"/>
      <c r="J1025" s="237"/>
      <c r="K1025" s="237"/>
      <c r="L1025" s="237"/>
      <c r="M1025" s="237"/>
      <c r="N1025" s="237"/>
      <c r="O1025" s="237"/>
      <c r="P1025" s="237"/>
      <c r="Q1025" s="237"/>
      <c r="R1025" s="237"/>
      <c r="S1025" s="237"/>
      <c r="T1025" s="237"/>
      <c r="U1025" s="237"/>
      <c r="V1025" s="237"/>
      <c r="W1025" s="237"/>
      <c r="X1025" s="237"/>
      <c r="Y1025" s="237"/>
      <c r="Z1025" s="237"/>
    </row>
    <row r="1026" spans="1:26">
      <c r="A1026" s="238"/>
      <c r="B1026" s="237"/>
      <c r="D1026" s="237"/>
      <c r="E1026" s="237"/>
      <c r="F1026" s="237"/>
      <c r="G1026" s="237"/>
      <c r="H1026" s="237"/>
      <c r="I1026" s="237"/>
      <c r="J1026" s="237"/>
      <c r="K1026" s="237"/>
      <c r="L1026" s="237"/>
      <c r="M1026" s="237"/>
      <c r="N1026" s="237"/>
      <c r="O1026" s="237"/>
      <c r="P1026" s="237"/>
      <c r="Q1026" s="237"/>
      <c r="R1026" s="237"/>
      <c r="S1026" s="237"/>
      <c r="T1026" s="237"/>
      <c r="U1026" s="237"/>
      <c r="V1026" s="237"/>
      <c r="W1026" s="237"/>
      <c r="X1026" s="237"/>
      <c r="Y1026" s="237"/>
      <c r="Z1026" s="237"/>
    </row>
    <row r="1027" spans="1:26">
      <c r="A1027" s="238"/>
      <c r="B1027" s="237"/>
      <c r="D1027" s="237"/>
      <c r="E1027" s="237"/>
      <c r="F1027" s="237"/>
      <c r="G1027" s="237"/>
      <c r="H1027" s="237"/>
      <c r="I1027" s="237"/>
      <c r="J1027" s="237"/>
      <c r="K1027" s="237"/>
      <c r="L1027" s="237"/>
      <c r="M1027" s="237"/>
      <c r="N1027" s="237"/>
      <c r="O1027" s="237"/>
      <c r="P1027" s="237"/>
      <c r="Q1027" s="237"/>
      <c r="R1027" s="237"/>
      <c r="S1027" s="237"/>
      <c r="T1027" s="237"/>
      <c r="U1027" s="237"/>
      <c r="V1027" s="237"/>
      <c r="W1027" s="237"/>
      <c r="X1027" s="237"/>
      <c r="Y1027" s="237"/>
      <c r="Z1027" s="237"/>
    </row>
  </sheetData>
  <autoFilter ref="A239:Z259"/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GA997"/>
  <sheetViews>
    <sheetView showGridLines="0" workbookViewId="0">
      <selection activeCell="D10" sqref="D10"/>
    </sheetView>
  </sheetViews>
  <sheetFormatPr defaultColWidth="15.140625" defaultRowHeight="15" customHeight="1" outlineLevelCol="1"/>
  <cols>
    <col min="1" max="1" width="30.42578125" style="190" bestFit="1" customWidth="1"/>
    <col min="2" max="3" width="5.140625" style="190" customWidth="1" outlineLevel="1"/>
    <col min="4" max="4" width="9.5703125" style="190" customWidth="1" outlineLevel="1"/>
    <col min="5" max="5" width="5.140625" style="190" customWidth="1" outlineLevel="1"/>
    <col min="6" max="6" width="9.5703125" style="190" customWidth="1" outlineLevel="1"/>
    <col min="7" max="7" width="8" style="190" customWidth="1" outlineLevel="1"/>
    <col min="8" max="8" width="9.5703125" style="190" customWidth="1" outlineLevel="1"/>
    <col min="9" max="10" width="5.140625" style="190" customWidth="1" outlineLevel="1"/>
    <col min="11" max="12" width="9.5703125" style="190" customWidth="1" outlineLevel="1"/>
    <col min="13" max="13" width="8" style="190" customWidth="1" outlineLevel="1"/>
    <col min="14" max="15" width="9.5703125" style="190" customWidth="1" outlineLevel="1"/>
    <col min="16" max="17" width="6.140625" style="190" customWidth="1" outlineLevel="1"/>
    <col min="18" max="18" width="9.5703125" style="190" customWidth="1" outlineLevel="1"/>
    <col min="19" max="19" width="8" style="190" customWidth="1" outlineLevel="1"/>
    <col min="20" max="22" width="9.5703125" style="190" customWidth="1" outlineLevel="1"/>
    <col min="23" max="24" width="6.140625" style="190" customWidth="1" outlineLevel="1"/>
    <col min="25" max="25" width="9.5703125" style="190" customWidth="1" outlineLevel="1"/>
    <col min="26" max="26" width="8" style="190" customWidth="1" outlineLevel="1"/>
    <col min="27" max="27" width="9.5703125" style="190" customWidth="1" outlineLevel="1"/>
    <col min="28" max="32" width="6.140625" style="190" customWidth="1" outlineLevel="1"/>
    <col min="33" max="33" width="10.5703125" style="190" customWidth="1"/>
    <col min="34" max="34" width="2.140625" style="198" customWidth="1"/>
    <col min="35" max="35" width="6.140625" style="190" customWidth="1" outlineLevel="1"/>
    <col min="36" max="36" width="9.5703125" style="190" customWidth="1" outlineLevel="1"/>
    <col min="37" max="37" width="8" style="190" customWidth="1" outlineLevel="1"/>
    <col min="38" max="38" width="9.5703125" style="190" customWidth="1" outlineLevel="1"/>
    <col min="39" max="40" width="6.140625" style="190" customWidth="1" outlineLevel="1"/>
    <col min="41" max="42" width="9.5703125" style="190" customWidth="1" outlineLevel="1"/>
    <col min="43" max="43" width="8" style="190" customWidth="1" outlineLevel="1"/>
    <col min="44" max="45" width="9.5703125" style="190" customWidth="1" outlineLevel="1"/>
    <col min="46" max="47" width="7.140625" style="190" customWidth="1" outlineLevel="1"/>
    <col min="48" max="48" width="9.5703125" style="190" customWidth="1" outlineLevel="1"/>
    <col min="49" max="49" width="8" style="190" customWidth="1" outlineLevel="1"/>
    <col min="50" max="52" width="9.5703125" style="190" customWidth="1" outlineLevel="1"/>
    <col min="53" max="54" width="7.140625" style="190" customWidth="1" outlineLevel="1"/>
    <col min="55" max="55" width="9.5703125" style="190" customWidth="1" outlineLevel="1"/>
    <col min="56" max="56" width="8" style="190" customWidth="1" outlineLevel="1"/>
    <col min="57" max="57" width="9.5703125" style="190" customWidth="1" outlineLevel="1"/>
    <col min="58" max="61" width="7.140625" style="190" customWidth="1" outlineLevel="1"/>
    <col min="62" max="62" width="9.5703125" style="190" customWidth="1" outlineLevel="1"/>
    <col min="63" max="63" width="10.5703125" style="190" bestFit="1" customWidth="1"/>
    <col min="64" max="65" width="9.5703125" style="190" customWidth="1" outlineLevel="1"/>
    <col min="66" max="66" width="8" style="190" customWidth="1" outlineLevel="1"/>
    <col min="67" max="68" width="9.5703125" style="190" customWidth="1" outlineLevel="1"/>
    <col min="69" max="69" width="8" style="190" customWidth="1" outlineLevel="1"/>
    <col min="70" max="71" width="9.5703125" style="190" customWidth="1" outlineLevel="1"/>
    <col min="72" max="72" width="8" style="190" customWidth="1" outlineLevel="1"/>
    <col min="73" max="84" width="9.5703125" style="190" customWidth="1" outlineLevel="1"/>
    <col min="85" max="85" width="8" style="190" customWidth="1" outlineLevel="1"/>
    <col min="86" max="86" width="9.5703125" style="190" customWidth="1" outlineLevel="1"/>
    <col min="87" max="87" width="7" style="190" customWidth="1" outlineLevel="1"/>
    <col min="88" max="88" width="9.5703125" style="190" customWidth="1" outlineLevel="1"/>
    <col min="89" max="89" width="8" style="190" customWidth="1" outlineLevel="1"/>
    <col min="90" max="90" width="9.5703125" style="190" customWidth="1" outlineLevel="1"/>
    <col min="91" max="91" width="10.5703125" style="190" customWidth="1" outlineLevel="1"/>
    <col min="92" max="92" width="10.5703125" style="190" bestFit="1" customWidth="1"/>
    <col min="93" max="120" width="15.140625" style="190" customWidth="1" outlineLevel="1"/>
    <col min="121" max="121" width="15.140625" style="190" customWidth="1"/>
    <col min="122" max="122" width="15.140625" style="190"/>
    <col min="123" max="150" width="15.140625" style="190" customWidth="1" outlineLevel="1"/>
    <col min="151" max="151" width="15.140625" style="190"/>
    <col min="152" max="181" width="15.140625" style="190" customWidth="1" outlineLevel="1"/>
    <col min="182" max="16384" width="15.140625" style="190"/>
  </cols>
  <sheetData>
    <row r="2" spans="1:183" ht="15" customHeight="1">
      <c r="A2" s="213" t="s">
        <v>1014</v>
      </c>
      <c r="B2" s="212"/>
    </row>
    <row r="5" spans="1:183">
      <c r="B5" s="255" t="s">
        <v>173</v>
      </c>
      <c r="C5" s="255" t="s">
        <v>174</v>
      </c>
      <c r="D5" s="255" t="s">
        <v>175</v>
      </c>
      <c r="E5" s="255" t="s">
        <v>1010</v>
      </c>
      <c r="F5" s="255" t="s">
        <v>176</v>
      </c>
      <c r="G5" s="255" t="s">
        <v>177</v>
      </c>
      <c r="H5" s="255" t="s">
        <v>178</v>
      </c>
      <c r="I5" s="255" t="s">
        <v>173</v>
      </c>
      <c r="J5" s="255" t="s">
        <v>174</v>
      </c>
      <c r="K5" s="255" t="s">
        <v>175</v>
      </c>
      <c r="L5" s="255" t="s">
        <v>1010</v>
      </c>
      <c r="M5" s="255" t="s">
        <v>176</v>
      </c>
      <c r="N5" s="255" t="s">
        <v>177</v>
      </c>
      <c r="O5" s="255" t="s">
        <v>178</v>
      </c>
      <c r="P5" s="255" t="s">
        <v>173</v>
      </c>
      <c r="Q5" s="255" t="s">
        <v>174</v>
      </c>
      <c r="R5" s="255" t="s">
        <v>175</v>
      </c>
      <c r="S5" s="255" t="s">
        <v>1010</v>
      </c>
      <c r="T5" s="255" t="s">
        <v>176</v>
      </c>
      <c r="U5" s="255" t="s">
        <v>177</v>
      </c>
      <c r="V5" s="255" t="s">
        <v>178</v>
      </c>
      <c r="W5" s="255" t="s">
        <v>173</v>
      </c>
      <c r="X5" s="255" t="s">
        <v>174</v>
      </c>
      <c r="Y5" s="255" t="s">
        <v>175</v>
      </c>
      <c r="Z5" s="255" t="s">
        <v>1010</v>
      </c>
      <c r="AA5" s="255" t="s">
        <v>176</v>
      </c>
      <c r="AB5" s="255" t="s">
        <v>177</v>
      </c>
      <c r="AC5" s="255" t="s">
        <v>178</v>
      </c>
      <c r="AD5" s="255" t="s">
        <v>173</v>
      </c>
      <c r="AE5" s="255" t="s">
        <v>174</v>
      </c>
      <c r="AF5" s="255" t="s">
        <v>175</v>
      </c>
      <c r="AG5" s="349" t="s">
        <v>299</v>
      </c>
      <c r="AH5" s="302"/>
      <c r="AI5" s="266" t="s">
        <v>1010</v>
      </c>
      <c r="AJ5" s="266" t="s">
        <v>176</v>
      </c>
      <c r="AK5" s="266" t="s">
        <v>177</v>
      </c>
      <c r="AL5" s="266" t="s">
        <v>178</v>
      </c>
      <c r="AM5" s="266" t="s">
        <v>173</v>
      </c>
      <c r="AN5" s="266" t="s">
        <v>174</v>
      </c>
      <c r="AO5" s="266" t="s">
        <v>175</v>
      </c>
      <c r="AP5" s="266" t="s">
        <v>1010</v>
      </c>
      <c r="AQ5" s="266" t="s">
        <v>176</v>
      </c>
      <c r="AR5" s="266" t="s">
        <v>177</v>
      </c>
      <c r="AS5" s="266" t="s">
        <v>178</v>
      </c>
      <c r="AT5" s="266" t="s">
        <v>173</v>
      </c>
      <c r="AU5" s="266" t="s">
        <v>174</v>
      </c>
      <c r="AV5" s="266" t="s">
        <v>175</v>
      </c>
      <c r="AW5" s="266" t="s">
        <v>1010</v>
      </c>
      <c r="AX5" s="266" t="s">
        <v>176</v>
      </c>
      <c r="AY5" s="266" t="s">
        <v>177</v>
      </c>
      <c r="AZ5" s="266" t="s">
        <v>178</v>
      </c>
      <c r="BA5" s="266" t="s">
        <v>173</v>
      </c>
      <c r="BB5" s="266" t="s">
        <v>174</v>
      </c>
      <c r="BC5" s="266" t="s">
        <v>175</v>
      </c>
      <c r="BD5" s="266" t="s">
        <v>1010</v>
      </c>
      <c r="BE5" s="266" t="s">
        <v>176</v>
      </c>
      <c r="BF5" s="266" t="s">
        <v>177</v>
      </c>
      <c r="BG5" s="266" t="s">
        <v>178</v>
      </c>
      <c r="BH5" s="266" t="s">
        <v>173</v>
      </c>
      <c r="BI5" s="266" t="s">
        <v>174</v>
      </c>
      <c r="BJ5" s="266" t="s">
        <v>175</v>
      </c>
      <c r="BK5" s="349" t="s">
        <v>1011</v>
      </c>
      <c r="BL5" s="266" t="s">
        <v>178</v>
      </c>
      <c r="BM5" s="266" t="s">
        <v>173</v>
      </c>
      <c r="BN5" s="266" t="s">
        <v>174</v>
      </c>
      <c r="BO5" s="266" t="s">
        <v>175</v>
      </c>
      <c r="BP5" s="266" t="s">
        <v>1010</v>
      </c>
      <c r="BQ5" s="266" t="s">
        <v>176</v>
      </c>
      <c r="BR5" s="266" t="s">
        <v>177</v>
      </c>
      <c r="BS5" s="266" t="s">
        <v>178</v>
      </c>
      <c r="BT5" s="266" t="s">
        <v>173</v>
      </c>
      <c r="BU5" s="266" t="s">
        <v>174</v>
      </c>
      <c r="BV5" s="266" t="s">
        <v>175</v>
      </c>
      <c r="BW5" s="266" t="s">
        <v>1010</v>
      </c>
      <c r="BX5" s="266" t="s">
        <v>176</v>
      </c>
      <c r="BY5" s="266" t="s">
        <v>177</v>
      </c>
      <c r="BZ5" s="266" t="s">
        <v>178</v>
      </c>
      <c r="CA5" s="266" t="s">
        <v>173</v>
      </c>
      <c r="CB5" s="266" t="s">
        <v>174</v>
      </c>
      <c r="CC5" s="266" t="s">
        <v>175</v>
      </c>
      <c r="CD5" s="266" t="s">
        <v>1010</v>
      </c>
      <c r="CE5" s="266" t="s">
        <v>176</v>
      </c>
      <c r="CF5" s="266" t="s">
        <v>177</v>
      </c>
      <c r="CG5" s="266" t="s">
        <v>178</v>
      </c>
      <c r="CH5" s="266" t="s">
        <v>173</v>
      </c>
      <c r="CI5" s="266" t="s">
        <v>174</v>
      </c>
      <c r="CJ5" s="266" t="s">
        <v>175</v>
      </c>
      <c r="CK5" s="266" t="s">
        <v>1010</v>
      </c>
      <c r="CL5" s="266" t="s">
        <v>176</v>
      </c>
      <c r="CM5" s="266" t="s">
        <v>177</v>
      </c>
      <c r="CN5" s="349" t="s">
        <v>1012</v>
      </c>
      <c r="CO5" s="266" t="s">
        <v>174</v>
      </c>
      <c r="CP5" s="266" t="s">
        <v>175</v>
      </c>
      <c r="CQ5" s="266" t="s">
        <v>1010</v>
      </c>
      <c r="CR5" s="266" t="s">
        <v>176</v>
      </c>
      <c r="CS5" s="266" t="s">
        <v>177</v>
      </c>
      <c r="CT5" s="266" t="s">
        <v>178</v>
      </c>
      <c r="CU5" s="266" t="s">
        <v>173</v>
      </c>
      <c r="CV5" s="266" t="s">
        <v>174</v>
      </c>
      <c r="CW5" s="266" t="s">
        <v>175</v>
      </c>
      <c r="CX5" s="266" t="s">
        <v>1010</v>
      </c>
      <c r="CY5" s="266" t="s">
        <v>176</v>
      </c>
      <c r="CZ5" s="266" t="s">
        <v>177</v>
      </c>
      <c r="DA5" s="266" t="s">
        <v>178</v>
      </c>
      <c r="DB5" s="266" t="s">
        <v>173</v>
      </c>
      <c r="DC5" s="266" t="s">
        <v>174</v>
      </c>
      <c r="DD5" s="266" t="s">
        <v>175</v>
      </c>
      <c r="DE5" s="266" t="s">
        <v>1010</v>
      </c>
      <c r="DF5" s="266" t="s">
        <v>176</v>
      </c>
      <c r="DG5" s="266" t="s">
        <v>177</v>
      </c>
      <c r="DH5" s="266" t="s">
        <v>178</v>
      </c>
      <c r="DI5" s="266" t="s">
        <v>173</v>
      </c>
      <c r="DJ5" s="266" t="s">
        <v>174</v>
      </c>
      <c r="DK5" s="266" t="s">
        <v>175</v>
      </c>
      <c r="DL5" s="266" t="s">
        <v>1010</v>
      </c>
      <c r="DM5" s="266" t="s">
        <v>176</v>
      </c>
      <c r="DN5" s="266" t="s">
        <v>177</v>
      </c>
      <c r="DO5" s="266" t="s">
        <v>178</v>
      </c>
      <c r="DP5" s="266" t="s">
        <v>173</v>
      </c>
      <c r="DQ5" s="349" t="s">
        <v>1037</v>
      </c>
      <c r="DR5" s="349" t="s">
        <v>1013</v>
      </c>
      <c r="DS5" s="266" t="s">
        <v>176</v>
      </c>
      <c r="DT5" s="266" t="s">
        <v>177</v>
      </c>
      <c r="DU5" s="266" t="s">
        <v>178</v>
      </c>
      <c r="DV5" s="266" t="s">
        <v>173</v>
      </c>
      <c r="DW5" s="266" t="s">
        <v>174</v>
      </c>
      <c r="DX5" s="266" t="s">
        <v>175</v>
      </c>
      <c r="DY5" s="266" t="s">
        <v>1010</v>
      </c>
      <c r="DZ5" s="266" t="s">
        <v>176</v>
      </c>
      <c r="EA5" s="266" t="s">
        <v>177</v>
      </c>
      <c r="EB5" s="266" t="s">
        <v>178</v>
      </c>
      <c r="EC5" s="266" t="s">
        <v>173</v>
      </c>
      <c r="ED5" s="266" t="s">
        <v>174</v>
      </c>
      <c r="EE5" s="266" t="s">
        <v>175</v>
      </c>
      <c r="EF5" s="266" t="s">
        <v>1010</v>
      </c>
      <c r="EG5" s="266" t="s">
        <v>176</v>
      </c>
      <c r="EH5" s="266" t="s">
        <v>177</v>
      </c>
      <c r="EI5" s="266" t="s">
        <v>178</v>
      </c>
      <c r="EJ5" s="266" t="s">
        <v>173</v>
      </c>
      <c r="EK5" s="266" t="s">
        <v>174</v>
      </c>
      <c r="EL5" s="266" t="s">
        <v>175</v>
      </c>
      <c r="EM5" s="266" t="s">
        <v>1010</v>
      </c>
      <c r="EN5" s="266" t="s">
        <v>176</v>
      </c>
      <c r="EO5" s="266" t="s">
        <v>177</v>
      </c>
      <c r="EP5" s="266" t="s">
        <v>178</v>
      </c>
      <c r="EQ5" s="266" t="s">
        <v>173</v>
      </c>
      <c r="ER5" s="266" t="s">
        <v>174</v>
      </c>
      <c r="ES5" s="266" t="s">
        <v>175</v>
      </c>
      <c r="ET5" s="266" t="s">
        <v>1010</v>
      </c>
      <c r="EU5" s="349" t="s">
        <v>1016</v>
      </c>
      <c r="EV5" s="266" t="s">
        <v>178</v>
      </c>
      <c r="EW5" s="266" t="s">
        <v>173</v>
      </c>
      <c r="EX5" s="266" t="s">
        <v>174</v>
      </c>
      <c r="EY5" s="266" t="s">
        <v>175</v>
      </c>
      <c r="EZ5" s="266" t="s">
        <v>1010</v>
      </c>
      <c r="FA5" s="266" t="s">
        <v>176</v>
      </c>
      <c r="FB5" s="266" t="s">
        <v>177</v>
      </c>
      <c r="FC5" s="266" t="s">
        <v>178</v>
      </c>
      <c r="FD5" s="266" t="s">
        <v>173</v>
      </c>
      <c r="FE5" s="266" t="s">
        <v>174</v>
      </c>
      <c r="FF5" s="266" t="s">
        <v>175</v>
      </c>
      <c r="FG5" s="266" t="s">
        <v>1010</v>
      </c>
      <c r="FH5" s="266" t="s">
        <v>176</v>
      </c>
      <c r="FI5" s="266" t="s">
        <v>177</v>
      </c>
      <c r="FJ5" s="266" t="s">
        <v>178</v>
      </c>
      <c r="FK5" s="266" t="s">
        <v>173</v>
      </c>
      <c r="FL5" s="266" t="s">
        <v>174</v>
      </c>
      <c r="FM5" s="266" t="s">
        <v>175</v>
      </c>
      <c r="FN5" s="266" t="s">
        <v>1010</v>
      </c>
      <c r="FO5" s="266" t="s">
        <v>176</v>
      </c>
      <c r="FP5" s="266" t="s">
        <v>177</v>
      </c>
      <c r="FQ5" s="266" t="s">
        <v>178</v>
      </c>
      <c r="FR5" s="266" t="s">
        <v>173</v>
      </c>
      <c r="FS5" s="266" t="s">
        <v>174</v>
      </c>
      <c r="FT5" s="266" t="s">
        <v>175</v>
      </c>
      <c r="FU5" s="266" t="s">
        <v>1010</v>
      </c>
      <c r="FV5" s="266" t="s">
        <v>176</v>
      </c>
      <c r="FW5" s="266" t="s">
        <v>177</v>
      </c>
      <c r="FX5" s="266" t="s">
        <v>178</v>
      </c>
      <c r="FY5" s="266" t="s">
        <v>173</v>
      </c>
      <c r="FZ5" s="349" t="s">
        <v>1017</v>
      </c>
      <c r="GA5" s="349" t="s">
        <v>1038</v>
      </c>
    </row>
    <row r="6" spans="1:183">
      <c r="B6" s="211">
        <v>42917</v>
      </c>
      <c r="C6" s="211">
        <v>42918</v>
      </c>
      <c r="D6" s="211">
        <v>42919</v>
      </c>
      <c r="E6" s="211">
        <v>42920</v>
      </c>
      <c r="F6" s="211">
        <v>42921</v>
      </c>
      <c r="G6" s="211">
        <v>42922</v>
      </c>
      <c r="H6" s="211">
        <v>42923</v>
      </c>
      <c r="I6" s="211">
        <v>42924</v>
      </c>
      <c r="J6" s="211">
        <v>42925</v>
      </c>
      <c r="K6" s="211">
        <v>42926</v>
      </c>
      <c r="L6" s="211">
        <v>42927</v>
      </c>
      <c r="M6" s="211">
        <v>42928</v>
      </c>
      <c r="N6" s="211">
        <v>42929</v>
      </c>
      <c r="O6" s="211">
        <v>42930</v>
      </c>
      <c r="P6" s="211">
        <v>42931</v>
      </c>
      <c r="Q6" s="211">
        <v>42932</v>
      </c>
      <c r="R6" s="211">
        <v>42933</v>
      </c>
      <c r="S6" s="211">
        <v>42934</v>
      </c>
      <c r="T6" s="211">
        <v>42935</v>
      </c>
      <c r="U6" s="211">
        <v>42936</v>
      </c>
      <c r="V6" s="211">
        <v>42937</v>
      </c>
      <c r="W6" s="211">
        <v>42938</v>
      </c>
      <c r="X6" s="211">
        <v>42939</v>
      </c>
      <c r="Y6" s="211">
        <v>42940</v>
      </c>
      <c r="Z6" s="211">
        <v>42941</v>
      </c>
      <c r="AA6" s="211">
        <v>42942</v>
      </c>
      <c r="AB6" s="211">
        <v>42943</v>
      </c>
      <c r="AC6" s="211">
        <v>42944</v>
      </c>
      <c r="AD6" s="211">
        <v>42945</v>
      </c>
      <c r="AE6" s="211">
        <v>42946</v>
      </c>
      <c r="AF6" s="211">
        <v>42946</v>
      </c>
      <c r="AG6" s="349"/>
      <c r="AH6" s="303"/>
      <c r="AI6" s="218">
        <v>42948</v>
      </c>
      <c r="AJ6" s="218">
        <v>42949</v>
      </c>
      <c r="AK6" s="218">
        <v>42950</v>
      </c>
      <c r="AL6" s="218">
        <v>42951</v>
      </c>
      <c r="AM6" s="218">
        <v>42952</v>
      </c>
      <c r="AN6" s="218">
        <v>42953</v>
      </c>
      <c r="AO6" s="218">
        <v>42954</v>
      </c>
      <c r="AP6" s="218">
        <v>42955</v>
      </c>
      <c r="AQ6" s="218">
        <v>42956</v>
      </c>
      <c r="AR6" s="218">
        <v>42957</v>
      </c>
      <c r="AS6" s="218">
        <v>42958</v>
      </c>
      <c r="AT6" s="218">
        <v>42959</v>
      </c>
      <c r="AU6" s="218">
        <v>42960</v>
      </c>
      <c r="AV6" s="218">
        <v>42961</v>
      </c>
      <c r="AW6" s="218">
        <v>42962</v>
      </c>
      <c r="AX6" s="218">
        <v>42963</v>
      </c>
      <c r="AY6" s="218">
        <v>42964</v>
      </c>
      <c r="AZ6" s="218">
        <v>42965</v>
      </c>
      <c r="BA6" s="218">
        <v>42966</v>
      </c>
      <c r="BB6" s="218">
        <v>42967</v>
      </c>
      <c r="BC6" s="218">
        <v>42968</v>
      </c>
      <c r="BD6" s="218">
        <v>42969</v>
      </c>
      <c r="BE6" s="218">
        <v>42970</v>
      </c>
      <c r="BF6" s="218">
        <v>42971</v>
      </c>
      <c r="BG6" s="218">
        <v>42972</v>
      </c>
      <c r="BH6" s="218">
        <v>42973</v>
      </c>
      <c r="BI6" s="218">
        <v>42974</v>
      </c>
      <c r="BJ6" s="218">
        <v>42975</v>
      </c>
      <c r="BK6" s="349"/>
      <c r="BL6" s="218">
        <v>42979</v>
      </c>
      <c r="BM6" s="218">
        <v>42980</v>
      </c>
      <c r="BN6" s="218">
        <v>42981</v>
      </c>
      <c r="BO6" s="218">
        <v>42982</v>
      </c>
      <c r="BP6" s="218">
        <v>42983</v>
      </c>
      <c r="BQ6" s="218">
        <v>42984</v>
      </c>
      <c r="BR6" s="218">
        <v>42985</v>
      </c>
      <c r="BS6" s="218">
        <v>42986</v>
      </c>
      <c r="BT6" s="218">
        <v>42987</v>
      </c>
      <c r="BU6" s="218">
        <v>42988</v>
      </c>
      <c r="BV6" s="218">
        <v>42989</v>
      </c>
      <c r="BW6" s="218">
        <v>42990</v>
      </c>
      <c r="BX6" s="218">
        <v>42991</v>
      </c>
      <c r="BY6" s="218">
        <v>42992</v>
      </c>
      <c r="BZ6" s="218">
        <v>42993</v>
      </c>
      <c r="CA6" s="218">
        <v>42994</v>
      </c>
      <c r="CB6" s="218">
        <v>42995</v>
      </c>
      <c r="CC6" s="218">
        <v>42996</v>
      </c>
      <c r="CD6" s="218">
        <v>42997</v>
      </c>
      <c r="CE6" s="218">
        <v>42998</v>
      </c>
      <c r="CF6" s="218">
        <v>42999</v>
      </c>
      <c r="CG6" s="218">
        <v>43000</v>
      </c>
      <c r="CH6" s="218">
        <v>43001</v>
      </c>
      <c r="CI6" s="218">
        <v>43002</v>
      </c>
      <c r="CJ6" s="218">
        <v>43003</v>
      </c>
      <c r="CK6" s="218">
        <v>43004</v>
      </c>
      <c r="CL6" s="218">
        <v>43005</v>
      </c>
      <c r="CM6" s="218">
        <v>43006</v>
      </c>
      <c r="CN6" s="349"/>
      <c r="CO6" s="218">
        <v>43009</v>
      </c>
      <c r="CP6" s="218">
        <v>43010</v>
      </c>
      <c r="CQ6" s="218">
        <v>43011</v>
      </c>
      <c r="CR6" s="218">
        <v>43012</v>
      </c>
      <c r="CS6" s="218">
        <v>43013</v>
      </c>
      <c r="CT6" s="218">
        <v>43014</v>
      </c>
      <c r="CU6" s="218">
        <v>43015</v>
      </c>
      <c r="CV6" s="218">
        <v>43016</v>
      </c>
      <c r="CW6" s="218">
        <v>43017</v>
      </c>
      <c r="CX6" s="218">
        <v>43018</v>
      </c>
      <c r="CY6" s="218">
        <v>43019</v>
      </c>
      <c r="CZ6" s="218">
        <v>43020</v>
      </c>
      <c r="DA6" s="218">
        <v>43021</v>
      </c>
      <c r="DB6" s="218">
        <v>43022</v>
      </c>
      <c r="DC6" s="218">
        <v>43023</v>
      </c>
      <c r="DD6" s="218">
        <v>43024</v>
      </c>
      <c r="DE6" s="218">
        <v>43025</v>
      </c>
      <c r="DF6" s="218">
        <v>43026</v>
      </c>
      <c r="DG6" s="218">
        <v>43027</v>
      </c>
      <c r="DH6" s="218">
        <v>43028</v>
      </c>
      <c r="DI6" s="218">
        <v>43029</v>
      </c>
      <c r="DJ6" s="218">
        <v>43030</v>
      </c>
      <c r="DK6" s="218">
        <v>43031</v>
      </c>
      <c r="DL6" s="218">
        <v>43032</v>
      </c>
      <c r="DM6" s="218">
        <v>43033</v>
      </c>
      <c r="DN6" s="218">
        <v>43034</v>
      </c>
      <c r="DO6" s="218">
        <v>43035</v>
      </c>
      <c r="DP6" s="218">
        <v>43036</v>
      </c>
      <c r="DQ6" s="349"/>
      <c r="DR6" s="349"/>
      <c r="DS6" s="218">
        <v>43040</v>
      </c>
      <c r="DT6" s="218">
        <v>43041</v>
      </c>
      <c r="DU6" s="218">
        <v>43042</v>
      </c>
      <c r="DV6" s="218">
        <v>43043</v>
      </c>
      <c r="DW6" s="218">
        <v>43044</v>
      </c>
      <c r="DX6" s="218">
        <v>43045</v>
      </c>
      <c r="DY6" s="218">
        <v>43046</v>
      </c>
      <c r="DZ6" s="218">
        <v>43047</v>
      </c>
      <c r="EA6" s="218">
        <v>43048</v>
      </c>
      <c r="EB6" s="218">
        <v>43049</v>
      </c>
      <c r="EC6" s="218">
        <v>43050</v>
      </c>
      <c r="ED6" s="218">
        <v>43051</v>
      </c>
      <c r="EE6" s="218">
        <v>43052</v>
      </c>
      <c r="EF6" s="218">
        <v>43053</v>
      </c>
      <c r="EG6" s="218">
        <v>43054</v>
      </c>
      <c r="EH6" s="218">
        <v>43055</v>
      </c>
      <c r="EI6" s="218">
        <v>43056</v>
      </c>
      <c r="EJ6" s="218">
        <v>43057</v>
      </c>
      <c r="EK6" s="218">
        <v>43058</v>
      </c>
      <c r="EL6" s="218">
        <v>43059</v>
      </c>
      <c r="EM6" s="218">
        <v>43060</v>
      </c>
      <c r="EN6" s="218">
        <v>43061</v>
      </c>
      <c r="EO6" s="218">
        <v>43062</v>
      </c>
      <c r="EP6" s="218">
        <v>43063</v>
      </c>
      <c r="EQ6" s="218">
        <v>43064</v>
      </c>
      <c r="ER6" s="218">
        <v>43065</v>
      </c>
      <c r="ES6" s="218">
        <v>43066</v>
      </c>
      <c r="ET6" s="218">
        <v>43067</v>
      </c>
      <c r="EU6" s="349"/>
      <c r="EV6" s="218">
        <v>43070</v>
      </c>
      <c r="EW6" s="218">
        <v>43071</v>
      </c>
      <c r="EX6" s="218">
        <v>43072</v>
      </c>
      <c r="EY6" s="218">
        <v>43073</v>
      </c>
      <c r="EZ6" s="218">
        <v>43074</v>
      </c>
      <c r="FA6" s="218">
        <v>43075</v>
      </c>
      <c r="FB6" s="218">
        <v>43076</v>
      </c>
      <c r="FC6" s="218">
        <v>43077</v>
      </c>
      <c r="FD6" s="218">
        <v>43078</v>
      </c>
      <c r="FE6" s="218">
        <v>43079</v>
      </c>
      <c r="FF6" s="218">
        <v>43080</v>
      </c>
      <c r="FG6" s="218">
        <v>43081</v>
      </c>
      <c r="FH6" s="218">
        <v>43082</v>
      </c>
      <c r="FI6" s="218">
        <v>43083</v>
      </c>
      <c r="FJ6" s="218">
        <v>43084</v>
      </c>
      <c r="FK6" s="218">
        <v>43085</v>
      </c>
      <c r="FL6" s="218">
        <v>43086</v>
      </c>
      <c r="FM6" s="218">
        <v>43087</v>
      </c>
      <c r="FN6" s="218">
        <v>43088</v>
      </c>
      <c r="FO6" s="218">
        <v>43089</v>
      </c>
      <c r="FP6" s="218">
        <v>43090</v>
      </c>
      <c r="FQ6" s="218">
        <v>43091</v>
      </c>
      <c r="FR6" s="218">
        <v>43092</v>
      </c>
      <c r="FS6" s="218">
        <v>43093</v>
      </c>
      <c r="FT6" s="218">
        <v>43094</v>
      </c>
      <c r="FU6" s="218">
        <v>43095</v>
      </c>
      <c r="FV6" s="218">
        <v>43096</v>
      </c>
      <c r="FW6" s="218">
        <v>43097</v>
      </c>
      <c r="FX6" s="218">
        <v>43098</v>
      </c>
      <c r="FY6" s="218">
        <v>43099</v>
      </c>
      <c r="FZ6" s="349"/>
      <c r="GA6" s="349"/>
    </row>
    <row r="7" spans="1:183">
      <c r="A7" s="214" t="s">
        <v>298</v>
      </c>
      <c r="B7" s="197"/>
      <c r="C7" s="197"/>
      <c r="D7" s="197"/>
      <c r="E7" s="257"/>
      <c r="F7" s="197"/>
      <c r="G7" s="197"/>
      <c r="H7" s="197"/>
      <c r="I7" s="194"/>
      <c r="J7" s="194"/>
      <c r="K7" s="197"/>
      <c r="L7" s="197"/>
      <c r="M7" s="197"/>
      <c r="N7" s="197"/>
      <c r="O7" s="197"/>
      <c r="P7" s="194"/>
      <c r="Q7" s="194"/>
      <c r="R7" s="197"/>
      <c r="S7" s="197"/>
      <c r="T7" s="197"/>
      <c r="U7" s="197"/>
      <c r="V7" s="197"/>
      <c r="W7" s="194"/>
      <c r="X7" s="194"/>
      <c r="Y7" s="196"/>
      <c r="Z7" s="196"/>
      <c r="AA7" s="196"/>
      <c r="AB7" s="196"/>
      <c r="AC7" s="197"/>
      <c r="AD7" s="194"/>
      <c r="AE7" s="258"/>
      <c r="AF7" s="196"/>
      <c r="AG7" s="193"/>
      <c r="AI7" s="195"/>
      <c r="AJ7" s="195"/>
      <c r="AN7" s="196"/>
      <c r="AO7" s="196"/>
      <c r="AP7" s="195"/>
      <c r="AQ7" s="195"/>
      <c r="AS7" s="196"/>
      <c r="AT7" s="196"/>
      <c r="AU7" s="196"/>
      <c r="AW7" s="195"/>
      <c r="AX7" s="195"/>
      <c r="BD7" s="195"/>
      <c r="BE7" s="195"/>
      <c r="BL7" s="196"/>
      <c r="BM7" s="196"/>
      <c r="BN7" s="196"/>
      <c r="BO7" s="196"/>
      <c r="BP7" s="195"/>
      <c r="BQ7" s="195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196"/>
      <c r="CQ7" s="196"/>
      <c r="CR7" s="196"/>
      <c r="CS7" s="195"/>
      <c r="CT7" s="195"/>
      <c r="CU7" s="196"/>
      <c r="CV7" s="196"/>
      <c r="CW7" s="196"/>
      <c r="CX7" s="196"/>
      <c r="CY7" s="196"/>
      <c r="CZ7" s="196"/>
      <c r="DA7" s="196"/>
      <c r="DB7" s="196"/>
      <c r="DC7" s="196"/>
      <c r="DD7" s="196"/>
      <c r="DE7" s="196"/>
      <c r="DF7" s="196"/>
      <c r="DG7" s="196"/>
      <c r="DH7" s="196"/>
      <c r="DI7" s="196"/>
      <c r="DJ7" s="196"/>
      <c r="DK7" s="196"/>
      <c r="DL7" s="196"/>
      <c r="DM7" s="196"/>
      <c r="DN7" s="196"/>
      <c r="DO7" s="196"/>
      <c r="DP7" s="196"/>
      <c r="DQ7" s="196"/>
      <c r="DR7" s="196"/>
      <c r="DS7" s="196"/>
      <c r="DT7" s="196"/>
      <c r="DU7" s="196"/>
      <c r="DV7" s="196"/>
      <c r="DW7" s="195"/>
      <c r="DX7" s="195"/>
      <c r="DY7" s="196"/>
      <c r="DZ7" s="196"/>
      <c r="EA7" s="196"/>
      <c r="EB7" s="196"/>
      <c r="EC7" s="196"/>
      <c r="ED7" s="196"/>
      <c r="EE7" s="196"/>
      <c r="EF7" s="196"/>
      <c r="EG7" s="196"/>
      <c r="EH7" s="196"/>
      <c r="EI7" s="196"/>
      <c r="EJ7" s="196"/>
      <c r="EK7" s="196"/>
      <c r="EL7" s="196"/>
      <c r="EM7" s="196"/>
      <c r="EN7" s="196"/>
      <c r="EO7" s="196"/>
      <c r="EP7" s="196"/>
      <c r="EQ7" s="196"/>
      <c r="ER7" s="196"/>
      <c r="ES7" s="196"/>
      <c r="ET7" s="196"/>
      <c r="EU7" s="196"/>
      <c r="EV7" s="196"/>
      <c r="EW7" s="196"/>
      <c r="EX7" s="196"/>
      <c r="EY7" s="196"/>
      <c r="EZ7" s="195"/>
      <c r="FA7" s="195"/>
      <c r="FB7" s="196"/>
      <c r="FC7" s="196"/>
      <c r="FD7" s="196"/>
      <c r="FE7" s="196"/>
      <c r="FF7" s="196"/>
      <c r="FG7" s="196"/>
      <c r="FH7" s="196"/>
      <c r="FI7" s="196"/>
      <c r="FJ7" s="196"/>
      <c r="FK7" s="196"/>
      <c r="FL7" s="196"/>
      <c r="FM7" s="196"/>
      <c r="FN7" s="196"/>
      <c r="FO7" s="196"/>
      <c r="FP7" s="196"/>
      <c r="FQ7" s="196"/>
      <c r="FR7" s="196"/>
      <c r="FS7" s="196"/>
      <c r="FT7" s="196"/>
      <c r="FU7" s="196"/>
      <c r="FV7" s="196"/>
      <c r="FW7" s="196"/>
      <c r="FX7" s="196"/>
      <c r="FY7" s="196"/>
      <c r="FZ7" s="196"/>
      <c r="GA7" s="196"/>
    </row>
    <row r="8" spans="1:183">
      <c r="A8" s="256" t="s">
        <v>1009</v>
      </c>
      <c r="B8" s="194"/>
      <c r="C8" s="194"/>
      <c r="D8" s="260">
        <v>5156.7000000000007</v>
      </c>
      <c r="E8" s="261"/>
      <c r="F8" s="260">
        <v>1711.21</v>
      </c>
      <c r="G8" s="260">
        <v>876.1</v>
      </c>
      <c r="H8" s="260">
        <v>1253.23</v>
      </c>
      <c r="I8" s="260"/>
      <c r="J8" s="261"/>
      <c r="K8" s="260">
        <v>1583.8400000000001</v>
      </c>
      <c r="L8" s="260">
        <v>1618.38</v>
      </c>
      <c r="M8" s="260">
        <v>236.19</v>
      </c>
      <c r="N8" s="260">
        <v>2422.58</v>
      </c>
      <c r="O8" s="260">
        <v>1420.5</v>
      </c>
      <c r="P8" s="260"/>
      <c r="Q8" s="261"/>
      <c r="R8" s="260">
        <v>4799.1400000000003</v>
      </c>
      <c r="S8" s="260">
        <v>492.48</v>
      </c>
      <c r="T8" s="260">
        <v>1507.0700000000002</v>
      </c>
      <c r="U8" s="260">
        <v>2722.15</v>
      </c>
      <c r="V8" s="260">
        <v>1555.01</v>
      </c>
      <c r="W8" s="260"/>
      <c r="X8" s="261"/>
      <c r="Y8" s="260">
        <v>4746.16</v>
      </c>
      <c r="Z8" s="260">
        <v>357.73</v>
      </c>
      <c r="AA8" s="260">
        <v>1617.02</v>
      </c>
      <c r="AB8" s="269"/>
      <c r="AC8" s="260"/>
      <c r="AD8" s="261"/>
      <c r="AE8" s="269"/>
      <c r="AF8" s="269"/>
      <c r="AG8" s="269">
        <f>SUM(D8:AF8)</f>
        <v>34075.49</v>
      </c>
      <c r="AH8" s="270"/>
      <c r="AI8" s="267">
        <f>E8*1.005</f>
        <v>0</v>
      </c>
      <c r="AJ8" s="267">
        <f t="shared" ref="AJ8" si="0">F8*1.005</f>
        <v>1719.76605</v>
      </c>
      <c r="AK8" s="267">
        <f t="shared" ref="AK8" si="1">G8*1.005</f>
        <v>880.48049999999989</v>
      </c>
      <c r="AL8" s="267">
        <f t="shared" ref="AL8" si="2">H8*1.005</f>
        <v>1259.4961499999999</v>
      </c>
      <c r="AM8" s="267">
        <f t="shared" ref="AM8" si="3">I8*1.005</f>
        <v>0</v>
      </c>
      <c r="AN8" s="267">
        <f t="shared" ref="AN8" si="4">J8*1.005</f>
        <v>0</v>
      </c>
      <c r="AO8" s="267">
        <f t="shared" ref="AO8" si="5">K8*1.005</f>
        <v>1591.7592</v>
      </c>
      <c r="AP8" s="267">
        <f t="shared" ref="AP8" si="6">L8*1.005</f>
        <v>1626.4719</v>
      </c>
      <c r="AQ8" s="267">
        <f t="shared" ref="AQ8" si="7">M8*1.005</f>
        <v>237.37094999999997</v>
      </c>
      <c r="AR8" s="267">
        <f t="shared" ref="AR8" si="8">N8*1.005</f>
        <v>2434.6928999999996</v>
      </c>
      <c r="AS8" s="267">
        <f t="shared" ref="AS8" si="9">O8*1.005</f>
        <v>1427.6024999999997</v>
      </c>
      <c r="AT8" s="267">
        <f t="shared" ref="AT8" si="10">P8*1.005</f>
        <v>0</v>
      </c>
      <c r="AU8" s="267">
        <f t="shared" ref="AU8" si="11">Q8*1.005</f>
        <v>0</v>
      </c>
      <c r="AV8" s="267">
        <f t="shared" ref="AV8" si="12">R8*1.005</f>
        <v>4823.1356999999998</v>
      </c>
      <c r="AW8" s="267">
        <f t="shared" ref="AW8" si="13">S8*1.005</f>
        <v>494.94239999999996</v>
      </c>
      <c r="AX8" s="267">
        <f t="shared" ref="AX8" si="14">T8*1.005</f>
        <v>1514.60535</v>
      </c>
      <c r="AY8" s="267">
        <f t="shared" ref="AY8" si="15">U8*1.005</f>
        <v>2735.7607499999999</v>
      </c>
      <c r="AZ8" s="267">
        <f t="shared" ref="AZ8" si="16">V8*1.005</f>
        <v>1562.7850499999997</v>
      </c>
      <c r="BA8" s="267">
        <f t="shared" ref="BA8" si="17">W8*1.005</f>
        <v>0</v>
      </c>
      <c r="BB8" s="267">
        <f t="shared" ref="BB8" si="18">X8*1.005</f>
        <v>0</v>
      </c>
      <c r="BC8" s="267">
        <f t="shared" ref="BC8" si="19">Y8*1.005</f>
        <v>4769.8907999999992</v>
      </c>
      <c r="BD8" s="267">
        <f t="shared" ref="BD8" si="20">Z8*1.005</f>
        <v>359.51864999999998</v>
      </c>
      <c r="BE8" s="267">
        <f t="shared" ref="BE8" si="21">AA8*1.005</f>
        <v>1625.1050999999998</v>
      </c>
      <c r="BF8" s="267">
        <f t="shared" ref="BF8" si="22">AB8*1.005</f>
        <v>0</v>
      </c>
      <c r="BG8" s="267">
        <f t="shared" ref="BG8" si="23">AC8*1.005</f>
        <v>0</v>
      </c>
      <c r="BH8" s="267">
        <f t="shared" ref="BH8" si="24">AD8*1.005</f>
        <v>0</v>
      </c>
      <c r="BI8" s="267">
        <f t="shared" ref="BI8" si="25">AE8*1.005</f>
        <v>0</v>
      </c>
      <c r="BJ8" s="267">
        <f>D8*1.005</f>
        <v>5182.4835000000003</v>
      </c>
      <c r="BK8" s="267">
        <f>SUM(AI8:BJ8)</f>
        <v>34245.867449999998</v>
      </c>
      <c r="BL8" s="267">
        <f>AL8*1.005</f>
        <v>1265.7936307499999</v>
      </c>
      <c r="BM8" s="267">
        <f>I8*1.005</f>
        <v>0</v>
      </c>
      <c r="BN8" s="267">
        <f>J8*1.005</f>
        <v>0</v>
      </c>
      <c r="BO8" s="267">
        <f>AO8*1.005</f>
        <v>1599.7179959999999</v>
      </c>
      <c r="BP8" s="267">
        <f>AP8*1.005</f>
        <v>1634.6042594999999</v>
      </c>
      <c r="BQ8" s="267">
        <f>AQ8*1.005</f>
        <v>238.55780474999995</v>
      </c>
      <c r="BR8" s="267">
        <f>AR8*1.005</f>
        <v>2446.8663644999992</v>
      </c>
      <c r="BS8" s="267">
        <f>AS8*1.005</f>
        <v>1434.7405124999996</v>
      </c>
      <c r="BT8" s="267"/>
      <c r="BU8" s="267"/>
      <c r="BV8" s="267">
        <f>AV8*1.005</f>
        <v>4847.2513784999992</v>
      </c>
      <c r="BW8" s="267">
        <f>AW8*1.005</f>
        <v>497.41711199999992</v>
      </c>
      <c r="BX8" s="267">
        <f>AX8*1.005</f>
        <v>1522.1783767499999</v>
      </c>
      <c r="BY8" s="267">
        <f>AY8*1.005</f>
        <v>2749.4395537499995</v>
      </c>
      <c r="BZ8" s="267">
        <f>AZ8*1.005</f>
        <v>1570.5989752499995</v>
      </c>
      <c r="CA8" s="267"/>
      <c r="CB8" s="267"/>
      <c r="CC8" s="267">
        <f>BC8*1.005</f>
        <v>4793.7402539999985</v>
      </c>
      <c r="CD8" s="267">
        <f>BD8*1.005</f>
        <v>361.31624324999996</v>
      </c>
      <c r="CE8" s="267">
        <f>BE8*1.005</f>
        <v>1633.2306254999996</v>
      </c>
      <c r="CF8" s="267">
        <f>BF8*1.005</f>
        <v>0</v>
      </c>
      <c r="CG8" s="267">
        <f>BG8*1.005</f>
        <v>0</v>
      </c>
      <c r="CH8" s="267"/>
      <c r="CI8" s="267">
        <f>BF8*1.005</f>
        <v>0</v>
      </c>
      <c r="CJ8" s="267">
        <f>AJ8*1.005</f>
        <v>1728.3648802499997</v>
      </c>
      <c r="CK8" s="267">
        <f>AK8*1.005</f>
        <v>884.88290249999977</v>
      </c>
      <c r="CL8" s="267"/>
      <c r="CM8" s="267">
        <f>BJ8*1.005</f>
        <v>5208.3959175</v>
      </c>
      <c r="CN8" s="267">
        <f>SUM(BL8:CM8)</f>
        <v>34417.09678724999</v>
      </c>
      <c r="CO8" s="267"/>
      <c r="CP8" s="267">
        <f>BO8*1.005</f>
        <v>1607.7165859799998</v>
      </c>
      <c r="CQ8" s="267">
        <f t="shared" ref="CQ8:CT8" si="26">BP8*1.005</f>
        <v>1642.7772807974998</v>
      </c>
      <c r="CR8" s="267">
        <f t="shared" si="26"/>
        <v>239.75059377374993</v>
      </c>
      <c r="CS8" s="267">
        <f t="shared" si="26"/>
        <v>2459.1006963224991</v>
      </c>
      <c r="CT8" s="267">
        <f t="shared" si="26"/>
        <v>1441.9142150624994</v>
      </c>
      <c r="CU8" s="267">
        <f>BU8*1.005</f>
        <v>0</v>
      </c>
      <c r="CV8" s="267">
        <v>0</v>
      </c>
      <c r="CW8" s="267">
        <f>BV8*1.005</f>
        <v>4871.4876353924983</v>
      </c>
      <c r="CX8" s="267">
        <f t="shared" ref="CX8:DA8" si="27">BW8*1.005</f>
        <v>499.90419755999989</v>
      </c>
      <c r="CY8" s="267">
        <f t="shared" si="27"/>
        <v>1529.7892686337498</v>
      </c>
      <c r="CZ8" s="267">
        <f t="shared" si="27"/>
        <v>2763.1867515187491</v>
      </c>
      <c r="DA8" s="267">
        <f t="shared" si="27"/>
        <v>1578.4519701262493</v>
      </c>
      <c r="DB8" s="267">
        <f>CB8*1.005</f>
        <v>0</v>
      </c>
      <c r="DC8" s="267">
        <v>0</v>
      </c>
      <c r="DD8" s="267">
        <f>CC8*1.005</f>
        <v>4817.7089552699981</v>
      </c>
      <c r="DE8" s="267">
        <f t="shared" ref="DE8:DH8" si="28">CD8*1.005</f>
        <v>363.12282446624994</v>
      </c>
      <c r="DF8" s="267">
        <f t="shared" si="28"/>
        <v>1641.3967786274995</v>
      </c>
      <c r="DG8" s="267">
        <f t="shared" si="28"/>
        <v>0</v>
      </c>
      <c r="DH8" s="267">
        <f t="shared" si="28"/>
        <v>0</v>
      </c>
      <c r="DI8" s="267">
        <f>CI8*1.005</f>
        <v>0</v>
      </c>
      <c r="DJ8" s="267">
        <v>0</v>
      </c>
      <c r="DK8" s="267">
        <f>CJ8*1.005</f>
        <v>1737.0067046512495</v>
      </c>
      <c r="DL8" s="267">
        <f t="shared" ref="DL8:DN8" si="29">CK8*1.005</f>
        <v>889.30731701249965</v>
      </c>
      <c r="DM8" s="267">
        <v>0</v>
      </c>
      <c r="DN8" s="267">
        <f t="shared" si="29"/>
        <v>5234.4378970874996</v>
      </c>
      <c r="DO8" s="267">
        <f>BL8*1.005</f>
        <v>1272.1225989037498</v>
      </c>
      <c r="DP8" s="267"/>
      <c r="DQ8" s="267">
        <f>CN8</f>
        <v>34417.09678724999</v>
      </c>
      <c r="DR8" s="267">
        <f>SUM(CO8:DP8)</f>
        <v>34589.182271186233</v>
      </c>
      <c r="DS8" s="267">
        <f>CR8*1.005</f>
        <v>240.94934674261864</v>
      </c>
      <c r="DT8" s="267">
        <f>CS8*1.005</f>
        <v>2471.3961998041113</v>
      </c>
      <c r="DU8" s="267">
        <f>CT8*1.005</f>
        <v>1449.1237861378117</v>
      </c>
      <c r="DV8" s="267"/>
      <c r="DW8" s="267">
        <f t="shared" ref="DW8" si="30">CU8*1.005</f>
        <v>0</v>
      </c>
      <c r="DX8" s="267">
        <f>CW8*1.005</f>
        <v>4895.8450735694605</v>
      </c>
      <c r="DY8" s="267">
        <f>CX8*1.005</f>
        <v>502.40371854779983</v>
      </c>
      <c r="DZ8" s="267">
        <f>CY8*1.005</f>
        <v>1537.4382149769183</v>
      </c>
      <c r="EA8" s="267">
        <f>CZ8*1.005</f>
        <v>2777.0026852763426</v>
      </c>
      <c r="EB8" s="267">
        <f>DA8*1.005</f>
        <v>1586.3442299768803</v>
      </c>
      <c r="EC8" s="267"/>
      <c r="ED8" s="267">
        <f t="shared" ref="ED8" si="31">DB8*1.005</f>
        <v>0</v>
      </c>
      <c r="EE8" s="267">
        <f>DD8*1.005</f>
        <v>4841.7975000463475</v>
      </c>
      <c r="EF8" s="267">
        <f>DE8*1.005</f>
        <v>364.93843858858116</v>
      </c>
      <c r="EG8" s="267">
        <f>DF8*1.005</f>
        <v>1649.6037625206368</v>
      </c>
      <c r="EH8" s="267">
        <f>DG8*1.005</f>
        <v>0</v>
      </c>
      <c r="EI8" s="267">
        <f>DH8*1.005</f>
        <v>0</v>
      </c>
      <c r="EJ8" s="267">
        <f t="shared" ref="EJ8" si="32">DH8*1.005</f>
        <v>0</v>
      </c>
      <c r="EK8" s="267">
        <f t="shared" ref="EK8" si="33">DI8*1.005</f>
        <v>0</v>
      </c>
      <c r="EL8" s="267">
        <f>DK8*1.005</f>
        <v>1745.6917381745056</v>
      </c>
      <c r="EM8" s="267">
        <f>DL8*1.005</f>
        <v>893.75385359756206</v>
      </c>
      <c r="EN8" s="267">
        <f>DM8*1.005</f>
        <v>0</v>
      </c>
      <c r="EO8" s="267">
        <f>DN8*1.005</f>
        <v>5260.6100865729368</v>
      </c>
      <c r="EP8" s="267">
        <f>DO8*1.005</f>
        <v>1278.4832118982683</v>
      </c>
      <c r="EQ8" s="267">
        <v>0</v>
      </c>
      <c r="ER8" s="267">
        <f t="shared" ref="ER8" si="34">DP8*1.005</f>
        <v>0</v>
      </c>
      <c r="ES8" s="267">
        <f>CP8*1.005</f>
        <v>1615.7551689098996</v>
      </c>
      <c r="ET8" s="267">
        <f t="shared" ref="ET8" si="35">CQ8*1.005</f>
        <v>1650.9911672014871</v>
      </c>
      <c r="EU8" s="267">
        <f>SUM(DS8:ET8)</f>
        <v>34762.128182542161</v>
      </c>
      <c r="EV8" s="267">
        <f>DU8*1.005</f>
        <v>1456.3694050685006</v>
      </c>
      <c r="EW8" s="267">
        <f t="shared" ref="EW8" si="36">DW8*1.005</f>
        <v>0</v>
      </c>
      <c r="EX8" s="267"/>
      <c r="EY8" s="267">
        <f>DX8*1.005</f>
        <v>4920.3242989373075</v>
      </c>
      <c r="EZ8" s="267">
        <f t="shared" ref="EZ8:FC8" si="37">DY8*1.005</f>
        <v>504.91573714053879</v>
      </c>
      <c r="FA8" s="267">
        <f t="shared" si="37"/>
        <v>1545.1254060518027</v>
      </c>
      <c r="FB8" s="267">
        <f t="shared" si="37"/>
        <v>2790.8876987027238</v>
      </c>
      <c r="FC8" s="267">
        <f t="shared" si="37"/>
        <v>1594.2759511267645</v>
      </c>
      <c r="FD8" s="267">
        <f t="shared" ref="FD8" si="38">ED8*1.005</f>
        <v>0</v>
      </c>
      <c r="FE8" s="267">
        <v>0</v>
      </c>
      <c r="FF8" s="267">
        <f>EE8*1.005</f>
        <v>4866.0064875465787</v>
      </c>
      <c r="FG8" s="267">
        <f t="shared" ref="FG8:FJ8" si="39">EF8*1.005</f>
        <v>366.76313078152401</v>
      </c>
      <c r="FH8" s="267">
        <f t="shared" si="39"/>
        <v>1657.8517813332398</v>
      </c>
      <c r="FI8" s="267">
        <f t="shared" si="39"/>
        <v>0</v>
      </c>
      <c r="FJ8" s="267">
        <f t="shared" si="39"/>
        <v>0</v>
      </c>
      <c r="FK8" s="267">
        <f t="shared" ref="FK8" si="40">EK8*1.005</f>
        <v>0</v>
      </c>
      <c r="FL8" s="267">
        <v>0</v>
      </c>
      <c r="FM8" s="267">
        <f>EL8*1.005</f>
        <v>1754.4201968653779</v>
      </c>
      <c r="FN8" s="267">
        <f t="shared" ref="FN8:FQ8" si="41">EM8*1.005</f>
        <v>898.22262286554974</v>
      </c>
      <c r="FO8" s="267">
        <f t="shared" si="41"/>
        <v>0</v>
      </c>
      <c r="FP8" s="267">
        <f t="shared" si="41"/>
        <v>5286.9131370058012</v>
      </c>
      <c r="FQ8" s="267">
        <f t="shared" si="41"/>
        <v>1284.8756279577594</v>
      </c>
      <c r="FR8" s="267">
        <f t="shared" ref="FR8" si="42">ER8*1.005</f>
        <v>0</v>
      </c>
      <c r="FS8" s="267">
        <v>0</v>
      </c>
      <c r="FT8" s="267">
        <f>ES8*1.005</f>
        <v>1623.8339447544488</v>
      </c>
      <c r="FU8" s="267">
        <f t="shared" ref="FU8" si="43">ET8*1.005</f>
        <v>1659.2461230374943</v>
      </c>
      <c r="FV8" s="267">
        <f>DS8*1.005</f>
        <v>242.15409347633172</v>
      </c>
      <c r="FW8" s="267">
        <f t="shared" ref="FW8" si="44">DT8*1.005</f>
        <v>2483.7531808031317</v>
      </c>
      <c r="FX8" s="267"/>
      <c r="FY8" s="267"/>
      <c r="FZ8" s="267">
        <f>SUM(EV8:FW8)</f>
        <v>34935.938823454882</v>
      </c>
      <c r="GA8" s="267">
        <f>FZ8</f>
        <v>34935.938823454882</v>
      </c>
    </row>
    <row r="9" spans="1:183">
      <c r="A9" s="256"/>
      <c r="B9" s="197"/>
      <c r="C9" s="197"/>
      <c r="D9" s="259"/>
      <c r="E9" s="259"/>
      <c r="F9" s="259"/>
      <c r="G9" s="259"/>
      <c r="H9" s="259"/>
      <c r="I9" s="261"/>
      <c r="J9" s="261"/>
      <c r="K9" s="259"/>
      <c r="L9" s="259"/>
      <c r="M9" s="259"/>
      <c r="N9" s="259"/>
      <c r="O9" s="259"/>
      <c r="P9" s="261"/>
      <c r="Q9" s="261"/>
      <c r="R9" s="259"/>
      <c r="S9" s="259"/>
      <c r="T9" s="259"/>
      <c r="U9" s="259"/>
      <c r="V9" s="259"/>
      <c r="W9" s="261"/>
      <c r="X9" s="261"/>
      <c r="Y9" s="262"/>
      <c r="Z9" s="262"/>
      <c r="AA9" s="262"/>
      <c r="AB9" s="262"/>
      <c r="AC9" s="259"/>
      <c r="AD9" s="261"/>
      <c r="AE9" s="263"/>
      <c r="AF9" s="262"/>
      <c r="AG9" s="264"/>
      <c r="AI9" s="195"/>
      <c r="AJ9" s="195"/>
      <c r="AN9" s="196"/>
      <c r="AO9" s="196"/>
      <c r="AP9" s="195"/>
      <c r="AQ9" s="195"/>
      <c r="AS9" s="196"/>
      <c r="AT9" s="196"/>
      <c r="AU9" s="196"/>
      <c r="AW9" s="195"/>
      <c r="AX9" s="195"/>
      <c r="BD9" s="195"/>
      <c r="BE9" s="195"/>
      <c r="BL9" s="196"/>
      <c r="BM9" s="196"/>
      <c r="BN9" s="196"/>
      <c r="BO9" s="196"/>
      <c r="BP9" s="195"/>
      <c r="BQ9" s="195"/>
      <c r="BR9" s="196"/>
      <c r="BS9" s="196"/>
      <c r="BT9" s="196"/>
      <c r="BU9" s="196"/>
      <c r="BV9" s="196"/>
      <c r="BW9" s="196"/>
      <c r="BX9" s="196"/>
      <c r="BY9" s="196"/>
      <c r="BZ9" s="196"/>
      <c r="CA9" s="196"/>
      <c r="CB9" s="196"/>
      <c r="CC9" s="196"/>
      <c r="CD9" s="196"/>
      <c r="CE9" s="196"/>
      <c r="CF9" s="196"/>
      <c r="CG9" s="196"/>
      <c r="CH9" s="196"/>
      <c r="CI9" s="196"/>
      <c r="CJ9" s="196"/>
      <c r="CK9" s="196"/>
      <c r="CL9" s="196"/>
      <c r="CM9" s="196"/>
      <c r="CN9" s="196"/>
      <c r="CO9" s="196"/>
      <c r="CP9" s="196"/>
      <c r="CQ9" s="196"/>
      <c r="CR9" s="196"/>
      <c r="CS9" s="195"/>
      <c r="CT9" s="195"/>
      <c r="CU9" s="196"/>
      <c r="CV9" s="196"/>
      <c r="CW9" s="196"/>
      <c r="CX9" s="196"/>
      <c r="CY9" s="196"/>
      <c r="CZ9" s="196"/>
      <c r="DA9" s="196"/>
      <c r="DB9" s="196"/>
      <c r="DC9" s="196"/>
      <c r="DD9" s="196"/>
      <c r="DE9" s="196"/>
      <c r="DF9" s="196"/>
      <c r="DG9" s="196"/>
      <c r="DH9" s="196"/>
      <c r="DI9" s="196"/>
      <c r="DJ9" s="196"/>
      <c r="DK9" s="196"/>
      <c r="DL9" s="196"/>
      <c r="DM9" s="196"/>
      <c r="DN9" s="196"/>
      <c r="DO9" s="196"/>
      <c r="DP9" s="196"/>
      <c r="DQ9" s="196"/>
      <c r="DR9" s="196"/>
      <c r="DS9" s="196"/>
      <c r="DT9" s="196"/>
      <c r="DU9" s="196"/>
      <c r="DV9" s="196"/>
      <c r="DW9" s="195"/>
      <c r="DX9" s="195"/>
      <c r="DY9" s="196"/>
      <c r="DZ9" s="196"/>
      <c r="EA9" s="196"/>
      <c r="EB9" s="196"/>
      <c r="EC9" s="196"/>
      <c r="ED9" s="196"/>
      <c r="EE9" s="196"/>
      <c r="EF9" s="196"/>
      <c r="EG9" s="196"/>
      <c r="EH9" s="196"/>
      <c r="EI9" s="196"/>
      <c r="EJ9" s="196"/>
      <c r="EK9" s="196"/>
      <c r="EL9" s="196"/>
      <c r="EM9" s="196"/>
      <c r="EN9" s="196"/>
      <c r="EO9" s="196"/>
      <c r="EP9" s="196"/>
      <c r="EQ9" s="196"/>
      <c r="ER9" s="196"/>
      <c r="ES9" s="196"/>
      <c r="ET9" s="196"/>
      <c r="EU9" s="196"/>
      <c r="EV9" s="196"/>
      <c r="EW9" s="196"/>
      <c r="EX9" s="196"/>
      <c r="EY9" s="196"/>
      <c r="EZ9" s="195"/>
      <c r="FA9" s="195"/>
      <c r="FB9" s="196"/>
      <c r="FC9" s="196"/>
      <c r="FD9" s="196"/>
      <c r="FE9" s="196"/>
      <c r="FF9" s="196"/>
      <c r="FG9" s="196"/>
      <c r="FH9" s="196"/>
      <c r="FI9" s="196"/>
      <c r="FJ9" s="196"/>
      <c r="FK9" s="196"/>
      <c r="FL9" s="196"/>
      <c r="FM9" s="196"/>
      <c r="FN9" s="196"/>
      <c r="FO9" s="196"/>
      <c r="FP9" s="196"/>
      <c r="FQ9" s="196"/>
      <c r="FR9" s="196"/>
      <c r="FS9" s="196"/>
      <c r="FT9" s="196"/>
      <c r="FU9" s="196"/>
      <c r="FV9" s="196"/>
      <c r="FW9" s="196"/>
      <c r="FX9" s="196"/>
      <c r="FY9" s="196"/>
      <c r="FZ9" s="196"/>
      <c r="GA9" s="196"/>
    </row>
    <row r="10" spans="1:183">
      <c r="A10" s="192"/>
      <c r="B10" s="197"/>
      <c r="C10" s="197"/>
      <c r="D10" s="259"/>
      <c r="E10" s="259"/>
      <c r="F10" s="259"/>
      <c r="G10" s="259"/>
      <c r="H10" s="259"/>
      <c r="I10" s="261"/>
      <c r="J10" s="261"/>
      <c r="K10" s="259"/>
      <c r="L10" s="259"/>
      <c r="M10" s="259"/>
      <c r="N10" s="259"/>
      <c r="O10" s="259"/>
      <c r="P10" s="261"/>
      <c r="Q10" s="261"/>
      <c r="R10" s="259"/>
      <c r="S10" s="259"/>
      <c r="T10" s="259"/>
      <c r="U10" s="259"/>
      <c r="V10" s="259"/>
      <c r="W10" s="261"/>
      <c r="X10" s="261"/>
      <c r="Y10" s="262"/>
      <c r="Z10" s="262"/>
      <c r="AA10" s="262"/>
      <c r="AB10" s="262"/>
      <c r="AC10" s="259"/>
      <c r="AD10" s="261"/>
      <c r="AE10" s="263"/>
      <c r="AF10" s="262"/>
      <c r="AG10" s="262"/>
      <c r="AI10" s="196"/>
      <c r="AJ10" s="196"/>
      <c r="AK10" s="196"/>
      <c r="AL10" s="196"/>
      <c r="AM10" s="196"/>
      <c r="AN10" s="196"/>
      <c r="AO10" s="196"/>
      <c r="AP10" s="196"/>
      <c r="AQ10" s="196"/>
      <c r="AR10" s="196"/>
      <c r="AS10" s="196"/>
      <c r="AT10" s="196"/>
      <c r="AU10" s="196"/>
      <c r="AV10" s="196"/>
      <c r="AW10" s="196"/>
      <c r="AX10" s="196"/>
      <c r="AY10" s="196"/>
      <c r="AZ10" s="196"/>
      <c r="BA10" s="196"/>
      <c r="BB10" s="196"/>
      <c r="BC10" s="196"/>
      <c r="BD10" s="196"/>
      <c r="BE10" s="196"/>
      <c r="BF10" s="196"/>
      <c r="BG10" s="196"/>
      <c r="BH10" s="196"/>
      <c r="BI10" s="196"/>
      <c r="BJ10" s="196"/>
      <c r="BK10" s="196"/>
      <c r="BL10" s="196"/>
      <c r="BM10" s="196"/>
      <c r="BN10" s="196"/>
      <c r="BO10" s="196"/>
      <c r="BP10" s="196"/>
      <c r="BQ10" s="196"/>
      <c r="BR10" s="196"/>
      <c r="BS10" s="196"/>
      <c r="BT10" s="196"/>
      <c r="BU10" s="196"/>
      <c r="BV10" s="196"/>
      <c r="BW10" s="196"/>
      <c r="BX10" s="196"/>
      <c r="BY10" s="196"/>
      <c r="BZ10" s="196"/>
      <c r="CA10" s="196"/>
      <c r="CB10" s="196"/>
      <c r="CC10" s="196"/>
      <c r="CD10" s="196"/>
      <c r="CE10" s="196"/>
      <c r="CF10" s="196"/>
      <c r="CG10" s="196"/>
      <c r="CH10" s="196"/>
      <c r="CI10" s="196"/>
      <c r="CJ10" s="196"/>
      <c r="CK10" s="196"/>
      <c r="CL10" s="196"/>
      <c r="CM10" s="196"/>
      <c r="CN10" s="196"/>
      <c r="CO10" s="196"/>
      <c r="CP10" s="196"/>
      <c r="CQ10" s="196"/>
      <c r="CR10" s="196"/>
      <c r="CS10" s="196"/>
      <c r="CT10" s="196"/>
      <c r="CU10" s="196"/>
      <c r="CV10" s="196"/>
      <c r="CW10" s="196"/>
      <c r="CX10" s="196"/>
      <c r="CY10" s="196"/>
      <c r="CZ10" s="196"/>
      <c r="DA10" s="196"/>
      <c r="DB10" s="196"/>
      <c r="DC10" s="196"/>
      <c r="DD10" s="196"/>
      <c r="DE10" s="196"/>
      <c r="DF10" s="196"/>
      <c r="DG10" s="196"/>
      <c r="DH10" s="196"/>
      <c r="DI10" s="196"/>
      <c r="DJ10" s="196"/>
      <c r="DK10" s="196"/>
      <c r="DL10" s="196"/>
      <c r="DM10" s="196"/>
      <c r="DN10" s="196"/>
      <c r="DO10" s="196"/>
      <c r="DP10" s="196"/>
      <c r="DQ10" s="196"/>
      <c r="DR10" s="196"/>
      <c r="DS10" s="196"/>
      <c r="DT10" s="196"/>
      <c r="DU10" s="196"/>
      <c r="DV10" s="196"/>
      <c r="DW10" s="196"/>
      <c r="DX10" s="196"/>
      <c r="DY10" s="196"/>
      <c r="DZ10" s="196"/>
      <c r="EA10" s="196"/>
      <c r="EB10" s="196"/>
      <c r="EC10" s="196"/>
      <c r="ED10" s="196"/>
      <c r="EE10" s="196"/>
      <c r="EF10" s="196"/>
      <c r="EG10" s="196"/>
      <c r="EH10" s="196"/>
      <c r="EI10" s="196"/>
      <c r="EJ10" s="196"/>
      <c r="EK10" s="196"/>
      <c r="EL10" s="196"/>
      <c r="EM10" s="196"/>
      <c r="EN10" s="196"/>
      <c r="EO10" s="196"/>
      <c r="EP10" s="196"/>
      <c r="EQ10" s="196"/>
      <c r="ER10" s="196"/>
      <c r="ES10" s="196"/>
      <c r="ET10" s="196"/>
      <c r="EU10" s="196"/>
      <c r="EV10" s="196"/>
      <c r="EW10" s="196"/>
      <c r="EX10" s="196"/>
      <c r="EY10" s="196"/>
      <c r="EZ10" s="196"/>
      <c r="FA10" s="196"/>
      <c r="FB10" s="196"/>
      <c r="FC10" s="196"/>
      <c r="FD10" s="196"/>
      <c r="FE10" s="196"/>
      <c r="FF10" s="196"/>
      <c r="FG10" s="196"/>
      <c r="FH10" s="196"/>
      <c r="FI10" s="196"/>
      <c r="FJ10" s="196"/>
      <c r="FK10" s="196"/>
      <c r="FL10" s="196"/>
      <c r="FM10" s="196"/>
      <c r="FN10" s="196"/>
      <c r="FO10" s="196"/>
      <c r="FP10" s="196"/>
      <c r="FQ10" s="196"/>
      <c r="FR10" s="196"/>
      <c r="FS10" s="196"/>
      <c r="FT10" s="196"/>
      <c r="FU10" s="196"/>
      <c r="FV10" s="196"/>
      <c r="FW10" s="196"/>
      <c r="FX10" s="196"/>
      <c r="FY10" s="196"/>
      <c r="FZ10" s="196"/>
      <c r="GA10" s="196"/>
    </row>
    <row r="11" spans="1:183" ht="15.75" thickBot="1">
      <c r="A11" s="192"/>
      <c r="B11" s="265">
        <f>SUM(B10:B10)</f>
        <v>0</v>
      </c>
      <c r="C11" s="265">
        <f>SUM(C10:C10)</f>
        <v>0</v>
      </c>
      <c r="D11" s="265">
        <f>D8</f>
        <v>5156.7000000000007</v>
      </c>
      <c r="E11" s="265">
        <f t="shared" ref="E11:BK11" si="45">E8</f>
        <v>0</v>
      </c>
      <c r="F11" s="265">
        <f t="shared" si="45"/>
        <v>1711.21</v>
      </c>
      <c r="G11" s="265">
        <f t="shared" si="45"/>
        <v>876.1</v>
      </c>
      <c r="H11" s="265">
        <f t="shared" si="45"/>
        <v>1253.23</v>
      </c>
      <c r="I11" s="265">
        <f t="shared" si="45"/>
        <v>0</v>
      </c>
      <c r="J11" s="265">
        <f t="shared" si="45"/>
        <v>0</v>
      </c>
      <c r="K11" s="265">
        <f t="shared" si="45"/>
        <v>1583.8400000000001</v>
      </c>
      <c r="L11" s="265">
        <f t="shared" si="45"/>
        <v>1618.38</v>
      </c>
      <c r="M11" s="265">
        <f t="shared" si="45"/>
        <v>236.19</v>
      </c>
      <c r="N11" s="265">
        <f t="shared" si="45"/>
        <v>2422.58</v>
      </c>
      <c r="O11" s="265">
        <f t="shared" si="45"/>
        <v>1420.5</v>
      </c>
      <c r="P11" s="265">
        <f t="shared" si="45"/>
        <v>0</v>
      </c>
      <c r="Q11" s="265">
        <f t="shared" si="45"/>
        <v>0</v>
      </c>
      <c r="R11" s="265">
        <f t="shared" si="45"/>
        <v>4799.1400000000003</v>
      </c>
      <c r="S11" s="265">
        <f t="shared" si="45"/>
        <v>492.48</v>
      </c>
      <c r="T11" s="265">
        <f t="shared" si="45"/>
        <v>1507.0700000000002</v>
      </c>
      <c r="U11" s="265">
        <f t="shared" si="45"/>
        <v>2722.15</v>
      </c>
      <c r="V11" s="265">
        <f t="shared" si="45"/>
        <v>1555.01</v>
      </c>
      <c r="W11" s="265">
        <f t="shared" si="45"/>
        <v>0</v>
      </c>
      <c r="X11" s="265">
        <f t="shared" si="45"/>
        <v>0</v>
      </c>
      <c r="Y11" s="265">
        <f t="shared" si="45"/>
        <v>4746.16</v>
      </c>
      <c r="Z11" s="265">
        <f t="shared" si="45"/>
        <v>357.73</v>
      </c>
      <c r="AA11" s="265">
        <f t="shared" si="45"/>
        <v>1617.02</v>
      </c>
      <c r="AB11" s="265">
        <f t="shared" si="45"/>
        <v>0</v>
      </c>
      <c r="AC11" s="265">
        <f>AC8</f>
        <v>0</v>
      </c>
      <c r="AD11" s="265">
        <f>AD8</f>
        <v>0</v>
      </c>
      <c r="AE11" s="265">
        <f>AE8</f>
        <v>0</v>
      </c>
      <c r="AF11" s="265">
        <f t="shared" si="45"/>
        <v>0</v>
      </c>
      <c r="AG11" s="265">
        <f t="shared" si="45"/>
        <v>34075.49</v>
      </c>
      <c r="AH11" s="199"/>
      <c r="AI11" s="265">
        <f t="shared" si="45"/>
        <v>0</v>
      </c>
      <c r="AJ11" s="265">
        <f t="shared" si="45"/>
        <v>1719.76605</v>
      </c>
      <c r="AK11" s="265">
        <f t="shared" si="45"/>
        <v>880.48049999999989</v>
      </c>
      <c r="AL11" s="265">
        <f t="shared" si="45"/>
        <v>1259.4961499999999</v>
      </c>
      <c r="AM11" s="265">
        <f t="shared" si="45"/>
        <v>0</v>
      </c>
      <c r="AN11" s="265">
        <f t="shared" si="45"/>
        <v>0</v>
      </c>
      <c r="AO11" s="265">
        <f t="shared" si="45"/>
        <v>1591.7592</v>
      </c>
      <c r="AP11" s="265">
        <f t="shared" si="45"/>
        <v>1626.4719</v>
      </c>
      <c r="AQ11" s="265">
        <f t="shared" si="45"/>
        <v>237.37094999999997</v>
      </c>
      <c r="AR11" s="265">
        <f t="shared" si="45"/>
        <v>2434.6928999999996</v>
      </c>
      <c r="AS11" s="265">
        <f t="shared" si="45"/>
        <v>1427.6024999999997</v>
      </c>
      <c r="AT11" s="265">
        <f t="shared" si="45"/>
        <v>0</v>
      </c>
      <c r="AU11" s="265">
        <f t="shared" si="45"/>
        <v>0</v>
      </c>
      <c r="AV11" s="265">
        <f t="shared" si="45"/>
        <v>4823.1356999999998</v>
      </c>
      <c r="AW11" s="265">
        <f t="shared" si="45"/>
        <v>494.94239999999996</v>
      </c>
      <c r="AX11" s="265">
        <f t="shared" si="45"/>
        <v>1514.60535</v>
      </c>
      <c r="AY11" s="265">
        <f t="shared" si="45"/>
        <v>2735.7607499999999</v>
      </c>
      <c r="AZ11" s="265">
        <f t="shared" si="45"/>
        <v>1562.7850499999997</v>
      </c>
      <c r="BA11" s="265">
        <f t="shared" si="45"/>
        <v>0</v>
      </c>
      <c r="BB11" s="265">
        <f t="shared" si="45"/>
        <v>0</v>
      </c>
      <c r="BC11" s="265">
        <f t="shared" si="45"/>
        <v>4769.8907999999992</v>
      </c>
      <c r="BD11" s="265">
        <f t="shared" si="45"/>
        <v>359.51864999999998</v>
      </c>
      <c r="BE11" s="265">
        <f t="shared" si="45"/>
        <v>1625.1050999999998</v>
      </c>
      <c r="BF11" s="265">
        <f t="shared" si="45"/>
        <v>0</v>
      </c>
      <c r="BG11" s="265">
        <f t="shared" si="45"/>
        <v>0</v>
      </c>
      <c r="BH11" s="265">
        <f t="shared" si="45"/>
        <v>0</v>
      </c>
      <c r="BI11" s="265">
        <f t="shared" si="45"/>
        <v>0</v>
      </c>
      <c r="BJ11" s="265">
        <f t="shared" si="45"/>
        <v>5182.4835000000003</v>
      </c>
      <c r="BK11" s="265">
        <f t="shared" si="45"/>
        <v>34245.867449999998</v>
      </c>
      <c r="BL11" s="265">
        <f t="shared" ref="BL11:CN11" si="46">BL8</f>
        <v>1265.7936307499999</v>
      </c>
      <c r="BM11" s="265">
        <f t="shared" si="46"/>
        <v>0</v>
      </c>
      <c r="BN11" s="265">
        <f t="shared" si="46"/>
        <v>0</v>
      </c>
      <c r="BO11" s="265">
        <f t="shared" si="46"/>
        <v>1599.7179959999999</v>
      </c>
      <c r="BP11" s="265">
        <f t="shared" si="46"/>
        <v>1634.6042594999999</v>
      </c>
      <c r="BQ11" s="265">
        <f t="shared" si="46"/>
        <v>238.55780474999995</v>
      </c>
      <c r="BR11" s="265">
        <f t="shared" si="46"/>
        <v>2446.8663644999992</v>
      </c>
      <c r="BS11" s="265">
        <f t="shared" si="46"/>
        <v>1434.7405124999996</v>
      </c>
      <c r="BT11" s="265">
        <f t="shared" si="46"/>
        <v>0</v>
      </c>
      <c r="BU11" s="265">
        <f t="shared" si="46"/>
        <v>0</v>
      </c>
      <c r="BV11" s="265">
        <f t="shared" si="46"/>
        <v>4847.2513784999992</v>
      </c>
      <c r="BW11" s="265">
        <f t="shared" si="46"/>
        <v>497.41711199999992</v>
      </c>
      <c r="BX11" s="265">
        <f t="shared" si="46"/>
        <v>1522.1783767499999</v>
      </c>
      <c r="BY11" s="265">
        <f t="shared" si="46"/>
        <v>2749.4395537499995</v>
      </c>
      <c r="BZ11" s="265">
        <f t="shared" si="46"/>
        <v>1570.5989752499995</v>
      </c>
      <c r="CA11" s="265">
        <f t="shared" si="46"/>
        <v>0</v>
      </c>
      <c r="CB11" s="265">
        <f t="shared" si="46"/>
        <v>0</v>
      </c>
      <c r="CC11" s="265">
        <f t="shared" si="46"/>
        <v>4793.7402539999985</v>
      </c>
      <c r="CD11" s="265">
        <f t="shared" si="46"/>
        <v>361.31624324999996</v>
      </c>
      <c r="CE11" s="265">
        <f t="shared" si="46"/>
        <v>1633.2306254999996</v>
      </c>
      <c r="CF11" s="265">
        <f t="shared" si="46"/>
        <v>0</v>
      </c>
      <c r="CG11" s="265">
        <f t="shared" si="46"/>
        <v>0</v>
      </c>
      <c r="CH11" s="265">
        <f t="shared" si="46"/>
        <v>0</v>
      </c>
      <c r="CI11" s="265">
        <f t="shared" si="46"/>
        <v>0</v>
      </c>
      <c r="CJ11" s="265">
        <f t="shared" si="46"/>
        <v>1728.3648802499997</v>
      </c>
      <c r="CK11" s="265">
        <f t="shared" si="46"/>
        <v>884.88290249999977</v>
      </c>
      <c r="CL11" s="265">
        <f t="shared" si="46"/>
        <v>0</v>
      </c>
      <c r="CM11" s="265">
        <f t="shared" si="46"/>
        <v>5208.3959175</v>
      </c>
      <c r="CN11" s="265">
        <f t="shared" si="46"/>
        <v>34417.09678724999</v>
      </c>
      <c r="CO11" s="265">
        <f t="shared" ref="CO11:DR11" si="47">CO8</f>
        <v>0</v>
      </c>
      <c r="CP11" s="265">
        <f t="shared" si="47"/>
        <v>1607.7165859799998</v>
      </c>
      <c r="CQ11" s="265">
        <f t="shared" si="47"/>
        <v>1642.7772807974998</v>
      </c>
      <c r="CR11" s="265">
        <f t="shared" si="47"/>
        <v>239.75059377374993</v>
      </c>
      <c r="CS11" s="265">
        <f t="shared" si="47"/>
        <v>2459.1006963224991</v>
      </c>
      <c r="CT11" s="265">
        <f t="shared" si="47"/>
        <v>1441.9142150624994</v>
      </c>
      <c r="CU11" s="265">
        <f t="shared" si="47"/>
        <v>0</v>
      </c>
      <c r="CV11" s="265">
        <f t="shared" si="47"/>
        <v>0</v>
      </c>
      <c r="CW11" s="265">
        <f t="shared" si="47"/>
        <v>4871.4876353924983</v>
      </c>
      <c r="CX11" s="265">
        <f t="shared" si="47"/>
        <v>499.90419755999989</v>
      </c>
      <c r="CY11" s="265">
        <f t="shared" si="47"/>
        <v>1529.7892686337498</v>
      </c>
      <c r="CZ11" s="265">
        <f t="shared" si="47"/>
        <v>2763.1867515187491</v>
      </c>
      <c r="DA11" s="265">
        <f t="shared" si="47"/>
        <v>1578.4519701262493</v>
      </c>
      <c r="DB11" s="265">
        <f t="shared" si="47"/>
        <v>0</v>
      </c>
      <c r="DC11" s="265">
        <f t="shared" si="47"/>
        <v>0</v>
      </c>
      <c r="DD11" s="265">
        <f t="shared" si="47"/>
        <v>4817.7089552699981</v>
      </c>
      <c r="DE11" s="265">
        <f t="shared" si="47"/>
        <v>363.12282446624994</v>
      </c>
      <c r="DF11" s="265">
        <f t="shared" si="47"/>
        <v>1641.3967786274995</v>
      </c>
      <c r="DG11" s="265">
        <f t="shared" si="47"/>
        <v>0</v>
      </c>
      <c r="DH11" s="265">
        <f t="shared" si="47"/>
        <v>0</v>
      </c>
      <c r="DI11" s="265">
        <f t="shared" si="47"/>
        <v>0</v>
      </c>
      <c r="DJ11" s="265">
        <f t="shared" si="47"/>
        <v>0</v>
      </c>
      <c r="DK11" s="265">
        <f t="shared" si="47"/>
        <v>1737.0067046512495</v>
      </c>
      <c r="DL11" s="265">
        <f t="shared" si="47"/>
        <v>889.30731701249965</v>
      </c>
      <c r="DM11" s="265">
        <f t="shared" si="47"/>
        <v>0</v>
      </c>
      <c r="DN11" s="265">
        <f t="shared" si="47"/>
        <v>5234.4378970874996</v>
      </c>
      <c r="DO11" s="265">
        <f t="shared" si="47"/>
        <v>1272.1225989037498</v>
      </c>
      <c r="DP11" s="265">
        <f t="shared" si="47"/>
        <v>0</v>
      </c>
      <c r="DQ11" s="265">
        <f>CN11</f>
        <v>34417.09678724999</v>
      </c>
      <c r="DR11" s="265">
        <f t="shared" si="47"/>
        <v>34589.182271186233</v>
      </c>
      <c r="DS11" s="265">
        <f t="shared" ref="DS11:EU11" si="48">DS8</f>
        <v>240.94934674261864</v>
      </c>
      <c r="DT11" s="265">
        <f t="shared" si="48"/>
        <v>2471.3961998041113</v>
      </c>
      <c r="DU11" s="265">
        <f t="shared" si="48"/>
        <v>1449.1237861378117</v>
      </c>
      <c r="DV11" s="265"/>
      <c r="DW11" s="265"/>
      <c r="DX11" s="265">
        <f t="shared" si="48"/>
        <v>4895.8450735694605</v>
      </c>
      <c r="DY11" s="265">
        <f t="shared" si="48"/>
        <v>502.40371854779983</v>
      </c>
      <c r="DZ11" s="265">
        <f t="shared" si="48"/>
        <v>1537.4382149769183</v>
      </c>
      <c r="EA11" s="265">
        <f t="shared" si="48"/>
        <v>2777.0026852763426</v>
      </c>
      <c r="EB11" s="265">
        <f t="shared" si="48"/>
        <v>1586.3442299768803</v>
      </c>
      <c r="EC11" s="265"/>
      <c r="ED11" s="265"/>
      <c r="EE11" s="265">
        <f t="shared" si="48"/>
        <v>4841.7975000463475</v>
      </c>
      <c r="EF11" s="265">
        <f t="shared" si="48"/>
        <v>364.93843858858116</v>
      </c>
      <c r="EG11" s="265">
        <f t="shared" si="48"/>
        <v>1649.6037625206368</v>
      </c>
      <c r="EH11" s="265"/>
      <c r="EI11" s="265"/>
      <c r="EJ11" s="265"/>
      <c r="EK11" s="265"/>
      <c r="EL11" s="265">
        <f t="shared" si="48"/>
        <v>1745.6917381745056</v>
      </c>
      <c r="EM11" s="265">
        <f t="shared" si="48"/>
        <v>893.75385359756206</v>
      </c>
      <c r="EN11" s="265"/>
      <c r="EO11" s="265">
        <f t="shared" si="48"/>
        <v>5260.6100865729368</v>
      </c>
      <c r="EP11" s="265">
        <f t="shared" si="48"/>
        <v>1278.4832118982683</v>
      </c>
      <c r="EQ11" s="265"/>
      <c r="ER11" s="265"/>
      <c r="ES11" s="265">
        <f t="shared" si="48"/>
        <v>1615.7551689098996</v>
      </c>
      <c r="ET11" s="265">
        <f t="shared" si="48"/>
        <v>1650.9911672014871</v>
      </c>
      <c r="EU11" s="265">
        <f t="shared" si="48"/>
        <v>34762.128182542161</v>
      </c>
      <c r="EV11" s="265">
        <f t="shared" ref="EV11:FZ11" si="49">EV8</f>
        <v>1456.3694050685006</v>
      </c>
      <c r="EW11" s="265"/>
      <c r="EX11" s="265"/>
      <c r="EY11" s="265">
        <f t="shared" si="49"/>
        <v>4920.3242989373075</v>
      </c>
      <c r="EZ11" s="265">
        <f t="shared" si="49"/>
        <v>504.91573714053879</v>
      </c>
      <c r="FA11" s="265">
        <f t="shared" si="49"/>
        <v>1545.1254060518027</v>
      </c>
      <c r="FB11" s="265">
        <f t="shared" si="49"/>
        <v>2790.8876987027238</v>
      </c>
      <c r="FC11" s="265">
        <f t="shared" si="49"/>
        <v>1594.2759511267645</v>
      </c>
      <c r="FD11" s="265"/>
      <c r="FE11" s="265"/>
      <c r="FF11" s="265">
        <f t="shared" si="49"/>
        <v>4866.0064875465787</v>
      </c>
      <c r="FG11" s="265">
        <f t="shared" si="49"/>
        <v>366.76313078152401</v>
      </c>
      <c r="FH11" s="265">
        <f t="shared" si="49"/>
        <v>1657.8517813332398</v>
      </c>
      <c r="FI11" s="265"/>
      <c r="FJ11" s="265"/>
      <c r="FK11" s="265"/>
      <c r="FL11" s="265"/>
      <c r="FM11" s="265">
        <f t="shared" si="49"/>
        <v>1754.4201968653779</v>
      </c>
      <c r="FN11" s="265">
        <f t="shared" si="49"/>
        <v>898.22262286554974</v>
      </c>
      <c r="FO11" s="265"/>
      <c r="FP11" s="265">
        <f t="shared" si="49"/>
        <v>5286.9131370058012</v>
      </c>
      <c r="FQ11" s="265">
        <f t="shared" si="49"/>
        <v>1284.8756279577594</v>
      </c>
      <c r="FR11" s="265"/>
      <c r="FS11" s="265"/>
      <c r="FT11" s="265">
        <f t="shared" si="49"/>
        <v>1623.8339447544488</v>
      </c>
      <c r="FU11" s="265">
        <f t="shared" si="49"/>
        <v>1659.2461230374943</v>
      </c>
      <c r="FV11" s="265">
        <f t="shared" si="49"/>
        <v>242.15409347633172</v>
      </c>
      <c r="FW11" s="265">
        <f t="shared" si="49"/>
        <v>2483.7531808031317</v>
      </c>
      <c r="FX11" s="265"/>
      <c r="FY11" s="265"/>
      <c r="FZ11" s="265">
        <f t="shared" si="49"/>
        <v>34935.938823454882</v>
      </c>
      <c r="GA11" s="265">
        <f>FZ11</f>
        <v>34935.938823454882</v>
      </c>
    </row>
    <row r="12" spans="1:183" ht="15.75" thickTop="1">
      <c r="A12" s="192"/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I12" s="196"/>
      <c r="AJ12" s="196"/>
      <c r="AK12" s="196"/>
      <c r="AL12" s="196"/>
      <c r="AM12" s="196"/>
      <c r="AN12" s="196"/>
      <c r="AO12" s="196"/>
      <c r="AP12" s="196"/>
      <c r="AQ12" s="196"/>
      <c r="AR12" s="196"/>
      <c r="AS12" s="196"/>
      <c r="AT12" s="196"/>
      <c r="AU12" s="196"/>
      <c r="AV12" s="196"/>
      <c r="AW12" s="196"/>
      <c r="AX12" s="196"/>
      <c r="AY12" s="196"/>
      <c r="AZ12" s="196"/>
      <c r="BA12" s="196"/>
      <c r="BB12" s="196"/>
      <c r="BC12" s="196"/>
      <c r="BD12" s="196"/>
      <c r="BE12" s="196"/>
      <c r="BF12" s="196"/>
      <c r="BG12" s="196"/>
      <c r="BH12" s="196"/>
      <c r="BI12" s="196"/>
      <c r="BJ12" s="196"/>
      <c r="BK12" s="268"/>
      <c r="BL12" s="196"/>
      <c r="BM12" s="196"/>
      <c r="BN12" s="196"/>
      <c r="BO12" s="196"/>
      <c r="BP12" s="196"/>
      <c r="BQ12" s="196"/>
      <c r="BR12" s="196"/>
      <c r="BS12" s="196"/>
      <c r="BT12" s="196"/>
      <c r="BU12" s="196"/>
      <c r="BV12" s="196"/>
      <c r="BW12" s="196"/>
      <c r="BX12" s="196"/>
      <c r="BY12" s="196"/>
      <c r="BZ12" s="196"/>
      <c r="CA12" s="196"/>
      <c r="CB12" s="196"/>
      <c r="CC12" s="196"/>
      <c r="CD12" s="196"/>
      <c r="CE12" s="196"/>
      <c r="CF12" s="196"/>
      <c r="CG12" s="196"/>
      <c r="CH12" s="196"/>
      <c r="CI12" s="196"/>
      <c r="CJ12" s="196"/>
      <c r="CK12" s="196"/>
      <c r="CL12" s="196"/>
      <c r="CM12" s="196"/>
      <c r="CN12" s="268"/>
      <c r="DR12" s="268"/>
      <c r="EU12" s="268"/>
      <c r="FZ12" s="268"/>
      <c r="GA12" s="268"/>
    </row>
    <row r="13" spans="1:183">
      <c r="A13" s="192"/>
      <c r="B13" s="191"/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AG13" s="268"/>
      <c r="AN13" s="196"/>
      <c r="AO13" s="196"/>
      <c r="BK13" s="272">
        <f>BK11-AG11</f>
        <v>170.37744999999995</v>
      </c>
      <c r="BQ13" s="196"/>
      <c r="BR13" s="196"/>
      <c r="CN13" s="272">
        <f>CN11-BK11</f>
        <v>171.22933724999166</v>
      </c>
      <c r="DR13" s="272">
        <f>DR11-CN11</f>
        <v>172.08548393624369</v>
      </c>
      <c r="EU13" s="272">
        <f>EU11-DR11</f>
        <v>172.94591135592782</v>
      </c>
      <c r="FZ13" s="272">
        <f>FZ11-EU11</f>
        <v>173.81064091272128</v>
      </c>
      <c r="GA13" s="272"/>
    </row>
    <row r="14" spans="1:183">
      <c r="B14" s="191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AN14" s="196"/>
      <c r="AO14" s="196"/>
      <c r="BK14" s="190">
        <f>BK13/AG11</f>
        <v>4.9999999999999992E-3</v>
      </c>
      <c r="BL14" s="190">
        <f t="shared" ref="BL14:CM14" si="50">BL13/BL11</f>
        <v>0</v>
      </c>
      <c r="BM14" s="190" t="e">
        <f t="shared" si="50"/>
        <v>#DIV/0!</v>
      </c>
      <c r="BN14" s="190" t="e">
        <f t="shared" si="50"/>
        <v>#DIV/0!</v>
      </c>
      <c r="BO14" s="190">
        <f t="shared" si="50"/>
        <v>0</v>
      </c>
      <c r="BP14" s="190">
        <f t="shared" si="50"/>
        <v>0</v>
      </c>
      <c r="BQ14" s="190">
        <f t="shared" si="50"/>
        <v>0</v>
      </c>
      <c r="BR14" s="190">
        <f t="shared" si="50"/>
        <v>0</v>
      </c>
      <c r="BS14" s="190">
        <f t="shared" si="50"/>
        <v>0</v>
      </c>
      <c r="BT14" s="190" t="e">
        <f t="shared" si="50"/>
        <v>#DIV/0!</v>
      </c>
      <c r="BU14" s="190" t="e">
        <f t="shared" si="50"/>
        <v>#DIV/0!</v>
      </c>
      <c r="BV14" s="190">
        <f t="shared" si="50"/>
        <v>0</v>
      </c>
      <c r="BW14" s="190">
        <f t="shared" si="50"/>
        <v>0</v>
      </c>
      <c r="BX14" s="190">
        <f t="shared" si="50"/>
        <v>0</v>
      </c>
      <c r="BY14" s="190">
        <f t="shared" si="50"/>
        <v>0</v>
      </c>
      <c r="BZ14" s="190">
        <f t="shared" si="50"/>
        <v>0</v>
      </c>
      <c r="CA14" s="190" t="e">
        <f t="shared" si="50"/>
        <v>#DIV/0!</v>
      </c>
      <c r="CB14" s="190" t="e">
        <f t="shared" si="50"/>
        <v>#DIV/0!</v>
      </c>
      <c r="CC14" s="190">
        <f t="shared" si="50"/>
        <v>0</v>
      </c>
      <c r="CD14" s="190">
        <f t="shared" si="50"/>
        <v>0</v>
      </c>
      <c r="CE14" s="190">
        <f t="shared" si="50"/>
        <v>0</v>
      </c>
      <c r="CF14" s="190" t="e">
        <f t="shared" si="50"/>
        <v>#DIV/0!</v>
      </c>
      <c r="CG14" s="190" t="e">
        <f t="shared" si="50"/>
        <v>#DIV/0!</v>
      </c>
      <c r="CH14" s="190" t="e">
        <f t="shared" si="50"/>
        <v>#DIV/0!</v>
      </c>
      <c r="CI14" s="190" t="e">
        <f t="shared" si="50"/>
        <v>#DIV/0!</v>
      </c>
      <c r="CJ14" s="190">
        <f t="shared" si="50"/>
        <v>0</v>
      </c>
      <c r="CK14" s="190">
        <f t="shared" si="50"/>
        <v>0</v>
      </c>
      <c r="CL14" s="190" t="e">
        <f t="shared" si="50"/>
        <v>#DIV/0!</v>
      </c>
      <c r="CM14" s="190">
        <f t="shared" si="50"/>
        <v>0</v>
      </c>
      <c r="CN14" s="190">
        <f>CN13/BK11</f>
        <v>4.9999999999997564E-3</v>
      </c>
      <c r="DR14" s="190">
        <f>DR13/CN11</f>
        <v>4.999999999999818E-3</v>
      </c>
      <c r="EU14" s="271">
        <f>EU13/DR11</f>
        <v>4.999999999999903E-3</v>
      </c>
      <c r="FZ14" s="271">
        <f>FZ13/EU11</f>
        <v>5.0000000000003011E-3</v>
      </c>
      <c r="GA14" s="271"/>
    </row>
    <row r="15" spans="1:183">
      <c r="B15" s="191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FZ15" s="268"/>
    </row>
    <row r="16" spans="1:183"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FZ16" s="268"/>
    </row>
    <row r="17" spans="2:22"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</row>
    <row r="18" spans="2:22"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</row>
    <row r="19" spans="2:22"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</row>
    <row r="20" spans="2:22">
      <c r="B20" s="191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</row>
    <row r="21" spans="2:22"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</row>
    <row r="22" spans="2:22">
      <c r="B22" s="191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</row>
    <row r="23" spans="2:22"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</row>
    <row r="24" spans="2:22"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</row>
    <row r="25" spans="2:22"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</row>
    <row r="26" spans="2:22"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</row>
    <row r="27" spans="2:22"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</row>
    <row r="28" spans="2:22"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</row>
    <row r="29" spans="2:22"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</row>
    <row r="30" spans="2:22"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</row>
    <row r="31" spans="2:22"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 spans="2:22"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</row>
    <row r="33" spans="2:22"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 spans="2:22"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</row>
    <row r="35" spans="2:22"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  <row r="36" spans="2:22"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</row>
    <row r="37" spans="2:22">
      <c r="B37" s="191"/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</row>
    <row r="38" spans="2:22"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</row>
    <row r="39" spans="2:22"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</row>
    <row r="40" spans="2:22"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</row>
    <row r="41" spans="2:22"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</row>
    <row r="42" spans="2:22"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</row>
    <row r="43" spans="2:22"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</row>
    <row r="44" spans="2:22"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</row>
    <row r="45" spans="2:22"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</row>
    <row r="46" spans="2:22">
      <c r="B46" s="191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</row>
    <row r="47" spans="2:22">
      <c r="B47" s="191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  <c r="V47" s="191"/>
    </row>
    <row r="48" spans="2:22">
      <c r="B48" s="191"/>
      <c r="C48" s="191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</row>
    <row r="49" spans="2:22"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</row>
    <row r="50" spans="2:22"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</row>
    <row r="51" spans="2:22"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</row>
    <row r="52" spans="2:22">
      <c r="B52" s="191"/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</row>
    <row r="53" spans="2:22"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</row>
    <row r="54" spans="2:22">
      <c r="B54" s="191"/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</row>
    <row r="55" spans="2:22"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</row>
    <row r="56" spans="2:22"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</row>
    <row r="57" spans="2:22"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</row>
    <row r="58" spans="2:22"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</row>
    <row r="59" spans="2:22"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</row>
    <row r="60" spans="2:22"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</row>
    <row r="61" spans="2:22">
      <c r="B61" s="191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</row>
    <row r="62" spans="2:22"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</row>
    <row r="63" spans="2:22"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</row>
    <row r="64" spans="2:22">
      <c r="B64" s="191"/>
      <c r="C64" s="191"/>
      <c r="D64" s="191"/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</row>
    <row r="65" spans="2:22">
      <c r="B65" s="191"/>
      <c r="C65" s="191"/>
      <c r="D65" s="191"/>
      <c r="E65" s="191"/>
      <c r="F65" s="191"/>
      <c r="G65" s="191"/>
      <c r="H65" s="191"/>
      <c r="I65" s="191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</row>
    <row r="66" spans="2:22">
      <c r="B66" s="191"/>
      <c r="C66" s="191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</row>
    <row r="67" spans="2:22">
      <c r="B67" s="191"/>
      <c r="C67" s="191"/>
      <c r="D67" s="191"/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</row>
    <row r="68" spans="2:22">
      <c r="B68" s="191"/>
      <c r="C68" s="191"/>
      <c r="D68" s="191"/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</row>
    <row r="69" spans="2:22">
      <c r="B69" s="191"/>
      <c r="C69" s="191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</row>
    <row r="70" spans="2:22">
      <c r="B70" s="191"/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</row>
    <row r="71" spans="2:22">
      <c r="B71" s="191"/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</row>
    <row r="72" spans="2:22">
      <c r="B72" s="191"/>
      <c r="C72" s="191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</row>
    <row r="73" spans="2:22">
      <c r="B73" s="191"/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</row>
    <row r="74" spans="2:22">
      <c r="B74" s="191"/>
      <c r="C74" s="191"/>
      <c r="D74" s="191"/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</row>
    <row r="75" spans="2:22">
      <c r="B75" s="191"/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</row>
    <row r="76" spans="2:22">
      <c r="B76" s="191"/>
      <c r="C76" s="191"/>
      <c r="D76" s="191"/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</row>
    <row r="77" spans="2:22">
      <c r="B77" s="191"/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</row>
    <row r="78" spans="2:22">
      <c r="B78" s="191"/>
      <c r="C78" s="191"/>
      <c r="D78" s="191"/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</row>
    <row r="79" spans="2:22">
      <c r="B79" s="191"/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</row>
    <row r="80" spans="2:22">
      <c r="B80" s="191"/>
      <c r="C80" s="191"/>
      <c r="D80" s="191"/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</row>
    <row r="81" spans="2:22">
      <c r="B81" s="191"/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</row>
    <row r="82" spans="2:22">
      <c r="B82" s="191"/>
      <c r="C82" s="191"/>
      <c r="D82" s="191"/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</row>
    <row r="83" spans="2:22">
      <c r="B83" s="191"/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</row>
    <row r="84" spans="2:22">
      <c r="B84" s="191"/>
      <c r="C84" s="191"/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</row>
    <row r="85" spans="2:22">
      <c r="B85" s="191"/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</row>
    <row r="86" spans="2:22">
      <c r="B86" s="191"/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</row>
    <row r="87" spans="2:22">
      <c r="B87" s="191"/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</row>
    <row r="88" spans="2:22">
      <c r="B88" s="191"/>
      <c r="C88" s="191"/>
      <c r="D88" s="191"/>
      <c r="E88" s="191"/>
      <c r="F88" s="191"/>
      <c r="G88" s="191"/>
      <c r="H88" s="191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</row>
    <row r="89" spans="2:22">
      <c r="B89" s="191"/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</row>
    <row r="90" spans="2:22">
      <c r="B90" s="191"/>
      <c r="C90" s="191"/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</row>
    <row r="91" spans="2:22">
      <c r="B91" s="191"/>
      <c r="C91" s="191"/>
      <c r="D91" s="191"/>
      <c r="E91" s="191"/>
      <c r="F91" s="191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</row>
    <row r="92" spans="2:22">
      <c r="B92" s="191"/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</row>
    <row r="93" spans="2:22">
      <c r="B93" s="191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</row>
    <row r="94" spans="2:22">
      <c r="B94" s="191"/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</row>
    <row r="95" spans="2:22">
      <c r="B95" s="191"/>
      <c r="C95" s="191"/>
      <c r="D95" s="191"/>
      <c r="E95" s="191"/>
      <c r="F95" s="191"/>
      <c r="G95" s="191"/>
      <c r="H95" s="191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</row>
    <row r="96" spans="2:22">
      <c r="B96" s="191"/>
      <c r="C96" s="191"/>
      <c r="D96" s="191"/>
      <c r="E96" s="191"/>
      <c r="F96" s="191"/>
      <c r="G96" s="191"/>
      <c r="H96" s="191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</row>
    <row r="97" spans="2:22">
      <c r="B97" s="191"/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</row>
    <row r="98" spans="2:22">
      <c r="B98" s="191"/>
      <c r="C98" s="191"/>
      <c r="D98" s="191"/>
      <c r="E98" s="191"/>
      <c r="F98" s="191"/>
      <c r="G98" s="191"/>
      <c r="H98" s="191"/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</row>
    <row r="99" spans="2:22">
      <c r="B99" s="191"/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</row>
    <row r="100" spans="2:22">
      <c r="B100" s="191"/>
      <c r="C100" s="191"/>
      <c r="D100" s="191"/>
      <c r="E100" s="191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</row>
    <row r="101" spans="2:22">
      <c r="B101" s="191"/>
      <c r="C101" s="191"/>
      <c r="D101" s="191"/>
      <c r="E101" s="191"/>
      <c r="F101" s="191"/>
      <c r="G101" s="191"/>
      <c r="H101" s="191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</row>
    <row r="102" spans="2:22">
      <c r="B102" s="191"/>
      <c r="C102" s="191"/>
      <c r="D102" s="191"/>
      <c r="E102" s="191"/>
      <c r="F102" s="191"/>
      <c r="G102" s="191"/>
      <c r="H102" s="191"/>
      <c r="I102" s="191"/>
      <c r="J102" s="191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</row>
    <row r="103" spans="2:22">
      <c r="B103" s="191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</row>
    <row r="104" spans="2:22">
      <c r="B104" s="191"/>
      <c r="C104" s="191"/>
      <c r="D104" s="191"/>
      <c r="E104" s="191"/>
      <c r="F104" s="191"/>
      <c r="G104" s="191"/>
      <c r="H104" s="191"/>
      <c r="I104" s="191"/>
      <c r="J104" s="191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</row>
    <row r="105" spans="2:22">
      <c r="B105" s="191"/>
      <c r="C105" s="191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</row>
    <row r="106" spans="2:22">
      <c r="B106" s="191"/>
      <c r="C106" s="191"/>
      <c r="D106" s="191"/>
      <c r="E106" s="191"/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</row>
    <row r="107" spans="2:22">
      <c r="B107" s="191"/>
      <c r="C107" s="191"/>
      <c r="D107" s="191"/>
      <c r="E107" s="191"/>
      <c r="F107" s="19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</row>
    <row r="108" spans="2:22">
      <c r="B108" s="191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</row>
    <row r="109" spans="2:22"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</row>
    <row r="110" spans="2:22"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</row>
    <row r="111" spans="2:22"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</row>
    <row r="112" spans="2:22">
      <c r="B112" s="191"/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</row>
    <row r="113" spans="2:22">
      <c r="B113" s="191"/>
      <c r="C113" s="191"/>
      <c r="D113" s="191"/>
      <c r="E113" s="191"/>
      <c r="F113" s="191"/>
      <c r="G113" s="191"/>
      <c r="H113" s="191"/>
      <c r="I113" s="191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</row>
    <row r="114" spans="2:22">
      <c r="B114" s="191"/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</row>
    <row r="115" spans="2:22">
      <c r="B115" s="191"/>
      <c r="C115" s="191"/>
      <c r="D115" s="191"/>
      <c r="E115" s="191"/>
      <c r="F115" s="191"/>
      <c r="G115" s="191"/>
      <c r="H115" s="191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</row>
    <row r="116" spans="2:22">
      <c r="B116" s="191"/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</row>
    <row r="117" spans="2:22">
      <c r="B117" s="191"/>
      <c r="C117" s="191"/>
      <c r="D117" s="191"/>
      <c r="E117" s="191"/>
      <c r="F117" s="191"/>
      <c r="G117" s="191"/>
      <c r="H117" s="191"/>
      <c r="I117" s="191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</row>
    <row r="118" spans="2:22">
      <c r="B118" s="191"/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</row>
    <row r="119" spans="2:22">
      <c r="B119" s="191"/>
      <c r="C119" s="191"/>
      <c r="D119" s="191"/>
      <c r="E119" s="191"/>
      <c r="F119" s="191"/>
      <c r="G119" s="191"/>
      <c r="H119" s="191"/>
      <c r="I119" s="191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</row>
    <row r="120" spans="2:22">
      <c r="B120" s="191"/>
      <c r="C120" s="191"/>
      <c r="D120" s="191"/>
      <c r="E120" s="191"/>
      <c r="F120" s="191"/>
      <c r="G120" s="191"/>
      <c r="H120" s="191"/>
      <c r="I120" s="191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</row>
    <row r="121" spans="2:22">
      <c r="B121" s="191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</row>
    <row r="122" spans="2:22">
      <c r="B122" s="191"/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</row>
    <row r="123" spans="2:22">
      <c r="B123" s="191"/>
      <c r="C123" s="191"/>
      <c r="D123" s="191"/>
      <c r="E123" s="191"/>
      <c r="F123" s="191"/>
      <c r="G123" s="191"/>
      <c r="H123" s="191"/>
      <c r="I123" s="191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</row>
    <row r="124" spans="2:22">
      <c r="B124" s="191"/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</row>
    <row r="125" spans="2:22">
      <c r="B125" s="191"/>
      <c r="C125" s="191"/>
      <c r="D125" s="191"/>
      <c r="E125" s="191"/>
      <c r="F125" s="191"/>
      <c r="G125" s="191"/>
      <c r="H125" s="191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</row>
    <row r="126" spans="2:22">
      <c r="B126" s="191"/>
      <c r="C126" s="191"/>
      <c r="D126" s="191"/>
      <c r="E126" s="191"/>
      <c r="F126" s="191"/>
      <c r="G126" s="191"/>
      <c r="H126" s="191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</row>
    <row r="127" spans="2:22"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</row>
    <row r="128" spans="2:22">
      <c r="B128" s="191"/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</row>
    <row r="129" spans="2:22">
      <c r="B129" s="191"/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</row>
    <row r="130" spans="2:22">
      <c r="B130" s="191"/>
      <c r="C130" s="191"/>
      <c r="D130" s="191"/>
      <c r="E130" s="191"/>
      <c r="F130" s="191"/>
      <c r="G130" s="191"/>
      <c r="H130" s="191"/>
      <c r="I130" s="191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</row>
    <row r="131" spans="2:22">
      <c r="B131" s="191"/>
      <c r="C131" s="191"/>
      <c r="D131" s="191"/>
      <c r="E131" s="191"/>
      <c r="F131" s="191"/>
      <c r="G131" s="191"/>
      <c r="H131" s="191"/>
      <c r="I131" s="191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</row>
    <row r="132" spans="2:22">
      <c r="B132" s="191"/>
      <c r="C132" s="191"/>
      <c r="D132" s="191"/>
      <c r="E132" s="191"/>
      <c r="F132" s="191"/>
      <c r="G132" s="191"/>
      <c r="H132" s="191"/>
      <c r="I132" s="191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</row>
    <row r="133" spans="2:22">
      <c r="B133" s="191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</row>
    <row r="134" spans="2:22">
      <c r="B134" s="191"/>
      <c r="C134" s="191"/>
      <c r="D134" s="191"/>
      <c r="E134" s="191"/>
      <c r="F134" s="191"/>
      <c r="G134" s="191"/>
      <c r="H134" s="191"/>
      <c r="I134" s="191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</row>
    <row r="135" spans="2:22">
      <c r="B135" s="191"/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</row>
    <row r="136" spans="2:22">
      <c r="B136" s="191"/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</row>
    <row r="137" spans="2:22">
      <c r="B137" s="191"/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</row>
    <row r="138" spans="2:22">
      <c r="B138" s="191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</row>
    <row r="139" spans="2:22">
      <c r="B139" s="191"/>
      <c r="C139" s="191"/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</row>
    <row r="140" spans="2:22">
      <c r="B140" s="191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</row>
    <row r="141" spans="2:22">
      <c r="B141" s="191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</row>
    <row r="142" spans="2:22">
      <c r="B142" s="191"/>
      <c r="C142" s="191"/>
      <c r="D142" s="191"/>
      <c r="E142" s="191"/>
      <c r="F142" s="191"/>
      <c r="G142" s="191"/>
      <c r="H142" s="191"/>
      <c r="I142" s="191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</row>
    <row r="143" spans="2:22">
      <c r="B143" s="191"/>
      <c r="C143" s="191"/>
      <c r="D143" s="191"/>
      <c r="E143" s="191"/>
      <c r="F143" s="191"/>
      <c r="G143" s="191"/>
      <c r="H143" s="191"/>
      <c r="I143" s="191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</row>
    <row r="144" spans="2:22">
      <c r="B144" s="191"/>
      <c r="C144" s="191"/>
      <c r="D144" s="191"/>
      <c r="E144" s="191"/>
      <c r="F144" s="191"/>
      <c r="G144" s="191"/>
      <c r="H144" s="191"/>
      <c r="I144" s="191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</row>
    <row r="145" spans="2:22">
      <c r="B145" s="191"/>
      <c r="C145" s="191"/>
      <c r="D145" s="191"/>
      <c r="E145" s="191"/>
      <c r="F145" s="191"/>
      <c r="G145" s="191"/>
      <c r="H145" s="191"/>
      <c r="I145" s="191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</row>
    <row r="146" spans="2:22">
      <c r="B146" s="191"/>
      <c r="C146" s="191"/>
      <c r="D146" s="191"/>
      <c r="E146" s="191"/>
      <c r="F146" s="191"/>
      <c r="G146" s="191"/>
      <c r="H146" s="191"/>
      <c r="I146" s="191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</row>
    <row r="147" spans="2:22">
      <c r="B147" s="191"/>
      <c r="C147" s="191"/>
      <c r="D147" s="191"/>
      <c r="E147" s="191"/>
      <c r="F147" s="191"/>
      <c r="G147" s="191"/>
      <c r="H147" s="191"/>
      <c r="I147" s="191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</row>
    <row r="148" spans="2:22">
      <c r="B148" s="191"/>
      <c r="C148" s="191"/>
      <c r="D148" s="191"/>
      <c r="E148" s="191"/>
      <c r="F148" s="191"/>
      <c r="G148" s="191"/>
      <c r="H148" s="191"/>
      <c r="I148" s="191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</row>
    <row r="149" spans="2:22">
      <c r="B149" s="191"/>
      <c r="C149" s="191"/>
      <c r="D149" s="191"/>
      <c r="E149" s="191"/>
      <c r="F149" s="191"/>
      <c r="G149" s="191"/>
      <c r="H149" s="191"/>
      <c r="I149" s="191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</row>
    <row r="150" spans="2:22">
      <c r="B150" s="191"/>
      <c r="C150" s="191"/>
      <c r="D150" s="191"/>
      <c r="E150" s="191"/>
      <c r="F150" s="191"/>
      <c r="G150" s="191"/>
      <c r="H150" s="191"/>
      <c r="I150" s="191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</row>
    <row r="151" spans="2:22">
      <c r="B151" s="191"/>
      <c r="C151" s="191"/>
      <c r="D151" s="191"/>
      <c r="E151" s="191"/>
      <c r="F151" s="191"/>
      <c r="G151" s="191"/>
      <c r="H151" s="191"/>
      <c r="I151" s="191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</row>
    <row r="152" spans="2:22">
      <c r="B152" s="191"/>
      <c r="C152" s="191"/>
      <c r="D152" s="191"/>
      <c r="E152" s="191"/>
      <c r="F152" s="191"/>
      <c r="G152" s="191"/>
      <c r="H152" s="191"/>
      <c r="I152" s="191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</row>
    <row r="153" spans="2:22">
      <c r="B153" s="191"/>
      <c r="C153" s="191"/>
      <c r="D153" s="191"/>
      <c r="E153" s="191"/>
      <c r="F153" s="191"/>
      <c r="G153" s="191"/>
      <c r="H153" s="191"/>
      <c r="I153" s="191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</row>
    <row r="154" spans="2:22">
      <c r="B154" s="191"/>
      <c r="C154" s="191"/>
      <c r="D154" s="191"/>
      <c r="E154" s="191"/>
      <c r="F154" s="191"/>
      <c r="G154" s="191"/>
      <c r="H154" s="191"/>
      <c r="I154" s="191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</row>
    <row r="155" spans="2:22">
      <c r="B155" s="191"/>
      <c r="C155" s="191"/>
      <c r="D155" s="191"/>
      <c r="E155" s="191"/>
      <c r="F155" s="191"/>
      <c r="G155" s="191"/>
      <c r="H155" s="191"/>
      <c r="I155" s="191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</row>
    <row r="156" spans="2:22">
      <c r="B156" s="191"/>
      <c r="C156" s="191"/>
      <c r="D156" s="191"/>
      <c r="E156" s="191"/>
      <c r="F156" s="191"/>
      <c r="G156" s="191"/>
      <c r="H156" s="191"/>
      <c r="I156" s="191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</row>
    <row r="157" spans="2:22">
      <c r="B157" s="191"/>
      <c r="C157" s="191"/>
      <c r="D157" s="191"/>
      <c r="E157" s="191"/>
      <c r="F157" s="191"/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</row>
    <row r="158" spans="2:22">
      <c r="B158" s="191"/>
      <c r="C158" s="191"/>
      <c r="D158" s="191"/>
      <c r="E158" s="191"/>
      <c r="F158" s="191"/>
      <c r="G158" s="191"/>
      <c r="H158" s="191"/>
      <c r="I158" s="191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</row>
    <row r="159" spans="2:22">
      <c r="B159" s="191"/>
      <c r="C159" s="191"/>
      <c r="D159" s="191"/>
      <c r="E159" s="191"/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</row>
    <row r="160" spans="2:22">
      <c r="B160" s="191"/>
      <c r="C160" s="191"/>
      <c r="D160" s="191"/>
      <c r="E160" s="191"/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</row>
    <row r="161" spans="2:22">
      <c r="B161" s="191"/>
      <c r="C161" s="191"/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</row>
    <row r="162" spans="2:22">
      <c r="B162" s="191"/>
      <c r="C162" s="191"/>
      <c r="D162" s="191"/>
      <c r="E162" s="191"/>
      <c r="F162" s="191"/>
      <c r="G162" s="191"/>
      <c r="H162" s="191"/>
      <c r="I162" s="191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</row>
    <row r="163" spans="2:22">
      <c r="B163" s="191"/>
      <c r="C163" s="191"/>
      <c r="D163" s="191"/>
      <c r="E163" s="191"/>
      <c r="F163" s="191"/>
      <c r="G163" s="191"/>
      <c r="H163" s="191"/>
      <c r="I163" s="191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</row>
    <row r="164" spans="2:22">
      <c r="B164" s="191"/>
      <c r="C164" s="191"/>
      <c r="D164" s="191"/>
      <c r="E164" s="191"/>
      <c r="F164" s="191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</row>
    <row r="165" spans="2:22">
      <c r="B165" s="191"/>
      <c r="C165" s="191"/>
      <c r="D165" s="191"/>
      <c r="E165" s="191"/>
      <c r="F165" s="191"/>
      <c r="G165" s="191"/>
      <c r="H165" s="191"/>
      <c r="I165" s="191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</row>
    <row r="166" spans="2:22">
      <c r="B166" s="191"/>
      <c r="C166" s="191"/>
      <c r="D166" s="191"/>
      <c r="E166" s="191"/>
      <c r="F166" s="191"/>
      <c r="G166" s="191"/>
      <c r="H166" s="191"/>
      <c r="I166" s="191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</row>
    <row r="167" spans="2:22">
      <c r="B167" s="191"/>
      <c r="C167" s="191"/>
      <c r="D167" s="191"/>
      <c r="E167" s="191"/>
      <c r="F167" s="191"/>
      <c r="G167" s="191"/>
      <c r="H167" s="191"/>
      <c r="I167" s="191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</row>
    <row r="168" spans="2:22">
      <c r="B168" s="191"/>
      <c r="C168" s="191"/>
      <c r="D168" s="191"/>
      <c r="E168" s="191"/>
      <c r="F168" s="191"/>
      <c r="G168" s="191"/>
      <c r="H168" s="191"/>
      <c r="I168" s="191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</row>
    <row r="169" spans="2:22">
      <c r="B169" s="191"/>
      <c r="C169" s="191"/>
      <c r="D169" s="191"/>
      <c r="E169" s="191"/>
      <c r="F169" s="191"/>
      <c r="G169" s="191"/>
      <c r="H169" s="191"/>
      <c r="I169" s="191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</row>
    <row r="170" spans="2:22">
      <c r="B170" s="191"/>
      <c r="C170" s="191"/>
      <c r="D170" s="191"/>
      <c r="E170" s="191"/>
      <c r="F170" s="19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</row>
    <row r="171" spans="2:22">
      <c r="B171" s="191"/>
      <c r="C171" s="191"/>
      <c r="D171" s="191"/>
      <c r="E171" s="191"/>
      <c r="F171" s="191"/>
      <c r="G171" s="191"/>
      <c r="H171" s="191"/>
      <c r="I171" s="191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</row>
    <row r="172" spans="2:22">
      <c r="B172" s="191"/>
      <c r="C172" s="191"/>
      <c r="D172" s="191"/>
      <c r="E172" s="191"/>
      <c r="F172" s="191"/>
      <c r="G172" s="191"/>
      <c r="H172" s="191"/>
      <c r="I172" s="191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</row>
    <row r="173" spans="2:22">
      <c r="B173" s="191"/>
      <c r="C173" s="191"/>
      <c r="D173" s="191"/>
      <c r="E173" s="191"/>
      <c r="F173" s="191"/>
      <c r="G173" s="191"/>
      <c r="H173" s="191"/>
      <c r="I173" s="191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</row>
    <row r="174" spans="2:22">
      <c r="B174" s="191"/>
      <c r="C174" s="191"/>
      <c r="D174" s="191"/>
      <c r="E174" s="191"/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</row>
    <row r="175" spans="2:22">
      <c r="B175" s="191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</row>
    <row r="176" spans="2:22">
      <c r="B176" s="191"/>
      <c r="C176" s="191"/>
      <c r="D176" s="191"/>
      <c r="E176" s="191"/>
      <c r="F176" s="19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</row>
    <row r="177" spans="2:22">
      <c r="B177" s="191"/>
      <c r="C177" s="191"/>
      <c r="D177" s="191"/>
      <c r="E177" s="191"/>
      <c r="F177" s="19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</row>
    <row r="178" spans="2:22">
      <c r="B178" s="191"/>
      <c r="C178" s="191"/>
      <c r="D178" s="191"/>
      <c r="E178" s="191"/>
      <c r="F178" s="19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</row>
    <row r="179" spans="2:22">
      <c r="B179" s="191"/>
      <c r="C179" s="191"/>
      <c r="D179" s="191"/>
      <c r="E179" s="191"/>
      <c r="F179" s="19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</row>
    <row r="180" spans="2:22">
      <c r="B180" s="191"/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</row>
    <row r="181" spans="2:22">
      <c r="B181" s="191"/>
      <c r="C181" s="191"/>
      <c r="D181" s="191"/>
      <c r="E181" s="191"/>
      <c r="F181" s="19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</row>
    <row r="182" spans="2:22">
      <c r="B182" s="191"/>
      <c r="C182" s="191"/>
      <c r="D182" s="191"/>
      <c r="E182" s="191"/>
      <c r="F182" s="19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</row>
    <row r="183" spans="2:22">
      <c r="B183" s="191"/>
      <c r="C183" s="191"/>
      <c r="D183" s="191"/>
      <c r="E183" s="191"/>
      <c r="F183" s="19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</row>
    <row r="184" spans="2:22">
      <c r="B184" s="191"/>
      <c r="C184" s="191"/>
      <c r="D184" s="191"/>
      <c r="E184" s="191"/>
      <c r="F184" s="19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</row>
    <row r="185" spans="2:22">
      <c r="B185" s="191"/>
      <c r="C185" s="191"/>
      <c r="D185" s="191"/>
      <c r="E185" s="191"/>
      <c r="F185" s="191"/>
      <c r="G185" s="191"/>
      <c r="H185" s="191"/>
      <c r="I185" s="191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</row>
    <row r="186" spans="2:22">
      <c r="B186" s="191"/>
      <c r="C186" s="191"/>
      <c r="D186" s="191"/>
      <c r="E186" s="191"/>
      <c r="F186" s="191"/>
      <c r="G186" s="191"/>
      <c r="H186" s="191"/>
      <c r="I186" s="191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</row>
    <row r="187" spans="2:22">
      <c r="B187" s="191"/>
      <c r="C187" s="191"/>
      <c r="D187" s="191"/>
      <c r="E187" s="191"/>
      <c r="F187" s="191"/>
      <c r="G187" s="191"/>
      <c r="H187" s="191"/>
      <c r="I187" s="191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</row>
    <row r="188" spans="2:22">
      <c r="B188" s="191"/>
      <c r="C188" s="191"/>
      <c r="D188" s="191"/>
      <c r="E188" s="191"/>
      <c r="F188" s="191"/>
      <c r="G188" s="191"/>
      <c r="H188" s="191"/>
      <c r="I188" s="191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</row>
    <row r="189" spans="2:22">
      <c r="B189" s="191"/>
      <c r="C189" s="191"/>
      <c r="D189" s="191"/>
      <c r="E189" s="191"/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</row>
    <row r="190" spans="2:22">
      <c r="B190" s="191"/>
      <c r="C190" s="191"/>
      <c r="D190" s="191"/>
      <c r="E190" s="191"/>
      <c r="F190" s="191"/>
      <c r="G190" s="191"/>
      <c r="H190" s="191"/>
      <c r="I190" s="191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</row>
    <row r="191" spans="2:22">
      <c r="B191" s="191"/>
      <c r="C191" s="191"/>
      <c r="D191" s="191"/>
      <c r="E191" s="191"/>
      <c r="F191" s="191"/>
      <c r="G191" s="191"/>
      <c r="H191" s="191"/>
      <c r="I191" s="191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</row>
    <row r="192" spans="2:22">
      <c r="B192" s="191"/>
      <c r="C192" s="191"/>
      <c r="D192" s="191"/>
      <c r="E192" s="191"/>
      <c r="F192" s="191"/>
      <c r="G192" s="191"/>
      <c r="H192" s="191"/>
      <c r="I192" s="191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</row>
    <row r="193" spans="2:22">
      <c r="B193" s="191"/>
      <c r="C193" s="191"/>
      <c r="D193" s="191"/>
      <c r="E193" s="191"/>
      <c r="F193" s="191"/>
      <c r="G193" s="191"/>
      <c r="H193" s="191"/>
      <c r="I193" s="191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</row>
    <row r="194" spans="2:22">
      <c r="B194" s="191"/>
      <c r="C194" s="191"/>
      <c r="D194" s="191"/>
      <c r="E194" s="191"/>
      <c r="F194" s="191"/>
      <c r="G194" s="191"/>
      <c r="H194" s="191"/>
      <c r="I194" s="191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</row>
    <row r="195" spans="2:22">
      <c r="B195" s="191"/>
      <c r="C195" s="191"/>
      <c r="D195" s="191"/>
      <c r="E195" s="191"/>
      <c r="F195" s="191"/>
      <c r="G195" s="191"/>
      <c r="H195" s="191"/>
      <c r="I195" s="191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</row>
    <row r="196" spans="2:22">
      <c r="B196" s="191"/>
      <c r="C196" s="191"/>
      <c r="D196" s="191"/>
      <c r="E196" s="191"/>
      <c r="F196" s="191"/>
      <c r="G196" s="191"/>
      <c r="H196" s="191"/>
      <c r="I196" s="191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</row>
    <row r="197" spans="2:22">
      <c r="B197" s="191"/>
      <c r="C197" s="191"/>
      <c r="D197" s="191"/>
      <c r="E197" s="191"/>
      <c r="F197" s="191"/>
      <c r="G197" s="191"/>
      <c r="H197" s="191"/>
      <c r="I197" s="191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</row>
    <row r="198" spans="2:22">
      <c r="B198" s="191"/>
      <c r="C198" s="191"/>
      <c r="D198" s="191"/>
      <c r="E198" s="191"/>
      <c r="F198" s="19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</row>
    <row r="199" spans="2:22">
      <c r="B199" s="191"/>
      <c r="C199" s="191"/>
      <c r="D199" s="191"/>
      <c r="E199" s="191"/>
      <c r="F199" s="191"/>
      <c r="G199" s="191"/>
      <c r="H199" s="191"/>
      <c r="I199" s="191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</row>
    <row r="200" spans="2:22">
      <c r="B200" s="191"/>
      <c r="C200" s="191"/>
      <c r="D200" s="191"/>
      <c r="E200" s="191"/>
      <c r="F200" s="191"/>
      <c r="G200" s="191"/>
      <c r="H200" s="191"/>
      <c r="I200" s="191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</row>
    <row r="201" spans="2:22">
      <c r="B201" s="191"/>
      <c r="C201" s="191"/>
      <c r="D201" s="191"/>
      <c r="E201" s="191"/>
      <c r="F201" s="191"/>
      <c r="G201" s="191"/>
      <c r="H201" s="191"/>
      <c r="I201" s="191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</row>
    <row r="202" spans="2:22">
      <c r="B202" s="191"/>
      <c r="C202" s="191"/>
      <c r="D202" s="191"/>
      <c r="E202" s="191"/>
      <c r="F202" s="191"/>
      <c r="G202" s="191"/>
      <c r="H202" s="191"/>
      <c r="I202" s="191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</row>
    <row r="203" spans="2:22">
      <c r="B203" s="191"/>
      <c r="C203" s="191"/>
      <c r="D203" s="191"/>
      <c r="E203" s="191"/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</row>
    <row r="204" spans="2:22">
      <c r="B204" s="191"/>
      <c r="C204" s="191"/>
      <c r="D204" s="191"/>
      <c r="E204" s="191"/>
      <c r="F204" s="191"/>
      <c r="G204" s="191"/>
      <c r="H204" s="191"/>
      <c r="I204" s="191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</row>
    <row r="205" spans="2:22">
      <c r="B205" s="191"/>
      <c r="C205" s="191"/>
      <c r="D205" s="191"/>
      <c r="E205" s="191"/>
      <c r="F205" s="191"/>
      <c r="G205" s="191"/>
      <c r="H205" s="191"/>
      <c r="I205" s="191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</row>
    <row r="206" spans="2:22">
      <c r="B206" s="191"/>
      <c r="C206" s="191"/>
      <c r="D206" s="191"/>
      <c r="E206" s="191"/>
      <c r="F206" s="191"/>
      <c r="G206" s="191"/>
      <c r="H206" s="191"/>
      <c r="I206" s="191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</row>
    <row r="207" spans="2:22">
      <c r="B207" s="191"/>
      <c r="C207" s="191"/>
      <c r="D207" s="191"/>
      <c r="E207" s="191"/>
      <c r="F207" s="191"/>
      <c r="G207" s="191"/>
      <c r="H207" s="191"/>
      <c r="I207" s="191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</row>
    <row r="208" spans="2:22">
      <c r="B208" s="191"/>
      <c r="C208" s="191"/>
      <c r="D208" s="191"/>
      <c r="E208" s="191"/>
      <c r="F208" s="191"/>
      <c r="G208" s="191"/>
      <c r="H208" s="191"/>
      <c r="I208" s="191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</row>
    <row r="209" spans="2:22">
      <c r="B209" s="191"/>
      <c r="C209" s="191"/>
      <c r="D209" s="191"/>
      <c r="E209" s="191"/>
      <c r="F209" s="191"/>
      <c r="G209" s="191"/>
      <c r="H209" s="191"/>
      <c r="I209" s="191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</row>
    <row r="210" spans="2:22">
      <c r="B210" s="191"/>
      <c r="C210" s="191"/>
      <c r="D210" s="191"/>
      <c r="E210" s="191"/>
      <c r="F210" s="191"/>
      <c r="G210" s="191"/>
      <c r="H210" s="191"/>
      <c r="I210" s="191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</row>
    <row r="211" spans="2:22">
      <c r="B211" s="191"/>
      <c r="C211" s="191"/>
      <c r="D211" s="191"/>
      <c r="E211" s="191"/>
      <c r="F211" s="191"/>
      <c r="G211" s="191"/>
      <c r="H211" s="191"/>
      <c r="I211" s="191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</row>
    <row r="212" spans="2:22">
      <c r="B212" s="191"/>
      <c r="C212" s="191"/>
      <c r="D212" s="191"/>
      <c r="E212" s="191"/>
      <c r="F212" s="191"/>
      <c r="G212" s="191"/>
      <c r="H212" s="191"/>
      <c r="I212" s="191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</row>
    <row r="213" spans="2:22">
      <c r="B213" s="191"/>
      <c r="C213" s="191"/>
      <c r="D213" s="191"/>
      <c r="E213" s="191"/>
      <c r="F213" s="191"/>
      <c r="G213" s="191"/>
      <c r="H213" s="191"/>
      <c r="I213" s="191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</row>
    <row r="214" spans="2:22">
      <c r="B214" s="191"/>
      <c r="C214" s="191"/>
      <c r="D214" s="191"/>
      <c r="E214" s="191"/>
      <c r="F214" s="191"/>
      <c r="G214" s="191"/>
      <c r="H214" s="191"/>
      <c r="I214" s="191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</row>
    <row r="215" spans="2:22">
      <c r="B215" s="191"/>
      <c r="C215" s="191"/>
      <c r="D215" s="191"/>
      <c r="E215" s="191"/>
      <c r="F215" s="191"/>
      <c r="G215" s="191"/>
      <c r="H215" s="191"/>
      <c r="I215" s="191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</row>
    <row r="216" spans="2:22">
      <c r="B216" s="191"/>
      <c r="C216" s="191"/>
      <c r="D216" s="191"/>
      <c r="E216" s="191"/>
      <c r="F216" s="191"/>
      <c r="G216" s="191"/>
      <c r="H216" s="191"/>
      <c r="I216" s="191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</row>
    <row r="217" spans="2:22">
      <c r="B217" s="191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</row>
    <row r="218" spans="2:22">
      <c r="B218" s="191"/>
      <c r="C218" s="191"/>
      <c r="D218" s="191"/>
      <c r="E218" s="191"/>
      <c r="F218" s="191"/>
      <c r="G218" s="191"/>
      <c r="H218" s="191"/>
      <c r="I218" s="191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</row>
    <row r="219" spans="2:22">
      <c r="B219" s="191"/>
      <c r="C219" s="191"/>
      <c r="D219" s="191"/>
      <c r="E219" s="191"/>
      <c r="F219" s="191"/>
      <c r="G219" s="191"/>
      <c r="H219" s="191"/>
      <c r="I219" s="191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</row>
    <row r="220" spans="2:22">
      <c r="B220" s="191"/>
      <c r="C220" s="191"/>
      <c r="D220" s="191"/>
      <c r="E220" s="191"/>
      <c r="F220" s="191"/>
      <c r="G220" s="191"/>
      <c r="H220" s="191"/>
      <c r="I220" s="191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</row>
    <row r="221" spans="2:22"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</row>
    <row r="222" spans="2:22">
      <c r="B222" s="191"/>
      <c r="C222" s="191"/>
      <c r="D222" s="191"/>
      <c r="E222" s="191"/>
      <c r="F222" s="191"/>
      <c r="G222" s="191"/>
      <c r="H222" s="191"/>
      <c r="I222" s="191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</row>
    <row r="223" spans="2:22">
      <c r="B223" s="191"/>
      <c r="C223" s="191"/>
      <c r="D223" s="191"/>
      <c r="E223" s="191"/>
      <c r="F223" s="191"/>
      <c r="G223" s="191"/>
      <c r="H223" s="191"/>
      <c r="I223" s="191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</row>
    <row r="224" spans="2:22">
      <c r="B224" s="191"/>
      <c r="C224" s="191"/>
      <c r="D224" s="191"/>
      <c r="E224" s="191"/>
      <c r="F224" s="191"/>
      <c r="G224" s="191"/>
      <c r="H224" s="191"/>
      <c r="I224" s="191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</row>
    <row r="225" spans="2:22">
      <c r="B225" s="191"/>
      <c r="C225" s="191"/>
      <c r="D225" s="191"/>
      <c r="E225" s="191"/>
      <c r="F225" s="191"/>
      <c r="G225" s="191"/>
      <c r="H225" s="191"/>
      <c r="I225" s="191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</row>
    <row r="226" spans="2:22">
      <c r="B226" s="191"/>
      <c r="C226" s="191"/>
      <c r="D226" s="191"/>
      <c r="E226" s="191"/>
      <c r="F226" s="191"/>
      <c r="G226" s="191"/>
      <c r="H226" s="191"/>
      <c r="I226" s="191"/>
      <c r="J226" s="191"/>
      <c r="K226" s="191"/>
      <c r="L226" s="191"/>
      <c r="M226" s="191"/>
      <c r="N226" s="191"/>
      <c r="O226" s="191"/>
      <c r="P226" s="191"/>
      <c r="Q226" s="191"/>
      <c r="R226" s="191"/>
      <c r="S226" s="191"/>
      <c r="T226" s="191"/>
      <c r="U226" s="191"/>
      <c r="V226" s="191"/>
    </row>
    <row r="227" spans="2:22">
      <c r="B227" s="191"/>
      <c r="C227" s="191"/>
      <c r="D227" s="191"/>
      <c r="E227" s="191"/>
      <c r="F227" s="191"/>
      <c r="G227" s="191"/>
      <c r="H227" s="191"/>
      <c r="I227" s="191"/>
      <c r="J227" s="191"/>
      <c r="K227" s="191"/>
      <c r="L227" s="191"/>
      <c r="M227" s="191"/>
      <c r="N227" s="191"/>
      <c r="O227" s="191"/>
      <c r="P227" s="191"/>
      <c r="Q227" s="191"/>
      <c r="R227" s="191"/>
      <c r="S227" s="191"/>
      <c r="T227" s="191"/>
      <c r="U227" s="191"/>
      <c r="V227" s="191"/>
    </row>
    <row r="228" spans="2:22">
      <c r="B228" s="191"/>
      <c r="C228" s="191"/>
      <c r="D228" s="191"/>
      <c r="E228" s="191"/>
      <c r="F228" s="191"/>
      <c r="G228" s="191"/>
      <c r="H228" s="191"/>
      <c r="I228" s="191"/>
      <c r="J228" s="191"/>
      <c r="K228" s="191"/>
      <c r="L228" s="191"/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</row>
    <row r="229" spans="2:22">
      <c r="B229" s="191"/>
      <c r="C229" s="191"/>
      <c r="D229" s="191"/>
      <c r="E229" s="191"/>
      <c r="F229" s="191"/>
      <c r="G229" s="191"/>
      <c r="H229" s="191"/>
      <c r="I229" s="191"/>
      <c r="J229" s="191"/>
      <c r="K229" s="191"/>
      <c r="L229" s="191"/>
      <c r="M229" s="191"/>
      <c r="N229" s="191"/>
      <c r="O229" s="191"/>
      <c r="P229" s="191"/>
      <c r="Q229" s="191"/>
      <c r="R229" s="191"/>
      <c r="S229" s="191"/>
      <c r="T229" s="191"/>
      <c r="U229" s="191"/>
      <c r="V229" s="191"/>
    </row>
    <row r="230" spans="2:22">
      <c r="B230" s="191"/>
      <c r="C230" s="191"/>
      <c r="D230" s="191"/>
      <c r="E230" s="191"/>
      <c r="F230" s="191"/>
      <c r="G230" s="191"/>
      <c r="H230" s="191"/>
      <c r="I230" s="191"/>
      <c r="J230" s="191"/>
      <c r="K230" s="191"/>
      <c r="L230" s="191"/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</row>
    <row r="231" spans="2:22">
      <c r="B231" s="191"/>
      <c r="C231" s="191"/>
      <c r="D231" s="191"/>
      <c r="E231" s="191"/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191"/>
      <c r="Q231" s="191"/>
      <c r="R231" s="191"/>
      <c r="S231" s="191"/>
      <c r="T231" s="191"/>
      <c r="U231" s="191"/>
      <c r="V231" s="191"/>
    </row>
    <row r="232" spans="2:22">
      <c r="B232" s="191"/>
      <c r="C232" s="191"/>
      <c r="D232" s="191"/>
      <c r="E232" s="191"/>
      <c r="F232" s="191"/>
      <c r="G232" s="191"/>
      <c r="H232" s="191"/>
      <c r="I232" s="191"/>
      <c r="J232" s="191"/>
      <c r="K232" s="191"/>
      <c r="L232" s="191"/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</row>
    <row r="233" spans="2:22">
      <c r="B233" s="191"/>
      <c r="C233" s="191"/>
      <c r="D233" s="191"/>
      <c r="E233" s="191"/>
      <c r="F233" s="191"/>
      <c r="G233" s="191"/>
      <c r="H233" s="191"/>
      <c r="I233" s="191"/>
      <c r="J233" s="191"/>
      <c r="K233" s="191"/>
      <c r="L233" s="191"/>
      <c r="M233" s="191"/>
      <c r="N233" s="191"/>
      <c r="O233" s="191"/>
      <c r="P233" s="191"/>
      <c r="Q233" s="191"/>
      <c r="R233" s="191"/>
      <c r="S233" s="191"/>
      <c r="T233" s="191"/>
      <c r="U233" s="191"/>
      <c r="V233" s="191"/>
    </row>
    <row r="234" spans="2:22">
      <c r="B234" s="191"/>
      <c r="C234" s="191"/>
      <c r="D234" s="191"/>
      <c r="E234" s="191"/>
      <c r="F234" s="191"/>
      <c r="G234" s="191"/>
      <c r="H234" s="191"/>
      <c r="I234" s="191"/>
      <c r="J234" s="191"/>
      <c r="K234" s="191"/>
      <c r="L234" s="191"/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</row>
    <row r="235" spans="2:22">
      <c r="B235" s="191"/>
      <c r="C235" s="191"/>
      <c r="D235" s="191"/>
      <c r="E235" s="191"/>
      <c r="F235" s="191"/>
      <c r="G235" s="191"/>
      <c r="H235" s="191"/>
      <c r="I235" s="191"/>
      <c r="J235" s="191"/>
      <c r="K235" s="191"/>
      <c r="L235" s="191"/>
      <c r="M235" s="191"/>
      <c r="N235" s="191"/>
      <c r="O235" s="191"/>
      <c r="P235" s="191"/>
      <c r="Q235" s="191"/>
      <c r="R235" s="191"/>
      <c r="S235" s="191"/>
      <c r="T235" s="191"/>
      <c r="U235" s="191"/>
      <c r="V235" s="191"/>
    </row>
    <row r="236" spans="2:22">
      <c r="B236" s="191"/>
      <c r="C236" s="191"/>
      <c r="D236" s="191"/>
      <c r="E236" s="191"/>
      <c r="F236" s="191"/>
      <c r="G236" s="191"/>
      <c r="H236" s="191"/>
      <c r="I236" s="191"/>
      <c r="J236" s="191"/>
      <c r="K236" s="191"/>
      <c r="L236" s="191"/>
      <c r="M236" s="191"/>
      <c r="N236" s="191"/>
      <c r="O236" s="191"/>
      <c r="P236" s="191"/>
      <c r="Q236" s="191"/>
      <c r="R236" s="191"/>
      <c r="S236" s="191"/>
      <c r="T236" s="191"/>
      <c r="U236" s="191"/>
      <c r="V236" s="191"/>
    </row>
    <row r="237" spans="2:22">
      <c r="B237" s="191"/>
      <c r="C237" s="191"/>
      <c r="D237" s="191"/>
      <c r="E237" s="191"/>
      <c r="F237" s="191"/>
      <c r="G237" s="191"/>
      <c r="H237" s="191"/>
      <c r="I237" s="191"/>
      <c r="J237" s="191"/>
      <c r="K237" s="191"/>
      <c r="L237" s="191"/>
      <c r="M237" s="191"/>
      <c r="N237" s="191"/>
      <c r="O237" s="191"/>
      <c r="P237" s="191"/>
      <c r="Q237" s="191"/>
      <c r="R237" s="191"/>
      <c r="S237" s="191"/>
      <c r="T237" s="191"/>
      <c r="U237" s="191"/>
      <c r="V237" s="191"/>
    </row>
    <row r="238" spans="2:22">
      <c r="B238" s="191"/>
      <c r="C238" s="191"/>
      <c r="D238" s="191"/>
      <c r="E238" s="191"/>
      <c r="F238" s="191"/>
      <c r="G238" s="191"/>
      <c r="H238" s="191"/>
      <c r="I238" s="191"/>
      <c r="J238" s="191"/>
      <c r="K238" s="191"/>
      <c r="L238" s="191"/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</row>
    <row r="239" spans="2:22">
      <c r="B239" s="191"/>
      <c r="C239" s="191"/>
      <c r="D239" s="191"/>
      <c r="E239" s="191"/>
      <c r="F239" s="191"/>
      <c r="G239" s="191"/>
      <c r="H239" s="191"/>
      <c r="I239" s="191"/>
      <c r="J239" s="191"/>
      <c r="K239" s="191"/>
      <c r="L239" s="191"/>
      <c r="M239" s="191"/>
      <c r="N239" s="191"/>
      <c r="O239" s="191"/>
      <c r="P239" s="191"/>
      <c r="Q239" s="191"/>
      <c r="R239" s="191"/>
      <c r="S239" s="191"/>
      <c r="T239" s="191"/>
      <c r="U239" s="191"/>
      <c r="V239" s="191"/>
    </row>
    <row r="240" spans="2:22">
      <c r="B240" s="191"/>
      <c r="C240" s="191"/>
      <c r="D240" s="191"/>
      <c r="E240" s="191"/>
      <c r="F240" s="191"/>
      <c r="G240" s="191"/>
      <c r="H240" s="191"/>
      <c r="I240" s="191"/>
      <c r="J240" s="191"/>
      <c r="K240" s="191"/>
      <c r="L240" s="191"/>
      <c r="M240" s="191"/>
      <c r="N240" s="191"/>
      <c r="O240" s="191"/>
      <c r="P240" s="191"/>
      <c r="Q240" s="191"/>
      <c r="R240" s="191"/>
      <c r="S240" s="191"/>
      <c r="T240" s="191"/>
      <c r="U240" s="191"/>
      <c r="V240" s="191"/>
    </row>
    <row r="241" spans="2:22">
      <c r="B241" s="191"/>
      <c r="C241" s="191"/>
      <c r="D241" s="191"/>
      <c r="E241" s="191"/>
      <c r="F241" s="191"/>
      <c r="G241" s="191"/>
      <c r="H241" s="191"/>
      <c r="I241" s="191"/>
      <c r="J241" s="191"/>
      <c r="K241" s="191"/>
      <c r="L241" s="191"/>
      <c r="M241" s="191"/>
      <c r="N241" s="191"/>
      <c r="O241" s="191"/>
      <c r="P241" s="191"/>
      <c r="Q241" s="191"/>
      <c r="R241" s="191"/>
      <c r="S241" s="191"/>
      <c r="T241" s="191"/>
      <c r="U241" s="191"/>
      <c r="V241" s="191"/>
    </row>
    <row r="242" spans="2:22">
      <c r="B242" s="191"/>
      <c r="C242" s="191"/>
      <c r="D242" s="191"/>
      <c r="E242" s="191"/>
      <c r="F242" s="191"/>
      <c r="G242" s="191"/>
      <c r="H242" s="191"/>
      <c r="I242" s="191"/>
      <c r="J242" s="191"/>
      <c r="K242" s="191"/>
      <c r="L242" s="191"/>
      <c r="M242" s="191"/>
      <c r="N242" s="191"/>
      <c r="O242" s="191"/>
      <c r="P242" s="191"/>
      <c r="Q242" s="191"/>
      <c r="R242" s="191"/>
      <c r="S242" s="191"/>
      <c r="T242" s="191"/>
      <c r="U242" s="191"/>
      <c r="V242" s="191"/>
    </row>
    <row r="243" spans="2:22">
      <c r="B243" s="191"/>
      <c r="C243" s="191"/>
      <c r="D243" s="191"/>
      <c r="E243" s="191"/>
      <c r="F243" s="191"/>
      <c r="G243" s="191"/>
      <c r="H243" s="191"/>
      <c r="I243" s="191"/>
      <c r="J243" s="191"/>
      <c r="K243" s="191"/>
      <c r="L243" s="191"/>
      <c r="M243" s="191"/>
      <c r="N243" s="191"/>
      <c r="O243" s="191"/>
      <c r="P243" s="191"/>
      <c r="Q243" s="191"/>
      <c r="R243" s="191"/>
      <c r="S243" s="191"/>
      <c r="T243" s="191"/>
      <c r="U243" s="191"/>
      <c r="V243" s="191"/>
    </row>
    <row r="244" spans="2:22">
      <c r="B244" s="191"/>
      <c r="C244" s="191"/>
      <c r="D244" s="191"/>
      <c r="E244" s="191"/>
      <c r="F244" s="191"/>
      <c r="G244" s="191"/>
      <c r="H244" s="191"/>
      <c r="I244" s="191"/>
      <c r="J244" s="191"/>
      <c r="K244" s="191"/>
      <c r="L244" s="191"/>
      <c r="M244" s="191"/>
      <c r="N244" s="191"/>
      <c r="O244" s="191"/>
      <c r="P244" s="191"/>
      <c r="Q244" s="191"/>
      <c r="R244" s="191"/>
      <c r="S244" s="191"/>
      <c r="T244" s="191"/>
      <c r="U244" s="191"/>
      <c r="V244" s="191"/>
    </row>
    <row r="245" spans="2:22">
      <c r="B245" s="191"/>
      <c r="C245" s="191"/>
      <c r="D245" s="191"/>
      <c r="E245" s="191"/>
      <c r="F245" s="191"/>
      <c r="G245" s="191"/>
      <c r="H245" s="191"/>
      <c r="I245" s="191"/>
      <c r="J245" s="191"/>
      <c r="K245" s="191"/>
      <c r="L245" s="191"/>
      <c r="M245" s="191"/>
      <c r="N245" s="191"/>
      <c r="O245" s="191"/>
      <c r="P245" s="191"/>
      <c r="Q245" s="191"/>
      <c r="R245" s="191"/>
      <c r="S245" s="191"/>
      <c r="T245" s="191"/>
      <c r="U245" s="191"/>
      <c r="V245" s="191"/>
    </row>
    <row r="246" spans="2:22">
      <c r="B246" s="191"/>
      <c r="C246" s="191"/>
      <c r="D246" s="191"/>
      <c r="E246" s="191"/>
      <c r="F246" s="191"/>
      <c r="G246" s="191"/>
      <c r="H246" s="191"/>
      <c r="I246" s="191"/>
      <c r="J246" s="191"/>
      <c r="K246" s="191"/>
      <c r="L246" s="191"/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</row>
    <row r="247" spans="2:22">
      <c r="B247" s="191"/>
      <c r="C247" s="191"/>
      <c r="D247" s="191"/>
      <c r="E247" s="191"/>
      <c r="F247" s="191"/>
      <c r="G247" s="191"/>
      <c r="H247" s="191"/>
      <c r="I247" s="191"/>
      <c r="J247" s="191"/>
      <c r="K247" s="191"/>
      <c r="L247" s="191"/>
      <c r="M247" s="191"/>
      <c r="N247" s="191"/>
      <c r="O247" s="191"/>
      <c r="P247" s="191"/>
      <c r="Q247" s="191"/>
      <c r="R247" s="191"/>
      <c r="S247" s="191"/>
      <c r="T247" s="191"/>
      <c r="U247" s="191"/>
      <c r="V247" s="191"/>
    </row>
    <row r="248" spans="2:22"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</row>
    <row r="249" spans="2:22">
      <c r="B249" s="191"/>
      <c r="C249" s="191"/>
      <c r="D249" s="191"/>
      <c r="E249" s="191"/>
      <c r="F249" s="191"/>
      <c r="G249" s="191"/>
      <c r="H249" s="191"/>
      <c r="I249" s="191"/>
      <c r="J249" s="191"/>
      <c r="K249" s="191"/>
      <c r="L249" s="191"/>
      <c r="M249" s="191"/>
      <c r="N249" s="191"/>
      <c r="O249" s="191"/>
      <c r="P249" s="191"/>
      <c r="Q249" s="191"/>
      <c r="R249" s="191"/>
      <c r="S249" s="191"/>
      <c r="T249" s="191"/>
      <c r="U249" s="191"/>
      <c r="V249" s="191"/>
    </row>
    <row r="250" spans="2:22">
      <c r="B250" s="191"/>
      <c r="C250" s="191"/>
      <c r="D250" s="191"/>
      <c r="E250" s="191"/>
      <c r="F250" s="191"/>
      <c r="G250" s="191"/>
      <c r="H250" s="191"/>
      <c r="I250" s="191"/>
      <c r="J250" s="191"/>
      <c r="K250" s="191"/>
      <c r="L250" s="191"/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</row>
    <row r="251" spans="2:22">
      <c r="B251" s="191"/>
      <c r="C251" s="191"/>
      <c r="D251" s="191"/>
      <c r="E251" s="191"/>
      <c r="F251" s="191"/>
      <c r="G251" s="191"/>
      <c r="H251" s="191"/>
      <c r="I251" s="191"/>
      <c r="J251" s="191"/>
      <c r="K251" s="191"/>
      <c r="L251" s="191"/>
      <c r="M251" s="191"/>
      <c r="N251" s="191"/>
      <c r="O251" s="191"/>
      <c r="P251" s="191"/>
      <c r="Q251" s="191"/>
      <c r="R251" s="191"/>
      <c r="S251" s="191"/>
      <c r="T251" s="191"/>
      <c r="U251" s="191"/>
      <c r="V251" s="191"/>
    </row>
    <row r="252" spans="2:22">
      <c r="B252" s="191"/>
      <c r="C252" s="191"/>
      <c r="D252" s="191"/>
      <c r="E252" s="191"/>
      <c r="F252" s="191"/>
      <c r="G252" s="191"/>
      <c r="H252" s="191"/>
      <c r="I252" s="191"/>
      <c r="J252" s="191"/>
      <c r="K252" s="191"/>
      <c r="L252" s="191"/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</row>
    <row r="253" spans="2:22">
      <c r="B253" s="191"/>
      <c r="C253" s="191"/>
      <c r="D253" s="191"/>
      <c r="E253" s="191"/>
      <c r="F253" s="191"/>
      <c r="G253" s="191"/>
      <c r="H253" s="191"/>
      <c r="I253" s="191"/>
      <c r="J253" s="191"/>
      <c r="K253" s="191"/>
      <c r="L253" s="191"/>
      <c r="M253" s="191"/>
      <c r="N253" s="191"/>
      <c r="O253" s="191"/>
      <c r="P253" s="191"/>
      <c r="Q253" s="191"/>
      <c r="R253" s="191"/>
      <c r="S253" s="191"/>
      <c r="T253" s="191"/>
      <c r="U253" s="191"/>
      <c r="V253" s="191"/>
    </row>
    <row r="254" spans="2:22">
      <c r="B254" s="191"/>
      <c r="C254" s="191"/>
      <c r="D254" s="191"/>
      <c r="E254" s="191"/>
      <c r="F254" s="191"/>
      <c r="G254" s="191"/>
      <c r="H254" s="191"/>
      <c r="I254" s="191"/>
      <c r="J254" s="191"/>
      <c r="K254" s="191"/>
      <c r="L254" s="191"/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</row>
    <row r="255" spans="2:22">
      <c r="B255" s="191"/>
      <c r="C255" s="191"/>
      <c r="D255" s="191"/>
      <c r="E255" s="191"/>
      <c r="F255" s="191"/>
      <c r="G255" s="191"/>
      <c r="H255" s="191"/>
      <c r="I255" s="191"/>
      <c r="J255" s="191"/>
      <c r="K255" s="191"/>
      <c r="L255" s="191"/>
      <c r="M255" s="191"/>
      <c r="N255" s="191"/>
      <c r="O255" s="191"/>
      <c r="P255" s="191"/>
      <c r="Q255" s="191"/>
      <c r="R255" s="191"/>
      <c r="S255" s="191"/>
      <c r="T255" s="191"/>
      <c r="U255" s="191"/>
      <c r="V255" s="191"/>
    </row>
    <row r="256" spans="2:22">
      <c r="B256" s="191"/>
      <c r="C256" s="191"/>
      <c r="D256" s="191"/>
      <c r="E256" s="191"/>
      <c r="F256" s="191"/>
      <c r="G256" s="191"/>
      <c r="H256" s="191"/>
      <c r="I256" s="191"/>
      <c r="J256" s="191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</row>
    <row r="257" spans="2:22">
      <c r="B257" s="191"/>
      <c r="C257" s="191"/>
      <c r="D257" s="191"/>
      <c r="E257" s="191"/>
      <c r="F257" s="191"/>
      <c r="G257" s="191"/>
      <c r="H257" s="191"/>
      <c r="I257" s="191"/>
      <c r="J257" s="191"/>
      <c r="K257" s="191"/>
      <c r="L257" s="191"/>
      <c r="M257" s="191"/>
      <c r="N257" s="191"/>
      <c r="O257" s="191"/>
      <c r="P257" s="191"/>
      <c r="Q257" s="191"/>
      <c r="R257" s="191"/>
      <c r="S257" s="191"/>
      <c r="T257" s="191"/>
      <c r="U257" s="191"/>
      <c r="V257" s="191"/>
    </row>
    <row r="258" spans="2:22">
      <c r="B258" s="191"/>
      <c r="C258" s="191"/>
      <c r="D258" s="191"/>
      <c r="E258" s="191"/>
      <c r="F258" s="191"/>
      <c r="G258" s="191"/>
      <c r="H258" s="191"/>
      <c r="I258" s="191"/>
      <c r="J258" s="191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</row>
    <row r="259" spans="2:22">
      <c r="B259" s="191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  <c r="M259" s="191"/>
      <c r="N259" s="191"/>
      <c r="O259" s="191"/>
      <c r="P259" s="191"/>
      <c r="Q259" s="191"/>
      <c r="R259" s="191"/>
      <c r="S259" s="191"/>
      <c r="T259" s="191"/>
      <c r="U259" s="191"/>
      <c r="V259" s="191"/>
    </row>
    <row r="260" spans="2:22">
      <c r="B260" s="191"/>
      <c r="C260" s="191"/>
      <c r="D260" s="191"/>
      <c r="E260" s="191"/>
      <c r="F260" s="191"/>
      <c r="G260" s="191"/>
      <c r="H260" s="191"/>
      <c r="I260" s="191"/>
      <c r="J260" s="191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</row>
    <row r="261" spans="2:22">
      <c r="B261" s="191"/>
      <c r="C261" s="191"/>
      <c r="D261" s="191"/>
      <c r="E261" s="191"/>
      <c r="F261" s="191"/>
      <c r="G261" s="191"/>
      <c r="H261" s="191"/>
      <c r="I261" s="191"/>
      <c r="J261" s="191"/>
      <c r="K261" s="191"/>
      <c r="L261" s="191"/>
      <c r="M261" s="191"/>
      <c r="N261" s="191"/>
      <c r="O261" s="191"/>
      <c r="P261" s="191"/>
      <c r="Q261" s="191"/>
      <c r="R261" s="191"/>
      <c r="S261" s="191"/>
      <c r="T261" s="191"/>
      <c r="U261" s="191"/>
      <c r="V261" s="191"/>
    </row>
    <row r="262" spans="2:22">
      <c r="B262" s="191"/>
      <c r="C262" s="191"/>
      <c r="D262" s="191"/>
      <c r="E262" s="191"/>
      <c r="F262" s="191"/>
      <c r="G262" s="191"/>
      <c r="H262" s="191"/>
      <c r="I262" s="191"/>
      <c r="J262" s="191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</row>
    <row r="263" spans="2:22">
      <c r="B263" s="191"/>
      <c r="C263" s="191"/>
      <c r="D263" s="191"/>
      <c r="E263" s="191"/>
      <c r="F263" s="191"/>
      <c r="G263" s="191"/>
      <c r="H263" s="191"/>
      <c r="I263" s="191"/>
      <c r="J263" s="191"/>
      <c r="K263" s="191"/>
      <c r="L263" s="191"/>
      <c r="M263" s="191"/>
      <c r="N263" s="191"/>
      <c r="O263" s="191"/>
      <c r="P263" s="191"/>
      <c r="Q263" s="191"/>
      <c r="R263" s="191"/>
      <c r="S263" s="191"/>
      <c r="T263" s="191"/>
      <c r="U263" s="191"/>
      <c r="V263" s="191"/>
    </row>
    <row r="264" spans="2:22">
      <c r="B264" s="191"/>
      <c r="C264" s="191"/>
      <c r="D264" s="191"/>
      <c r="E264" s="191"/>
      <c r="F264" s="191"/>
      <c r="G264" s="191"/>
      <c r="H264" s="191"/>
      <c r="I264" s="191"/>
      <c r="J264" s="191"/>
      <c r="K264" s="191"/>
      <c r="L264" s="191"/>
      <c r="M264" s="191"/>
      <c r="N264" s="191"/>
      <c r="O264" s="191"/>
      <c r="P264" s="191"/>
      <c r="Q264" s="191"/>
      <c r="R264" s="191"/>
      <c r="S264" s="191"/>
      <c r="T264" s="191"/>
      <c r="U264" s="191"/>
      <c r="V264" s="191"/>
    </row>
    <row r="265" spans="2:22">
      <c r="B265" s="191"/>
      <c r="C265" s="191"/>
      <c r="D265" s="191"/>
      <c r="E265" s="191"/>
      <c r="F265" s="191"/>
      <c r="G265" s="191"/>
      <c r="H265" s="191"/>
      <c r="I265" s="191"/>
      <c r="J265" s="191"/>
      <c r="K265" s="191"/>
      <c r="L265" s="191"/>
      <c r="M265" s="191"/>
      <c r="N265" s="191"/>
      <c r="O265" s="191"/>
      <c r="P265" s="191"/>
      <c r="Q265" s="191"/>
      <c r="R265" s="191"/>
      <c r="S265" s="191"/>
      <c r="T265" s="191"/>
      <c r="U265" s="191"/>
      <c r="V265" s="191"/>
    </row>
    <row r="266" spans="2:22">
      <c r="B266" s="191"/>
      <c r="C266" s="191"/>
      <c r="D266" s="191"/>
      <c r="E266" s="191"/>
      <c r="F266" s="191"/>
      <c r="G266" s="191"/>
      <c r="H266" s="191"/>
      <c r="I266" s="191"/>
      <c r="J266" s="191"/>
      <c r="K266" s="191"/>
      <c r="L266" s="191"/>
      <c r="M266" s="191"/>
      <c r="N266" s="191"/>
      <c r="O266" s="191"/>
      <c r="P266" s="191"/>
      <c r="Q266" s="191"/>
      <c r="R266" s="191"/>
      <c r="S266" s="191"/>
      <c r="T266" s="191"/>
      <c r="U266" s="191"/>
      <c r="V266" s="191"/>
    </row>
    <row r="267" spans="2:22">
      <c r="B267" s="191"/>
      <c r="C267" s="191"/>
      <c r="D267" s="191"/>
      <c r="E267" s="191"/>
      <c r="F267" s="191"/>
      <c r="G267" s="191"/>
      <c r="H267" s="191"/>
      <c r="I267" s="191"/>
      <c r="J267" s="191"/>
      <c r="K267" s="191"/>
      <c r="L267" s="191"/>
      <c r="M267" s="191"/>
      <c r="N267" s="191"/>
      <c r="O267" s="191"/>
      <c r="P267" s="191"/>
      <c r="Q267" s="191"/>
      <c r="R267" s="191"/>
      <c r="S267" s="191"/>
      <c r="T267" s="191"/>
      <c r="U267" s="191"/>
      <c r="V267" s="191"/>
    </row>
    <row r="268" spans="2:22">
      <c r="B268" s="191"/>
      <c r="C268" s="191"/>
      <c r="D268" s="191"/>
      <c r="E268" s="191"/>
      <c r="F268" s="19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191"/>
      <c r="R268" s="191"/>
      <c r="S268" s="191"/>
      <c r="T268" s="191"/>
      <c r="U268" s="191"/>
      <c r="V268" s="191"/>
    </row>
    <row r="269" spans="2:22">
      <c r="B269" s="191"/>
      <c r="C269" s="191"/>
      <c r="D269" s="191"/>
      <c r="E269" s="191"/>
      <c r="F269" s="191"/>
      <c r="G269" s="191"/>
      <c r="H269" s="191"/>
      <c r="I269" s="191"/>
      <c r="J269" s="191"/>
      <c r="K269" s="191"/>
      <c r="L269" s="191"/>
      <c r="M269" s="191"/>
      <c r="N269" s="191"/>
      <c r="O269" s="191"/>
      <c r="P269" s="191"/>
      <c r="Q269" s="191"/>
      <c r="R269" s="191"/>
      <c r="S269" s="191"/>
      <c r="T269" s="191"/>
      <c r="U269" s="191"/>
      <c r="V269" s="191"/>
    </row>
    <row r="270" spans="2:22">
      <c r="B270" s="191"/>
      <c r="C270" s="191"/>
      <c r="D270" s="191"/>
      <c r="E270" s="191"/>
      <c r="F270" s="191"/>
      <c r="G270" s="191"/>
      <c r="H270" s="191"/>
      <c r="I270" s="191"/>
      <c r="J270" s="191"/>
      <c r="K270" s="191"/>
      <c r="L270" s="191"/>
      <c r="M270" s="191"/>
      <c r="N270" s="191"/>
      <c r="O270" s="191"/>
      <c r="P270" s="191"/>
      <c r="Q270" s="191"/>
      <c r="R270" s="191"/>
      <c r="S270" s="191"/>
      <c r="T270" s="191"/>
      <c r="U270" s="191"/>
      <c r="V270" s="191"/>
    </row>
    <row r="271" spans="2:22">
      <c r="B271" s="191"/>
      <c r="C271" s="191"/>
      <c r="D271" s="191"/>
      <c r="E271" s="191"/>
      <c r="F271" s="191"/>
      <c r="G271" s="191"/>
      <c r="H271" s="191"/>
      <c r="I271" s="191"/>
      <c r="J271" s="191"/>
      <c r="K271" s="191"/>
      <c r="L271" s="191"/>
      <c r="M271" s="191"/>
      <c r="N271" s="191"/>
      <c r="O271" s="191"/>
      <c r="P271" s="191"/>
      <c r="Q271" s="191"/>
      <c r="R271" s="191"/>
      <c r="S271" s="191"/>
      <c r="T271" s="191"/>
      <c r="U271" s="191"/>
      <c r="V271" s="191"/>
    </row>
    <row r="272" spans="2:22">
      <c r="B272" s="191"/>
      <c r="C272" s="191"/>
      <c r="D272" s="191"/>
      <c r="E272" s="191"/>
      <c r="F272" s="191"/>
      <c r="G272" s="191"/>
      <c r="H272" s="191"/>
      <c r="I272" s="191"/>
      <c r="J272" s="191"/>
      <c r="K272" s="191"/>
      <c r="L272" s="191"/>
      <c r="M272" s="191"/>
      <c r="N272" s="191"/>
      <c r="O272" s="191"/>
      <c r="P272" s="191"/>
      <c r="Q272" s="191"/>
      <c r="R272" s="191"/>
      <c r="S272" s="191"/>
      <c r="T272" s="191"/>
      <c r="U272" s="191"/>
      <c r="V272" s="191"/>
    </row>
    <row r="273" spans="2:22">
      <c r="B273" s="191"/>
      <c r="C273" s="191"/>
      <c r="D273" s="191"/>
      <c r="E273" s="191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</row>
    <row r="274" spans="2:22">
      <c r="B274" s="191"/>
      <c r="C274" s="191"/>
      <c r="D274" s="191"/>
      <c r="E274" s="191"/>
      <c r="F274" s="191"/>
      <c r="G274" s="191"/>
      <c r="H274" s="191"/>
      <c r="I274" s="191"/>
      <c r="J274" s="191"/>
      <c r="K274" s="191"/>
      <c r="L274" s="191"/>
      <c r="M274" s="191"/>
      <c r="N274" s="191"/>
      <c r="O274" s="191"/>
      <c r="P274" s="191"/>
      <c r="Q274" s="191"/>
      <c r="R274" s="191"/>
      <c r="S274" s="191"/>
      <c r="T274" s="191"/>
      <c r="U274" s="191"/>
      <c r="V274" s="191"/>
    </row>
    <row r="275" spans="2:22">
      <c r="B275" s="191"/>
      <c r="C275" s="191"/>
      <c r="D275" s="191"/>
      <c r="E275" s="191"/>
      <c r="F275" s="19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/>
      <c r="Q275" s="191"/>
      <c r="R275" s="191"/>
      <c r="S275" s="191"/>
      <c r="T275" s="191"/>
      <c r="U275" s="191"/>
      <c r="V275" s="191"/>
    </row>
    <row r="276" spans="2:22">
      <c r="B276" s="191"/>
      <c r="C276" s="191"/>
      <c r="D276" s="191"/>
      <c r="E276" s="191"/>
      <c r="F276" s="191"/>
      <c r="G276" s="191"/>
      <c r="H276" s="191"/>
      <c r="I276" s="191"/>
      <c r="J276" s="191"/>
      <c r="K276" s="191"/>
      <c r="L276" s="191"/>
      <c r="M276" s="191"/>
      <c r="N276" s="191"/>
      <c r="O276" s="191"/>
      <c r="P276" s="191"/>
      <c r="Q276" s="191"/>
      <c r="R276" s="191"/>
      <c r="S276" s="191"/>
      <c r="T276" s="191"/>
      <c r="U276" s="191"/>
      <c r="V276" s="191"/>
    </row>
    <row r="277" spans="2:22">
      <c r="B277" s="191"/>
      <c r="C277" s="191"/>
      <c r="D277" s="191"/>
      <c r="E277" s="191"/>
      <c r="F277" s="191"/>
      <c r="G277" s="191"/>
      <c r="H277" s="191"/>
      <c r="I277" s="191"/>
      <c r="J277" s="191"/>
      <c r="K277" s="191"/>
      <c r="L277" s="191"/>
      <c r="M277" s="191"/>
      <c r="N277" s="191"/>
      <c r="O277" s="191"/>
      <c r="P277" s="191"/>
      <c r="Q277" s="191"/>
      <c r="R277" s="191"/>
      <c r="S277" s="191"/>
      <c r="T277" s="191"/>
      <c r="U277" s="191"/>
      <c r="V277" s="191"/>
    </row>
    <row r="278" spans="2:22">
      <c r="B278" s="191"/>
      <c r="C278" s="191"/>
      <c r="D278" s="191"/>
      <c r="E278" s="191"/>
      <c r="F278" s="191"/>
      <c r="G278" s="191"/>
      <c r="H278" s="191"/>
      <c r="I278" s="191"/>
      <c r="J278" s="191"/>
      <c r="K278" s="191"/>
      <c r="L278" s="191"/>
      <c r="M278" s="191"/>
      <c r="N278" s="191"/>
      <c r="O278" s="191"/>
      <c r="P278" s="191"/>
      <c r="Q278" s="191"/>
      <c r="R278" s="191"/>
      <c r="S278" s="191"/>
      <c r="T278" s="191"/>
      <c r="U278" s="191"/>
      <c r="V278" s="191"/>
    </row>
    <row r="279" spans="2:22">
      <c r="B279" s="191"/>
      <c r="C279" s="191"/>
      <c r="D279" s="191"/>
      <c r="E279" s="191"/>
      <c r="F279" s="191"/>
      <c r="G279" s="191"/>
      <c r="H279" s="191"/>
      <c r="I279" s="191"/>
      <c r="J279" s="191"/>
      <c r="K279" s="191"/>
      <c r="L279" s="191"/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</row>
    <row r="280" spans="2:22">
      <c r="B280" s="191"/>
      <c r="C280" s="191"/>
      <c r="D280" s="191"/>
      <c r="E280" s="191"/>
      <c r="F280" s="191"/>
      <c r="G280" s="191"/>
      <c r="H280" s="191"/>
      <c r="I280" s="191"/>
      <c r="J280" s="191"/>
      <c r="K280" s="191"/>
      <c r="L280" s="191"/>
      <c r="M280" s="191"/>
      <c r="N280" s="191"/>
      <c r="O280" s="191"/>
      <c r="P280" s="191"/>
      <c r="Q280" s="191"/>
      <c r="R280" s="191"/>
      <c r="S280" s="191"/>
      <c r="T280" s="191"/>
      <c r="U280" s="191"/>
      <c r="V280" s="191"/>
    </row>
    <row r="281" spans="2:22">
      <c r="B281" s="191"/>
      <c r="C281" s="191"/>
      <c r="D281" s="191"/>
      <c r="E281" s="191"/>
      <c r="F281" s="191"/>
      <c r="G281" s="191"/>
      <c r="H281" s="191"/>
      <c r="I281" s="191"/>
      <c r="J281" s="191"/>
      <c r="K281" s="191"/>
      <c r="L281" s="191"/>
      <c r="M281" s="191"/>
      <c r="N281" s="191"/>
      <c r="O281" s="191"/>
      <c r="P281" s="191"/>
      <c r="Q281" s="191"/>
      <c r="R281" s="191"/>
      <c r="S281" s="191"/>
      <c r="T281" s="191"/>
      <c r="U281" s="191"/>
      <c r="V281" s="191"/>
    </row>
    <row r="282" spans="2:22">
      <c r="B282" s="191"/>
      <c r="C282" s="191"/>
      <c r="D282" s="191"/>
      <c r="E282" s="191"/>
      <c r="F282" s="191"/>
      <c r="G282" s="191"/>
      <c r="H282" s="191"/>
      <c r="I282" s="191"/>
      <c r="J282" s="191"/>
      <c r="K282" s="191"/>
      <c r="L282" s="191"/>
      <c r="M282" s="191"/>
      <c r="N282" s="191"/>
      <c r="O282" s="191"/>
      <c r="P282" s="191"/>
      <c r="Q282" s="191"/>
      <c r="R282" s="191"/>
      <c r="S282" s="191"/>
      <c r="T282" s="191"/>
      <c r="U282" s="191"/>
      <c r="V282" s="191"/>
    </row>
    <row r="283" spans="2:22">
      <c r="B283" s="191"/>
      <c r="C283" s="191"/>
      <c r="D283" s="191"/>
      <c r="E283" s="191"/>
      <c r="F283" s="191"/>
      <c r="G283" s="191"/>
      <c r="H283" s="191"/>
      <c r="I283" s="191"/>
      <c r="J283" s="191"/>
      <c r="K283" s="191"/>
      <c r="L283" s="191"/>
      <c r="M283" s="191"/>
      <c r="N283" s="191"/>
      <c r="O283" s="191"/>
      <c r="P283" s="191"/>
      <c r="Q283" s="191"/>
      <c r="R283" s="191"/>
      <c r="S283" s="191"/>
      <c r="T283" s="191"/>
      <c r="U283" s="191"/>
      <c r="V283" s="191"/>
    </row>
    <row r="284" spans="2:22">
      <c r="B284" s="191"/>
      <c r="C284" s="191"/>
      <c r="D284" s="191"/>
      <c r="E284" s="191"/>
      <c r="F284" s="191"/>
      <c r="G284" s="191"/>
      <c r="H284" s="191"/>
      <c r="I284" s="191"/>
      <c r="J284" s="191"/>
      <c r="K284" s="191"/>
      <c r="L284" s="191"/>
      <c r="M284" s="191"/>
      <c r="N284" s="191"/>
      <c r="O284" s="191"/>
      <c r="P284" s="191"/>
      <c r="Q284" s="191"/>
      <c r="R284" s="191"/>
      <c r="S284" s="191"/>
      <c r="T284" s="191"/>
      <c r="U284" s="191"/>
      <c r="V284" s="191"/>
    </row>
    <row r="285" spans="2:22">
      <c r="B285" s="191"/>
      <c r="C285" s="191"/>
      <c r="D285" s="191"/>
      <c r="E285" s="191"/>
      <c r="F285" s="191"/>
      <c r="G285" s="191"/>
      <c r="H285" s="191"/>
      <c r="I285" s="191"/>
      <c r="J285" s="191"/>
      <c r="K285" s="191"/>
      <c r="L285" s="191"/>
      <c r="M285" s="191"/>
      <c r="N285" s="191"/>
      <c r="O285" s="191"/>
      <c r="P285" s="191"/>
      <c r="Q285" s="191"/>
      <c r="R285" s="191"/>
      <c r="S285" s="191"/>
      <c r="T285" s="191"/>
      <c r="U285" s="191"/>
      <c r="V285" s="191"/>
    </row>
    <row r="286" spans="2:22">
      <c r="B286" s="191"/>
      <c r="C286" s="191"/>
      <c r="D286" s="191"/>
      <c r="E286" s="191"/>
      <c r="F286" s="191"/>
      <c r="G286" s="191"/>
      <c r="H286" s="191"/>
      <c r="I286" s="191"/>
      <c r="J286" s="191"/>
      <c r="K286" s="191"/>
      <c r="L286" s="191"/>
      <c r="M286" s="191"/>
      <c r="N286" s="191"/>
      <c r="O286" s="191"/>
      <c r="P286" s="191"/>
      <c r="Q286" s="191"/>
      <c r="R286" s="191"/>
      <c r="S286" s="191"/>
      <c r="T286" s="191"/>
      <c r="U286" s="191"/>
      <c r="V286" s="191"/>
    </row>
    <row r="287" spans="2:22">
      <c r="B287" s="191"/>
      <c r="C287" s="191"/>
      <c r="D287" s="191"/>
      <c r="E287" s="191"/>
      <c r="F287" s="191"/>
      <c r="G287" s="191"/>
      <c r="H287" s="191"/>
      <c r="I287" s="191"/>
      <c r="J287" s="191"/>
      <c r="K287" s="191"/>
      <c r="L287" s="191"/>
      <c r="M287" s="191"/>
      <c r="N287" s="191"/>
      <c r="O287" s="191"/>
      <c r="P287" s="191"/>
      <c r="Q287" s="191"/>
      <c r="R287" s="191"/>
      <c r="S287" s="191"/>
      <c r="T287" s="191"/>
      <c r="U287" s="191"/>
      <c r="V287" s="191"/>
    </row>
    <row r="288" spans="2:22">
      <c r="B288" s="191"/>
      <c r="C288" s="191"/>
      <c r="D288" s="191"/>
      <c r="E288" s="191"/>
      <c r="F288" s="191"/>
      <c r="G288" s="191"/>
      <c r="H288" s="191"/>
      <c r="I288" s="191"/>
      <c r="J288" s="191"/>
      <c r="K288" s="191"/>
      <c r="L288" s="191"/>
      <c r="M288" s="191"/>
      <c r="N288" s="191"/>
      <c r="O288" s="191"/>
      <c r="P288" s="191"/>
      <c r="Q288" s="191"/>
      <c r="R288" s="191"/>
      <c r="S288" s="191"/>
      <c r="T288" s="191"/>
      <c r="U288" s="191"/>
      <c r="V288" s="191"/>
    </row>
    <row r="289" spans="2:22">
      <c r="B289" s="191"/>
      <c r="C289" s="191"/>
      <c r="D289" s="191"/>
      <c r="E289" s="191"/>
      <c r="F289" s="191"/>
      <c r="G289" s="191"/>
      <c r="H289" s="191"/>
      <c r="I289" s="191"/>
      <c r="J289" s="191"/>
      <c r="K289" s="191"/>
      <c r="L289" s="191"/>
      <c r="M289" s="191"/>
      <c r="N289" s="191"/>
      <c r="O289" s="191"/>
      <c r="P289" s="191"/>
      <c r="Q289" s="191"/>
      <c r="R289" s="191"/>
      <c r="S289" s="191"/>
      <c r="T289" s="191"/>
      <c r="U289" s="191"/>
      <c r="V289" s="191"/>
    </row>
    <row r="290" spans="2:22">
      <c r="B290" s="191"/>
      <c r="C290" s="191"/>
      <c r="D290" s="191"/>
      <c r="E290" s="191"/>
      <c r="F290" s="191"/>
      <c r="G290" s="191"/>
      <c r="H290" s="191"/>
      <c r="I290" s="191"/>
      <c r="J290" s="191"/>
      <c r="K290" s="191"/>
      <c r="L290" s="191"/>
      <c r="M290" s="191"/>
      <c r="N290" s="191"/>
      <c r="O290" s="191"/>
      <c r="P290" s="191"/>
      <c r="Q290" s="191"/>
      <c r="R290" s="191"/>
      <c r="S290" s="191"/>
      <c r="T290" s="191"/>
      <c r="U290" s="191"/>
      <c r="V290" s="191"/>
    </row>
    <row r="291" spans="2:22">
      <c r="B291" s="191"/>
      <c r="C291" s="191"/>
      <c r="D291" s="191"/>
      <c r="E291" s="191"/>
      <c r="F291" s="191"/>
      <c r="G291" s="191"/>
      <c r="H291" s="191"/>
      <c r="I291" s="191"/>
      <c r="J291" s="191"/>
      <c r="K291" s="191"/>
      <c r="L291" s="191"/>
      <c r="M291" s="191"/>
      <c r="N291" s="191"/>
      <c r="O291" s="191"/>
      <c r="P291" s="191"/>
      <c r="Q291" s="191"/>
      <c r="R291" s="191"/>
      <c r="S291" s="191"/>
      <c r="T291" s="191"/>
      <c r="U291" s="191"/>
      <c r="V291" s="191"/>
    </row>
    <row r="292" spans="2:22">
      <c r="B292" s="191"/>
      <c r="C292" s="191"/>
      <c r="D292" s="191"/>
      <c r="E292" s="191"/>
      <c r="F292" s="191"/>
      <c r="G292" s="191"/>
      <c r="H292" s="191"/>
      <c r="I292" s="191"/>
      <c r="J292" s="191"/>
      <c r="K292" s="191"/>
      <c r="L292" s="191"/>
      <c r="M292" s="191"/>
      <c r="N292" s="191"/>
      <c r="O292" s="191"/>
      <c r="P292" s="191"/>
      <c r="Q292" s="191"/>
      <c r="R292" s="191"/>
      <c r="S292" s="191"/>
      <c r="T292" s="191"/>
      <c r="U292" s="191"/>
      <c r="V292" s="191"/>
    </row>
    <row r="293" spans="2:22">
      <c r="B293" s="191"/>
      <c r="C293" s="191"/>
      <c r="D293" s="191"/>
      <c r="E293" s="191"/>
      <c r="F293" s="191"/>
      <c r="G293" s="191"/>
      <c r="H293" s="191"/>
      <c r="I293" s="191"/>
      <c r="J293" s="191"/>
      <c r="K293" s="191"/>
      <c r="L293" s="191"/>
      <c r="M293" s="191"/>
      <c r="N293" s="191"/>
      <c r="O293" s="191"/>
      <c r="P293" s="191"/>
      <c r="Q293" s="191"/>
      <c r="R293" s="191"/>
      <c r="S293" s="191"/>
      <c r="T293" s="191"/>
      <c r="U293" s="191"/>
      <c r="V293" s="191"/>
    </row>
    <row r="294" spans="2:22">
      <c r="B294" s="191"/>
      <c r="C294" s="191"/>
      <c r="D294" s="191"/>
      <c r="E294" s="191"/>
      <c r="F294" s="191"/>
      <c r="G294" s="191"/>
      <c r="H294" s="191"/>
      <c r="I294" s="191"/>
      <c r="J294" s="191"/>
      <c r="K294" s="191"/>
      <c r="L294" s="191"/>
      <c r="M294" s="191"/>
      <c r="N294" s="191"/>
      <c r="O294" s="191"/>
      <c r="P294" s="191"/>
      <c r="Q294" s="191"/>
      <c r="R294" s="191"/>
      <c r="S294" s="191"/>
      <c r="T294" s="191"/>
      <c r="U294" s="191"/>
      <c r="V294" s="191"/>
    </row>
    <row r="295" spans="2:22">
      <c r="B295" s="191"/>
      <c r="C295" s="191"/>
      <c r="D295" s="191"/>
      <c r="E295" s="191"/>
      <c r="F295" s="191"/>
      <c r="G295" s="191"/>
      <c r="H295" s="191"/>
      <c r="I295" s="191"/>
      <c r="J295" s="191"/>
      <c r="K295" s="191"/>
      <c r="L295" s="191"/>
      <c r="M295" s="191"/>
      <c r="N295" s="191"/>
      <c r="O295" s="191"/>
      <c r="P295" s="191"/>
      <c r="Q295" s="191"/>
      <c r="R295" s="191"/>
      <c r="S295" s="191"/>
      <c r="T295" s="191"/>
      <c r="U295" s="191"/>
      <c r="V295" s="191"/>
    </row>
    <row r="296" spans="2:22">
      <c r="B296" s="191"/>
      <c r="C296" s="191"/>
      <c r="D296" s="191"/>
      <c r="E296" s="191"/>
      <c r="F296" s="191"/>
      <c r="G296" s="191"/>
      <c r="H296" s="191"/>
      <c r="I296" s="191"/>
      <c r="J296" s="191"/>
      <c r="K296" s="191"/>
      <c r="L296" s="191"/>
      <c r="M296" s="191"/>
      <c r="N296" s="191"/>
      <c r="O296" s="191"/>
      <c r="P296" s="191"/>
      <c r="Q296" s="191"/>
      <c r="R296" s="191"/>
      <c r="S296" s="191"/>
      <c r="T296" s="191"/>
      <c r="U296" s="191"/>
      <c r="V296" s="191"/>
    </row>
    <row r="297" spans="2:22">
      <c r="B297" s="191"/>
      <c r="C297" s="191"/>
      <c r="D297" s="191"/>
      <c r="E297" s="191"/>
      <c r="F297" s="191"/>
      <c r="G297" s="191"/>
      <c r="H297" s="191"/>
      <c r="I297" s="191"/>
      <c r="J297" s="191"/>
      <c r="K297" s="191"/>
      <c r="L297" s="191"/>
      <c r="M297" s="191"/>
      <c r="N297" s="191"/>
      <c r="O297" s="191"/>
      <c r="P297" s="191"/>
      <c r="Q297" s="191"/>
      <c r="R297" s="191"/>
      <c r="S297" s="191"/>
      <c r="T297" s="191"/>
      <c r="U297" s="191"/>
      <c r="V297" s="191"/>
    </row>
    <row r="298" spans="2:22">
      <c r="B298" s="191"/>
      <c r="C298" s="191"/>
      <c r="D298" s="191"/>
      <c r="E298" s="191"/>
      <c r="F298" s="191"/>
      <c r="G298" s="191"/>
      <c r="H298" s="191"/>
      <c r="I298" s="191"/>
      <c r="J298" s="191"/>
      <c r="K298" s="191"/>
      <c r="L298" s="191"/>
      <c r="M298" s="191"/>
      <c r="N298" s="191"/>
      <c r="O298" s="191"/>
      <c r="P298" s="191"/>
      <c r="Q298" s="191"/>
      <c r="R298" s="191"/>
      <c r="S298" s="191"/>
      <c r="T298" s="191"/>
      <c r="U298" s="191"/>
      <c r="V298" s="191"/>
    </row>
    <row r="299" spans="2:22">
      <c r="B299" s="191"/>
      <c r="C299" s="191"/>
      <c r="D299" s="191"/>
      <c r="E299" s="191"/>
      <c r="F299" s="191"/>
      <c r="G299" s="191"/>
      <c r="H299" s="191"/>
      <c r="I299" s="191"/>
      <c r="J299" s="191"/>
      <c r="K299" s="191"/>
      <c r="L299" s="191"/>
      <c r="M299" s="191"/>
      <c r="N299" s="191"/>
      <c r="O299" s="191"/>
      <c r="P299" s="191"/>
      <c r="Q299" s="191"/>
      <c r="R299" s="191"/>
      <c r="S299" s="191"/>
      <c r="T299" s="191"/>
      <c r="U299" s="191"/>
      <c r="V299" s="191"/>
    </row>
    <row r="300" spans="2:22">
      <c r="B300" s="191"/>
      <c r="C300" s="191"/>
      <c r="D300" s="191"/>
      <c r="E300" s="191"/>
      <c r="F300" s="191"/>
      <c r="G300" s="191"/>
      <c r="H300" s="191"/>
      <c r="I300" s="191"/>
      <c r="J300" s="191"/>
      <c r="K300" s="191"/>
      <c r="L300" s="191"/>
      <c r="M300" s="191"/>
      <c r="N300" s="191"/>
      <c r="O300" s="191"/>
      <c r="P300" s="191"/>
      <c r="Q300" s="191"/>
      <c r="R300" s="191"/>
      <c r="S300" s="191"/>
      <c r="T300" s="191"/>
      <c r="U300" s="191"/>
      <c r="V300" s="191"/>
    </row>
    <row r="301" spans="2:22">
      <c r="B301" s="191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  <c r="M301" s="191"/>
      <c r="N301" s="191"/>
      <c r="O301" s="191"/>
      <c r="P301" s="191"/>
      <c r="Q301" s="191"/>
      <c r="R301" s="191"/>
      <c r="S301" s="191"/>
      <c r="T301" s="191"/>
      <c r="U301" s="191"/>
      <c r="V301" s="191"/>
    </row>
    <row r="302" spans="2:22">
      <c r="B302" s="191"/>
      <c r="C302" s="191"/>
      <c r="D302" s="191"/>
      <c r="E302" s="191"/>
      <c r="F302" s="191"/>
      <c r="G302" s="191"/>
      <c r="H302" s="191"/>
      <c r="I302" s="191"/>
      <c r="J302" s="191"/>
      <c r="K302" s="191"/>
      <c r="L302" s="191"/>
      <c r="M302" s="191"/>
      <c r="N302" s="191"/>
      <c r="O302" s="191"/>
      <c r="P302" s="191"/>
      <c r="Q302" s="191"/>
      <c r="R302" s="191"/>
      <c r="S302" s="191"/>
      <c r="T302" s="191"/>
      <c r="U302" s="191"/>
      <c r="V302" s="191"/>
    </row>
    <row r="303" spans="2:22">
      <c r="B303" s="191"/>
      <c r="C303" s="191"/>
      <c r="D303" s="191"/>
      <c r="E303" s="191"/>
      <c r="F303" s="19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/>
      <c r="Q303" s="191"/>
      <c r="R303" s="191"/>
      <c r="S303" s="191"/>
      <c r="T303" s="191"/>
      <c r="U303" s="191"/>
      <c r="V303" s="191"/>
    </row>
    <row r="304" spans="2:22">
      <c r="B304" s="191"/>
      <c r="C304" s="191"/>
      <c r="D304" s="191"/>
      <c r="E304" s="191"/>
      <c r="F304" s="191"/>
      <c r="G304" s="191"/>
      <c r="H304" s="191"/>
      <c r="I304" s="191"/>
      <c r="J304" s="191"/>
      <c r="K304" s="191"/>
      <c r="L304" s="191"/>
      <c r="M304" s="191"/>
      <c r="N304" s="191"/>
      <c r="O304" s="191"/>
      <c r="P304" s="191"/>
      <c r="Q304" s="191"/>
      <c r="R304" s="191"/>
      <c r="S304" s="191"/>
      <c r="T304" s="191"/>
      <c r="U304" s="191"/>
      <c r="V304" s="191"/>
    </row>
    <row r="305" spans="2:22">
      <c r="B305" s="191"/>
      <c r="C305" s="191"/>
      <c r="D305" s="191"/>
      <c r="E305" s="191"/>
      <c r="F305" s="191"/>
      <c r="G305" s="191"/>
      <c r="H305" s="191"/>
      <c r="I305" s="191"/>
      <c r="J305" s="191"/>
      <c r="K305" s="191"/>
      <c r="L305" s="191"/>
      <c r="M305" s="191"/>
      <c r="N305" s="191"/>
      <c r="O305" s="191"/>
      <c r="P305" s="191"/>
      <c r="Q305" s="191"/>
      <c r="R305" s="191"/>
      <c r="S305" s="191"/>
      <c r="T305" s="191"/>
      <c r="U305" s="191"/>
      <c r="V305" s="191"/>
    </row>
    <row r="306" spans="2:22">
      <c r="B306" s="191"/>
      <c r="C306" s="191"/>
      <c r="D306" s="191"/>
      <c r="E306" s="191"/>
      <c r="F306" s="191"/>
      <c r="G306" s="191"/>
      <c r="H306" s="191"/>
      <c r="I306" s="191"/>
      <c r="J306" s="191"/>
      <c r="K306" s="191"/>
      <c r="L306" s="191"/>
      <c r="M306" s="191"/>
      <c r="N306" s="191"/>
      <c r="O306" s="191"/>
      <c r="P306" s="191"/>
      <c r="Q306" s="191"/>
      <c r="R306" s="191"/>
      <c r="S306" s="191"/>
      <c r="T306" s="191"/>
      <c r="U306" s="191"/>
      <c r="V306" s="191"/>
    </row>
    <row r="307" spans="2:22">
      <c r="B307" s="191"/>
      <c r="C307" s="191"/>
      <c r="D307" s="191"/>
      <c r="E307" s="191"/>
      <c r="F307" s="191"/>
      <c r="G307" s="191"/>
      <c r="H307" s="191"/>
      <c r="I307" s="191"/>
      <c r="J307" s="191"/>
      <c r="K307" s="191"/>
      <c r="L307" s="191"/>
      <c r="M307" s="191"/>
      <c r="N307" s="191"/>
      <c r="O307" s="191"/>
      <c r="P307" s="191"/>
      <c r="Q307" s="191"/>
      <c r="R307" s="191"/>
      <c r="S307" s="191"/>
      <c r="T307" s="191"/>
      <c r="U307" s="191"/>
      <c r="V307" s="191"/>
    </row>
    <row r="308" spans="2:22">
      <c r="B308" s="191"/>
      <c r="C308" s="191"/>
      <c r="D308" s="191"/>
      <c r="E308" s="191"/>
      <c r="F308" s="191"/>
      <c r="G308" s="191"/>
      <c r="H308" s="191"/>
      <c r="I308" s="191"/>
      <c r="J308" s="191"/>
      <c r="K308" s="191"/>
      <c r="L308" s="191"/>
      <c r="M308" s="191"/>
      <c r="N308" s="191"/>
      <c r="O308" s="191"/>
      <c r="P308" s="191"/>
      <c r="Q308" s="191"/>
      <c r="R308" s="191"/>
      <c r="S308" s="191"/>
      <c r="T308" s="191"/>
      <c r="U308" s="191"/>
      <c r="V308" s="191"/>
    </row>
    <row r="309" spans="2:22">
      <c r="B309" s="191"/>
      <c r="C309" s="191"/>
      <c r="D309" s="191"/>
      <c r="E309" s="191"/>
      <c r="F309" s="191"/>
      <c r="G309" s="191"/>
      <c r="H309" s="191"/>
      <c r="I309" s="191"/>
      <c r="J309" s="191"/>
      <c r="K309" s="191"/>
      <c r="L309" s="191"/>
      <c r="M309" s="191"/>
      <c r="N309" s="191"/>
      <c r="O309" s="191"/>
      <c r="P309" s="191"/>
      <c r="Q309" s="191"/>
      <c r="R309" s="191"/>
      <c r="S309" s="191"/>
      <c r="T309" s="191"/>
      <c r="U309" s="191"/>
      <c r="V309" s="191"/>
    </row>
    <row r="310" spans="2:22">
      <c r="B310" s="191"/>
      <c r="C310" s="191"/>
      <c r="D310" s="191"/>
      <c r="E310" s="191"/>
      <c r="F310" s="191"/>
      <c r="G310" s="191"/>
      <c r="H310" s="191"/>
      <c r="I310" s="191"/>
      <c r="J310" s="191"/>
      <c r="K310" s="191"/>
      <c r="L310" s="191"/>
      <c r="M310" s="191"/>
      <c r="N310" s="191"/>
      <c r="O310" s="191"/>
      <c r="P310" s="191"/>
      <c r="Q310" s="191"/>
      <c r="R310" s="191"/>
      <c r="S310" s="191"/>
      <c r="T310" s="191"/>
      <c r="U310" s="191"/>
      <c r="V310" s="191"/>
    </row>
    <row r="311" spans="2:22">
      <c r="B311" s="191"/>
      <c r="C311" s="191"/>
      <c r="D311" s="191"/>
      <c r="E311" s="191"/>
      <c r="F311" s="191"/>
      <c r="G311" s="191"/>
      <c r="H311" s="191"/>
      <c r="I311" s="191"/>
      <c r="J311" s="191"/>
      <c r="K311" s="191"/>
      <c r="L311" s="191"/>
      <c r="M311" s="191"/>
      <c r="N311" s="191"/>
      <c r="O311" s="191"/>
      <c r="P311" s="191"/>
      <c r="Q311" s="191"/>
      <c r="R311" s="191"/>
      <c r="S311" s="191"/>
      <c r="T311" s="191"/>
      <c r="U311" s="191"/>
      <c r="V311" s="191"/>
    </row>
    <row r="312" spans="2:22">
      <c r="B312" s="191"/>
      <c r="C312" s="191"/>
      <c r="D312" s="191"/>
      <c r="E312" s="191"/>
      <c r="F312" s="191"/>
      <c r="G312" s="191"/>
      <c r="H312" s="191"/>
      <c r="I312" s="191"/>
      <c r="J312" s="191"/>
      <c r="K312" s="191"/>
      <c r="L312" s="191"/>
      <c r="M312" s="191"/>
      <c r="N312" s="191"/>
      <c r="O312" s="191"/>
      <c r="P312" s="191"/>
      <c r="Q312" s="191"/>
      <c r="R312" s="191"/>
      <c r="S312" s="191"/>
      <c r="T312" s="191"/>
      <c r="U312" s="191"/>
      <c r="V312" s="191"/>
    </row>
    <row r="313" spans="2:22">
      <c r="B313" s="191"/>
      <c r="C313" s="191"/>
      <c r="D313" s="191"/>
      <c r="E313" s="191"/>
      <c r="F313" s="191"/>
      <c r="G313" s="191"/>
      <c r="H313" s="191"/>
      <c r="I313" s="191"/>
      <c r="J313" s="191"/>
      <c r="K313" s="191"/>
      <c r="L313" s="191"/>
      <c r="M313" s="191"/>
      <c r="N313" s="191"/>
      <c r="O313" s="191"/>
      <c r="P313" s="191"/>
      <c r="Q313" s="191"/>
      <c r="R313" s="191"/>
      <c r="S313" s="191"/>
      <c r="T313" s="191"/>
      <c r="U313" s="191"/>
      <c r="V313" s="191"/>
    </row>
    <row r="314" spans="2:22">
      <c r="B314" s="191"/>
      <c r="C314" s="191"/>
      <c r="D314" s="191"/>
      <c r="E314" s="191"/>
      <c r="F314" s="191"/>
      <c r="G314" s="191"/>
      <c r="H314" s="191"/>
      <c r="I314" s="191"/>
      <c r="J314" s="191"/>
      <c r="K314" s="191"/>
      <c r="L314" s="191"/>
      <c r="M314" s="191"/>
      <c r="N314" s="191"/>
      <c r="O314" s="191"/>
      <c r="P314" s="191"/>
      <c r="Q314" s="191"/>
      <c r="R314" s="191"/>
      <c r="S314" s="191"/>
      <c r="T314" s="191"/>
      <c r="U314" s="191"/>
      <c r="V314" s="191"/>
    </row>
    <row r="315" spans="2:22">
      <c r="B315" s="191"/>
      <c r="C315" s="191"/>
      <c r="D315" s="191"/>
      <c r="E315" s="191"/>
      <c r="F315" s="191"/>
      <c r="G315" s="191"/>
      <c r="H315" s="191"/>
      <c r="I315" s="191"/>
      <c r="J315" s="191"/>
      <c r="K315" s="191"/>
      <c r="L315" s="191"/>
      <c r="M315" s="191"/>
      <c r="N315" s="191"/>
      <c r="O315" s="191"/>
      <c r="P315" s="191"/>
      <c r="Q315" s="191"/>
      <c r="R315" s="191"/>
      <c r="S315" s="191"/>
      <c r="T315" s="191"/>
      <c r="U315" s="191"/>
      <c r="V315" s="191"/>
    </row>
    <row r="316" spans="2:22">
      <c r="B316" s="191"/>
      <c r="C316" s="191"/>
      <c r="D316" s="191"/>
      <c r="E316" s="191"/>
      <c r="F316" s="191"/>
      <c r="G316" s="191"/>
      <c r="H316" s="191"/>
      <c r="I316" s="191"/>
      <c r="J316" s="191"/>
      <c r="K316" s="191"/>
      <c r="L316" s="191"/>
      <c r="M316" s="191"/>
      <c r="N316" s="191"/>
      <c r="O316" s="191"/>
      <c r="P316" s="191"/>
      <c r="Q316" s="191"/>
      <c r="R316" s="191"/>
      <c r="S316" s="191"/>
      <c r="T316" s="191"/>
      <c r="U316" s="191"/>
      <c r="V316" s="191"/>
    </row>
    <row r="317" spans="2:22">
      <c r="B317" s="191"/>
      <c r="C317" s="191"/>
      <c r="D317" s="191"/>
      <c r="E317" s="191"/>
      <c r="F317" s="191"/>
      <c r="G317" s="191"/>
      <c r="H317" s="191"/>
      <c r="I317" s="191"/>
      <c r="J317" s="191"/>
      <c r="K317" s="191"/>
      <c r="L317" s="191"/>
      <c r="M317" s="191"/>
      <c r="N317" s="191"/>
      <c r="O317" s="191"/>
      <c r="P317" s="191"/>
      <c r="Q317" s="191"/>
      <c r="R317" s="191"/>
      <c r="S317" s="191"/>
      <c r="T317" s="191"/>
      <c r="U317" s="191"/>
      <c r="V317" s="191"/>
    </row>
    <row r="318" spans="2:22">
      <c r="B318" s="191"/>
      <c r="C318" s="191"/>
      <c r="D318" s="191"/>
      <c r="E318" s="191"/>
      <c r="F318" s="191"/>
      <c r="G318" s="191"/>
      <c r="H318" s="191"/>
      <c r="I318" s="191"/>
      <c r="J318" s="191"/>
      <c r="K318" s="191"/>
      <c r="L318" s="191"/>
      <c r="M318" s="191"/>
      <c r="N318" s="191"/>
      <c r="O318" s="191"/>
      <c r="P318" s="191"/>
      <c r="Q318" s="191"/>
      <c r="R318" s="191"/>
      <c r="S318" s="191"/>
      <c r="T318" s="191"/>
      <c r="U318" s="191"/>
      <c r="V318" s="191"/>
    </row>
    <row r="319" spans="2:22">
      <c r="B319" s="191"/>
      <c r="C319" s="191"/>
      <c r="D319" s="191"/>
      <c r="E319" s="191"/>
      <c r="F319" s="191"/>
      <c r="G319" s="191"/>
      <c r="H319" s="191"/>
      <c r="I319" s="191"/>
      <c r="J319" s="191"/>
      <c r="K319" s="191"/>
      <c r="L319" s="191"/>
      <c r="M319" s="191"/>
      <c r="N319" s="191"/>
      <c r="O319" s="191"/>
      <c r="P319" s="191"/>
      <c r="Q319" s="191"/>
      <c r="R319" s="191"/>
      <c r="S319" s="191"/>
      <c r="T319" s="191"/>
      <c r="U319" s="191"/>
      <c r="V319" s="191"/>
    </row>
    <row r="320" spans="2:22">
      <c r="B320" s="191"/>
      <c r="C320" s="191"/>
      <c r="D320" s="191"/>
      <c r="E320" s="191"/>
      <c r="F320" s="191"/>
      <c r="G320" s="191"/>
      <c r="H320" s="191"/>
      <c r="I320" s="191"/>
      <c r="J320" s="191"/>
      <c r="K320" s="191"/>
      <c r="L320" s="191"/>
      <c r="M320" s="191"/>
      <c r="N320" s="191"/>
      <c r="O320" s="191"/>
      <c r="P320" s="191"/>
      <c r="Q320" s="191"/>
      <c r="R320" s="191"/>
      <c r="S320" s="191"/>
      <c r="T320" s="191"/>
      <c r="U320" s="191"/>
      <c r="V320" s="191"/>
    </row>
    <row r="321" spans="2:22">
      <c r="B321" s="191"/>
      <c r="C321" s="191"/>
      <c r="D321" s="191"/>
      <c r="E321" s="191"/>
      <c r="F321" s="191"/>
      <c r="G321" s="191"/>
      <c r="H321" s="191"/>
      <c r="I321" s="191"/>
      <c r="J321" s="191"/>
      <c r="K321" s="191"/>
      <c r="L321" s="191"/>
      <c r="M321" s="191"/>
      <c r="N321" s="191"/>
      <c r="O321" s="191"/>
      <c r="P321" s="191"/>
      <c r="Q321" s="191"/>
      <c r="R321" s="191"/>
      <c r="S321" s="191"/>
      <c r="T321" s="191"/>
      <c r="U321" s="191"/>
      <c r="V321" s="191"/>
    </row>
    <row r="322" spans="2:22">
      <c r="B322" s="191"/>
      <c r="C322" s="191"/>
      <c r="D322" s="191"/>
      <c r="E322" s="191"/>
      <c r="F322" s="191"/>
      <c r="G322" s="191"/>
      <c r="H322" s="191"/>
      <c r="I322" s="191"/>
      <c r="J322" s="191"/>
      <c r="K322" s="191"/>
      <c r="L322" s="191"/>
      <c r="M322" s="191"/>
      <c r="N322" s="191"/>
      <c r="O322" s="191"/>
      <c r="P322" s="191"/>
      <c r="Q322" s="191"/>
      <c r="R322" s="191"/>
      <c r="S322" s="191"/>
      <c r="T322" s="191"/>
      <c r="U322" s="191"/>
      <c r="V322" s="191"/>
    </row>
    <row r="323" spans="2:22">
      <c r="B323" s="191"/>
      <c r="C323" s="191"/>
      <c r="D323" s="191"/>
      <c r="E323" s="191"/>
      <c r="F323" s="191"/>
      <c r="G323" s="191"/>
      <c r="H323" s="191"/>
      <c r="I323" s="191"/>
      <c r="J323" s="191"/>
      <c r="K323" s="191"/>
      <c r="L323" s="191"/>
      <c r="M323" s="191"/>
      <c r="N323" s="191"/>
      <c r="O323" s="191"/>
      <c r="P323" s="191"/>
      <c r="Q323" s="191"/>
      <c r="R323" s="191"/>
      <c r="S323" s="191"/>
      <c r="T323" s="191"/>
      <c r="U323" s="191"/>
      <c r="V323" s="191"/>
    </row>
    <row r="324" spans="2:22">
      <c r="B324" s="191"/>
      <c r="C324" s="191"/>
      <c r="D324" s="191"/>
      <c r="E324" s="191"/>
      <c r="F324" s="19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/>
      <c r="Q324" s="191"/>
      <c r="R324" s="191"/>
      <c r="S324" s="191"/>
      <c r="T324" s="191"/>
      <c r="U324" s="191"/>
      <c r="V324" s="191"/>
    </row>
    <row r="325" spans="2:22">
      <c r="B325" s="191"/>
      <c r="C325" s="191"/>
      <c r="D325" s="191"/>
      <c r="E325" s="191"/>
      <c r="F325" s="191"/>
      <c r="G325" s="191"/>
      <c r="H325" s="191"/>
      <c r="I325" s="191"/>
      <c r="J325" s="191"/>
      <c r="K325" s="191"/>
      <c r="L325" s="191"/>
      <c r="M325" s="191"/>
      <c r="N325" s="191"/>
      <c r="O325" s="191"/>
      <c r="P325" s="191"/>
      <c r="Q325" s="191"/>
      <c r="R325" s="191"/>
      <c r="S325" s="191"/>
      <c r="T325" s="191"/>
      <c r="U325" s="191"/>
      <c r="V325" s="191"/>
    </row>
    <row r="326" spans="2:22">
      <c r="B326" s="191"/>
      <c r="C326" s="191"/>
      <c r="D326" s="191"/>
      <c r="E326" s="191"/>
      <c r="F326" s="191"/>
      <c r="G326" s="191"/>
      <c r="H326" s="191"/>
      <c r="I326" s="191"/>
      <c r="J326" s="191"/>
      <c r="K326" s="191"/>
      <c r="L326" s="191"/>
      <c r="M326" s="191"/>
      <c r="N326" s="191"/>
      <c r="O326" s="191"/>
      <c r="P326" s="191"/>
      <c r="Q326" s="191"/>
      <c r="R326" s="191"/>
      <c r="S326" s="191"/>
      <c r="T326" s="191"/>
      <c r="U326" s="191"/>
      <c r="V326" s="191"/>
    </row>
    <row r="327" spans="2:22">
      <c r="B327" s="191"/>
      <c r="C327" s="191"/>
      <c r="D327" s="191"/>
      <c r="E327" s="191"/>
      <c r="F327" s="191"/>
      <c r="G327" s="191"/>
      <c r="H327" s="191"/>
      <c r="I327" s="191"/>
      <c r="J327" s="191"/>
      <c r="K327" s="191"/>
      <c r="L327" s="191"/>
      <c r="M327" s="191"/>
      <c r="N327" s="191"/>
      <c r="O327" s="191"/>
      <c r="P327" s="191"/>
      <c r="Q327" s="191"/>
      <c r="R327" s="191"/>
      <c r="S327" s="191"/>
      <c r="T327" s="191"/>
      <c r="U327" s="191"/>
      <c r="V327" s="191"/>
    </row>
    <row r="328" spans="2:22">
      <c r="B328" s="191"/>
      <c r="C328" s="191"/>
      <c r="D328" s="191"/>
      <c r="E328" s="191"/>
      <c r="F328" s="191"/>
      <c r="G328" s="191"/>
      <c r="H328" s="191"/>
      <c r="I328" s="191"/>
      <c r="J328" s="191"/>
      <c r="K328" s="191"/>
      <c r="L328" s="191"/>
      <c r="M328" s="191"/>
      <c r="N328" s="191"/>
      <c r="O328" s="191"/>
      <c r="P328" s="191"/>
      <c r="Q328" s="191"/>
      <c r="R328" s="191"/>
      <c r="S328" s="191"/>
      <c r="T328" s="191"/>
      <c r="U328" s="191"/>
      <c r="V328" s="191"/>
    </row>
    <row r="329" spans="2:22">
      <c r="B329" s="191"/>
      <c r="C329" s="191"/>
      <c r="D329" s="191"/>
      <c r="E329" s="191"/>
      <c r="F329" s="191"/>
      <c r="G329" s="191"/>
      <c r="H329" s="191"/>
      <c r="I329" s="191"/>
      <c r="J329" s="191"/>
      <c r="K329" s="191"/>
      <c r="L329" s="191"/>
      <c r="M329" s="191"/>
      <c r="N329" s="191"/>
      <c r="O329" s="191"/>
      <c r="P329" s="191"/>
      <c r="Q329" s="191"/>
      <c r="R329" s="191"/>
      <c r="S329" s="191"/>
      <c r="T329" s="191"/>
      <c r="U329" s="191"/>
      <c r="V329" s="191"/>
    </row>
    <row r="330" spans="2:22">
      <c r="B330" s="191"/>
      <c r="C330" s="191"/>
      <c r="D330" s="191"/>
      <c r="E330" s="191"/>
      <c r="F330" s="191"/>
      <c r="G330" s="191"/>
      <c r="H330" s="191"/>
      <c r="I330" s="191"/>
      <c r="J330" s="191"/>
      <c r="K330" s="191"/>
      <c r="L330" s="191"/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</row>
    <row r="331" spans="2:22">
      <c r="B331" s="191"/>
      <c r="C331" s="191"/>
      <c r="D331" s="191"/>
      <c r="E331" s="191"/>
      <c r="F331" s="19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/>
      <c r="Q331" s="191"/>
      <c r="R331" s="191"/>
      <c r="S331" s="191"/>
      <c r="T331" s="191"/>
      <c r="U331" s="191"/>
      <c r="V331" s="191"/>
    </row>
    <row r="332" spans="2:22">
      <c r="B332" s="191"/>
      <c r="C332" s="191"/>
      <c r="D332" s="191"/>
      <c r="E332" s="191"/>
      <c r="F332" s="191"/>
      <c r="G332" s="191"/>
      <c r="H332" s="191"/>
      <c r="I332" s="191"/>
      <c r="J332" s="191"/>
      <c r="K332" s="191"/>
      <c r="L332" s="191"/>
      <c r="M332" s="191"/>
      <c r="N332" s="191"/>
      <c r="O332" s="191"/>
      <c r="P332" s="191"/>
      <c r="Q332" s="191"/>
      <c r="R332" s="191"/>
      <c r="S332" s="191"/>
      <c r="T332" s="191"/>
      <c r="U332" s="191"/>
      <c r="V332" s="191"/>
    </row>
    <row r="333" spans="2:22">
      <c r="B333" s="191"/>
      <c r="C333" s="191"/>
      <c r="D333" s="191"/>
      <c r="E333" s="191"/>
      <c r="F333" s="191"/>
      <c r="G333" s="191"/>
      <c r="H333" s="191"/>
      <c r="I333" s="191"/>
      <c r="J333" s="191"/>
      <c r="K333" s="191"/>
      <c r="L333" s="191"/>
      <c r="M333" s="191"/>
      <c r="N333" s="191"/>
      <c r="O333" s="191"/>
      <c r="P333" s="191"/>
      <c r="Q333" s="191"/>
      <c r="R333" s="191"/>
      <c r="S333" s="191"/>
      <c r="T333" s="191"/>
      <c r="U333" s="191"/>
      <c r="V333" s="191"/>
    </row>
    <row r="334" spans="2:22">
      <c r="B334" s="191"/>
      <c r="C334" s="191"/>
      <c r="D334" s="191"/>
      <c r="E334" s="191"/>
      <c r="F334" s="191"/>
      <c r="G334" s="191"/>
      <c r="H334" s="191"/>
      <c r="I334" s="191"/>
      <c r="J334" s="191"/>
      <c r="K334" s="191"/>
      <c r="L334" s="191"/>
      <c r="M334" s="191"/>
      <c r="N334" s="191"/>
      <c r="O334" s="191"/>
      <c r="P334" s="191"/>
      <c r="Q334" s="191"/>
      <c r="R334" s="191"/>
      <c r="S334" s="191"/>
      <c r="T334" s="191"/>
      <c r="U334" s="191"/>
      <c r="V334" s="191"/>
    </row>
    <row r="335" spans="2:22">
      <c r="B335" s="191"/>
      <c r="C335" s="191"/>
      <c r="D335" s="191"/>
      <c r="E335" s="191"/>
      <c r="F335" s="191"/>
      <c r="G335" s="191"/>
      <c r="H335" s="191"/>
      <c r="I335" s="191"/>
      <c r="J335" s="191"/>
      <c r="K335" s="191"/>
      <c r="L335" s="191"/>
      <c r="M335" s="191"/>
      <c r="N335" s="191"/>
      <c r="O335" s="191"/>
      <c r="P335" s="191"/>
      <c r="Q335" s="191"/>
      <c r="R335" s="191"/>
      <c r="S335" s="191"/>
      <c r="T335" s="191"/>
      <c r="U335" s="191"/>
      <c r="V335" s="191"/>
    </row>
    <row r="336" spans="2:22">
      <c r="B336" s="191"/>
      <c r="C336" s="191"/>
      <c r="D336" s="191"/>
      <c r="E336" s="191"/>
      <c r="F336" s="191"/>
      <c r="G336" s="191"/>
      <c r="H336" s="191"/>
      <c r="I336" s="191"/>
      <c r="J336" s="191"/>
      <c r="K336" s="191"/>
      <c r="L336" s="191"/>
      <c r="M336" s="191"/>
      <c r="N336" s="191"/>
      <c r="O336" s="191"/>
      <c r="P336" s="191"/>
      <c r="Q336" s="191"/>
      <c r="R336" s="191"/>
      <c r="S336" s="191"/>
      <c r="T336" s="191"/>
      <c r="U336" s="191"/>
      <c r="V336" s="191"/>
    </row>
    <row r="337" spans="2:22">
      <c r="B337" s="191"/>
      <c r="C337" s="191"/>
      <c r="D337" s="191"/>
      <c r="E337" s="191"/>
      <c r="F337" s="191"/>
      <c r="G337" s="191"/>
      <c r="H337" s="191"/>
      <c r="I337" s="191"/>
      <c r="J337" s="191"/>
      <c r="K337" s="191"/>
      <c r="L337" s="191"/>
      <c r="M337" s="191"/>
      <c r="N337" s="191"/>
      <c r="O337" s="191"/>
      <c r="P337" s="191"/>
      <c r="Q337" s="191"/>
      <c r="R337" s="191"/>
      <c r="S337" s="191"/>
      <c r="T337" s="191"/>
      <c r="U337" s="191"/>
      <c r="V337" s="191"/>
    </row>
    <row r="338" spans="2:22">
      <c r="B338" s="191"/>
      <c r="C338" s="191"/>
      <c r="D338" s="191"/>
      <c r="E338" s="191"/>
      <c r="F338" s="191"/>
      <c r="G338" s="191"/>
      <c r="H338" s="191"/>
      <c r="I338" s="191"/>
      <c r="J338" s="191"/>
      <c r="K338" s="191"/>
      <c r="L338" s="191"/>
      <c r="M338" s="191"/>
      <c r="N338" s="191"/>
      <c r="O338" s="191"/>
      <c r="P338" s="191"/>
      <c r="Q338" s="191"/>
      <c r="R338" s="191"/>
      <c r="S338" s="191"/>
      <c r="T338" s="191"/>
      <c r="U338" s="191"/>
      <c r="V338" s="191"/>
    </row>
    <row r="339" spans="2:22">
      <c r="B339" s="191"/>
      <c r="C339" s="191"/>
      <c r="D339" s="191"/>
      <c r="E339" s="191"/>
      <c r="F339" s="191"/>
      <c r="G339" s="191"/>
      <c r="H339" s="191"/>
      <c r="I339" s="191"/>
      <c r="J339" s="191"/>
      <c r="K339" s="191"/>
      <c r="L339" s="191"/>
      <c r="M339" s="191"/>
      <c r="N339" s="191"/>
      <c r="O339" s="191"/>
      <c r="P339" s="191"/>
      <c r="Q339" s="191"/>
      <c r="R339" s="191"/>
      <c r="S339" s="191"/>
      <c r="T339" s="191"/>
      <c r="U339" s="191"/>
      <c r="V339" s="191"/>
    </row>
    <row r="340" spans="2:22">
      <c r="B340" s="191"/>
      <c r="C340" s="191"/>
      <c r="D340" s="191"/>
      <c r="E340" s="191"/>
      <c r="F340" s="191"/>
      <c r="G340" s="191"/>
      <c r="H340" s="191"/>
      <c r="I340" s="191"/>
      <c r="J340" s="191"/>
      <c r="K340" s="191"/>
      <c r="L340" s="191"/>
      <c r="M340" s="191"/>
      <c r="N340" s="191"/>
      <c r="O340" s="191"/>
      <c r="P340" s="191"/>
      <c r="Q340" s="191"/>
      <c r="R340" s="191"/>
      <c r="S340" s="191"/>
      <c r="T340" s="191"/>
      <c r="U340" s="191"/>
      <c r="V340" s="191"/>
    </row>
    <row r="341" spans="2:22">
      <c r="B341" s="191"/>
      <c r="C341" s="191"/>
      <c r="D341" s="191"/>
      <c r="E341" s="191"/>
      <c r="F341" s="191"/>
      <c r="G341" s="191"/>
      <c r="H341" s="191"/>
      <c r="I341" s="191"/>
      <c r="J341" s="191"/>
      <c r="K341" s="191"/>
      <c r="L341" s="191"/>
      <c r="M341" s="191"/>
      <c r="N341" s="191"/>
      <c r="O341" s="191"/>
      <c r="P341" s="191"/>
      <c r="Q341" s="191"/>
      <c r="R341" s="191"/>
      <c r="S341" s="191"/>
      <c r="T341" s="191"/>
      <c r="U341" s="191"/>
      <c r="V341" s="191"/>
    </row>
    <row r="342" spans="2:22">
      <c r="B342" s="191"/>
      <c r="C342" s="191"/>
      <c r="D342" s="191"/>
      <c r="E342" s="191"/>
      <c r="F342" s="191"/>
      <c r="G342" s="191"/>
      <c r="H342" s="191"/>
      <c r="I342" s="191"/>
      <c r="J342" s="191"/>
      <c r="K342" s="191"/>
      <c r="L342" s="191"/>
      <c r="M342" s="191"/>
      <c r="N342" s="191"/>
      <c r="O342" s="191"/>
      <c r="P342" s="191"/>
      <c r="Q342" s="191"/>
      <c r="R342" s="191"/>
      <c r="S342" s="191"/>
      <c r="T342" s="191"/>
      <c r="U342" s="191"/>
      <c r="V342" s="191"/>
    </row>
    <row r="343" spans="2:22">
      <c r="B343" s="191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  <c r="M343" s="191"/>
      <c r="N343" s="191"/>
      <c r="O343" s="191"/>
      <c r="P343" s="191"/>
      <c r="Q343" s="191"/>
      <c r="R343" s="191"/>
      <c r="S343" s="191"/>
      <c r="T343" s="191"/>
      <c r="U343" s="191"/>
      <c r="V343" s="191"/>
    </row>
    <row r="344" spans="2:22">
      <c r="B344" s="191"/>
      <c r="C344" s="191"/>
      <c r="D344" s="191"/>
      <c r="E344" s="191"/>
      <c r="F344" s="191"/>
      <c r="G344" s="191"/>
      <c r="H344" s="191"/>
      <c r="I344" s="191"/>
      <c r="J344" s="191"/>
      <c r="K344" s="191"/>
      <c r="L344" s="191"/>
      <c r="M344" s="191"/>
      <c r="N344" s="191"/>
      <c r="O344" s="191"/>
      <c r="P344" s="191"/>
      <c r="Q344" s="191"/>
      <c r="R344" s="191"/>
      <c r="S344" s="191"/>
      <c r="T344" s="191"/>
      <c r="U344" s="191"/>
      <c r="V344" s="191"/>
    </row>
    <row r="345" spans="2:22">
      <c r="B345" s="191"/>
      <c r="C345" s="191"/>
      <c r="D345" s="191"/>
      <c r="E345" s="191"/>
      <c r="F345" s="191"/>
      <c r="G345" s="191"/>
      <c r="H345" s="191"/>
      <c r="I345" s="191"/>
      <c r="J345" s="191"/>
      <c r="K345" s="191"/>
      <c r="L345" s="191"/>
      <c r="M345" s="191"/>
      <c r="N345" s="191"/>
      <c r="O345" s="191"/>
      <c r="P345" s="191"/>
      <c r="Q345" s="191"/>
      <c r="R345" s="191"/>
      <c r="S345" s="191"/>
      <c r="T345" s="191"/>
      <c r="U345" s="191"/>
      <c r="V345" s="191"/>
    </row>
    <row r="346" spans="2:22">
      <c r="B346" s="191"/>
      <c r="C346" s="191"/>
      <c r="D346" s="191"/>
      <c r="E346" s="191"/>
      <c r="F346" s="191"/>
      <c r="G346" s="191"/>
      <c r="H346" s="191"/>
      <c r="I346" s="191"/>
      <c r="J346" s="191"/>
      <c r="K346" s="191"/>
      <c r="L346" s="191"/>
      <c r="M346" s="191"/>
      <c r="N346" s="191"/>
      <c r="O346" s="191"/>
      <c r="P346" s="191"/>
      <c r="Q346" s="191"/>
      <c r="R346" s="191"/>
      <c r="S346" s="191"/>
      <c r="T346" s="191"/>
      <c r="U346" s="191"/>
      <c r="V346" s="191"/>
    </row>
    <row r="347" spans="2:22">
      <c r="B347" s="191"/>
      <c r="C347" s="191"/>
      <c r="D347" s="191"/>
      <c r="E347" s="191"/>
      <c r="F347" s="191"/>
      <c r="G347" s="191"/>
      <c r="H347" s="191"/>
      <c r="I347" s="191"/>
      <c r="J347" s="191"/>
      <c r="K347" s="191"/>
      <c r="L347" s="191"/>
      <c r="M347" s="191"/>
      <c r="N347" s="191"/>
      <c r="O347" s="191"/>
      <c r="P347" s="191"/>
      <c r="Q347" s="191"/>
      <c r="R347" s="191"/>
      <c r="S347" s="191"/>
      <c r="T347" s="191"/>
      <c r="U347" s="191"/>
      <c r="V347" s="191"/>
    </row>
    <row r="348" spans="2:22">
      <c r="B348" s="191"/>
      <c r="C348" s="191"/>
      <c r="D348" s="191"/>
      <c r="E348" s="191"/>
      <c r="F348" s="191"/>
      <c r="G348" s="191"/>
      <c r="H348" s="191"/>
      <c r="I348" s="191"/>
      <c r="J348" s="191"/>
      <c r="K348" s="191"/>
      <c r="L348" s="191"/>
      <c r="M348" s="191"/>
      <c r="N348" s="191"/>
      <c r="O348" s="191"/>
      <c r="P348" s="191"/>
      <c r="Q348" s="191"/>
      <c r="R348" s="191"/>
      <c r="S348" s="191"/>
      <c r="T348" s="191"/>
      <c r="U348" s="191"/>
      <c r="V348" s="191"/>
    </row>
    <row r="349" spans="2:22">
      <c r="B349" s="191"/>
      <c r="C349" s="191"/>
      <c r="D349" s="191"/>
      <c r="E349" s="191"/>
      <c r="F349" s="191"/>
      <c r="G349" s="191"/>
      <c r="H349" s="191"/>
      <c r="I349" s="191"/>
      <c r="J349" s="191"/>
      <c r="K349" s="191"/>
      <c r="L349" s="191"/>
      <c r="M349" s="191"/>
      <c r="N349" s="191"/>
      <c r="O349" s="191"/>
      <c r="P349" s="191"/>
      <c r="Q349" s="191"/>
      <c r="R349" s="191"/>
      <c r="S349" s="191"/>
      <c r="T349" s="191"/>
      <c r="U349" s="191"/>
      <c r="V349" s="191"/>
    </row>
    <row r="350" spans="2:22">
      <c r="B350" s="191"/>
      <c r="C350" s="191"/>
      <c r="D350" s="191"/>
      <c r="E350" s="191"/>
      <c r="F350" s="191"/>
      <c r="G350" s="191"/>
      <c r="H350" s="191"/>
      <c r="I350" s="191"/>
      <c r="J350" s="191"/>
      <c r="K350" s="191"/>
      <c r="L350" s="191"/>
      <c r="M350" s="191"/>
      <c r="N350" s="191"/>
      <c r="O350" s="191"/>
      <c r="P350" s="191"/>
      <c r="Q350" s="191"/>
      <c r="R350" s="191"/>
      <c r="S350" s="191"/>
      <c r="T350" s="191"/>
      <c r="U350" s="191"/>
      <c r="V350" s="191"/>
    </row>
    <row r="351" spans="2:22">
      <c r="B351" s="191"/>
      <c r="C351" s="191"/>
      <c r="D351" s="191"/>
      <c r="E351" s="191"/>
      <c r="F351" s="191"/>
      <c r="G351" s="191"/>
      <c r="H351" s="191"/>
      <c r="I351" s="191"/>
      <c r="J351" s="191"/>
      <c r="K351" s="191"/>
      <c r="L351" s="191"/>
      <c r="M351" s="191"/>
      <c r="N351" s="191"/>
      <c r="O351" s="191"/>
      <c r="P351" s="191"/>
      <c r="Q351" s="191"/>
      <c r="R351" s="191"/>
      <c r="S351" s="191"/>
      <c r="T351" s="191"/>
      <c r="U351" s="191"/>
      <c r="V351" s="191"/>
    </row>
    <row r="352" spans="2:22">
      <c r="B352" s="191"/>
      <c r="C352" s="191"/>
      <c r="D352" s="191"/>
      <c r="E352" s="191"/>
      <c r="F352" s="191"/>
      <c r="G352" s="191"/>
      <c r="H352" s="191"/>
      <c r="I352" s="191"/>
      <c r="J352" s="191"/>
      <c r="K352" s="191"/>
      <c r="L352" s="191"/>
      <c r="M352" s="191"/>
      <c r="N352" s="191"/>
      <c r="O352" s="191"/>
      <c r="P352" s="191"/>
      <c r="Q352" s="191"/>
      <c r="R352" s="191"/>
      <c r="S352" s="191"/>
      <c r="T352" s="191"/>
      <c r="U352" s="191"/>
      <c r="V352" s="191"/>
    </row>
    <row r="353" spans="2:22">
      <c r="B353" s="191"/>
      <c r="C353" s="191"/>
      <c r="D353" s="191"/>
      <c r="E353" s="191"/>
      <c r="F353" s="191"/>
      <c r="G353" s="191"/>
      <c r="H353" s="191"/>
      <c r="I353" s="191"/>
      <c r="J353" s="191"/>
      <c r="K353" s="191"/>
      <c r="L353" s="191"/>
      <c r="M353" s="191"/>
      <c r="N353" s="191"/>
      <c r="O353" s="191"/>
      <c r="P353" s="191"/>
      <c r="Q353" s="191"/>
      <c r="R353" s="191"/>
      <c r="S353" s="191"/>
      <c r="T353" s="191"/>
      <c r="U353" s="191"/>
      <c r="V353" s="191"/>
    </row>
    <row r="354" spans="2:22">
      <c r="B354" s="191"/>
      <c r="C354" s="191"/>
      <c r="D354" s="191"/>
      <c r="E354" s="191"/>
      <c r="F354" s="191"/>
      <c r="G354" s="191"/>
      <c r="H354" s="191"/>
      <c r="I354" s="191"/>
      <c r="J354" s="191"/>
      <c r="K354" s="191"/>
      <c r="L354" s="191"/>
      <c r="M354" s="191"/>
      <c r="N354" s="191"/>
      <c r="O354" s="191"/>
      <c r="P354" s="191"/>
      <c r="Q354" s="191"/>
      <c r="R354" s="191"/>
      <c r="S354" s="191"/>
      <c r="T354" s="191"/>
      <c r="U354" s="191"/>
      <c r="V354" s="191"/>
    </row>
    <row r="355" spans="2:22">
      <c r="B355" s="191"/>
      <c r="C355" s="191"/>
      <c r="D355" s="191"/>
      <c r="E355" s="191"/>
      <c r="F355" s="191"/>
      <c r="G355" s="191"/>
      <c r="H355" s="191"/>
      <c r="I355" s="191"/>
      <c r="J355" s="191"/>
      <c r="K355" s="191"/>
      <c r="L355" s="191"/>
      <c r="M355" s="191"/>
      <c r="N355" s="191"/>
      <c r="O355" s="191"/>
      <c r="P355" s="191"/>
      <c r="Q355" s="191"/>
      <c r="R355" s="191"/>
      <c r="S355" s="191"/>
      <c r="T355" s="191"/>
      <c r="U355" s="191"/>
      <c r="V355" s="191"/>
    </row>
    <row r="356" spans="2:22">
      <c r="B356" s="191"/>
      <c r="C356" s="191"/>
      <c r="D356" s="191"/>
      <c r="E356" s="191"/>
      <c r="F356" s="191"/>
      <c r="G356" s="191"/>
      <c r="H356" s="191"/>
      <c r="I356" s="191"/>
      <c r="J356" s="191"/>
      <c r="K356" s="191"/>
      <c r="L356" s="191"/>
      <c r="M356" s="191"/>
      <c r="N356" s="191"/>
      <c r="O356" s="191"/>
      <c r="P356" s="191"/>
      <c r="Q356" s="191"/>
      <c r="R356" s="191"/>
      <c r="S356" s="191"/>
      <c r="T356" s="191"/>
      <c r="U356" s="191"/>
      <c r="V356" s="191"/>
    </row>
    <row r="357" spans="2:22">
      <c r="B357" s="191"/>
      <c r="C357" s="191"/>
      <c r="D357" s="191"/>
      <c r="E357" s="191"/>
      <c r="F357" s="191"/>
      <c r="G357" s="191"/>
      <c r="H357" s="191"/>
      <c r="I357" s="191"/>
      <c r="J357" s="191"/>
      <c r="K357" s="191"/>
      <c r="L357" s="191"/>
      <c r="M357" s="191"/>
      <c r="N357" s="191"/>
      <c r="O357" s="191"/>
      <c r="P357" s="191"/>
      <c r="Q357" s="191"/>
      <c r="R357" s="191"/>
      <c r="S357" s="191"/>
      <c r="T357" s="191"/>
      <c r="U357" s="191"/>
      <c r="V357" s="191"/>
    </row>
    <row r="358" spans="2:22">
      <c r="B358" s="191"/>
      <c r="C358" s="191"/>
      <c r="D358" s="191"/>
      <c r="E358" s="191"/>
      <c r="F358" s="191"/>
      <c r="G358" s="191"/>
      <c r="H358" s="191"/>
      <c r="I358" s="191"/>
      <c r="J358" s="191"/>
      <c r="K358" s="191"/>
      <c r="L358" s="191"/>
      <c r="M358" s="191"/>
      <c r="N358" s="191"/>
      <c r="O358" s="191"/>
      <c r="P358" s="191"/>
      <c r="Q358" s="191"/>
      <c r="R358" s="191"/>
      <c r="S358" s="191"/>
      <c r="T358" s="191"/>
      <c r="U358" s="191"/>
      <c r="V358" s="191"/>
    </row>
    <row r="359" spans="2:22">
      <c r="B359" s="191"/>
      <c r="C359" s="191"/>
      <c r="D359" s="191"/>
      <c r="E359" s="191"/>
      <c r="F359" s="191"/>
      <c r="G359" s="191"/>
      <c r="H359" s="191"/>
      <c r="I359" s="191"/>
      <c r="J359" s="191"/>
      <c r="K359" s="191"/>
      <c r="L359" s="191"/>
      <c r="M359" s="191"/>
      <c r="N359" s="191"/>
      <c r="O359" s="191"/>
      <c r="P359" s="191"/>
      <c r="Q359" s="191"/>
      <c r="R359" s="191"/>
      <c r="S359" s="191"/>
      <c r="T359" s="191"/>
      <c r="U359" s="191"/>
      <c r="V359" s="191"/>
    </row>
    <row r="360" spans="2:22">
      <c r="B360" s="191"/>
      <c r="C360" s="191"/>
      <c r="D360" s="191"/>
      <c r="E360" s="191"/>
      <c r="F360" s="191"/>
      <c r="G360" s="191"/>
      <c r="H360" s="191"/>
      <c r="I360" s="191"/>
      <c r="J360" s="191"/>
      <c r="K360" s="191"/>
      <c r="L360" s="191"/>
      <c r="M360" s="191"/>
      <c r="N360" s="191"/>
      <c r="O360" s="191"/>
      <c r="P360" s="191"/>
      <c r="Q360" s="191"/>
      <c r="R360" s="191"/>
      <c r="S360" s="191"/>
      <c r="T360" s="191"/>
      <c r="U360" s="191"/>
      <c r="V360" s="191"/>
    </row>
    <row r="361" spans="2:22">
      <c r="B361" s="191"/>
      <c r="C361" s="191"/>
      <c r="D361" s="191"/>
      <c r="E361" s="191"/>
      <c r="F361" s="191"/>
      <c r="G361" s="191"/>
      <c r="H361" s="191"/>
      <c r="I361" s="191"/>
      <c r="J361" s="191"/>
      <c r="K361" s="191"/>
      <c r="L361" s="191"/>
      <c r="M361" s="191"/>
      <c r="N361" s="191"/>
      <c r="O361" s="191"/>
      <c r="P361" s="191"/>
      <c r="Q361" s="191"/>
      <c r="R361" s="191"/>
      <c r="S361" s="191"/>
      <c r="T361" s="191"/>
      <c r="U361" s="191"/>
      <c r="V361" s="191"/>
    </row>
    <row r="362" spans="2:22">
      <c r="B362" s="191"/>
      <c r="C362" s="191"/>
      <c r="D362" s="191"/>
      <c r="E362" s="191"/>
      <c r="F362" s="191"/>
      <c r="G362" s="191"/>
      <c r="H362" s="191"/>
      <c r="I362" s="191"/>
      <c r="J362" s="191"/>
      <c r="K362" s="191"/>
      <c r="L362" s="191"/>
      <c r="M362" s="191"/>
      <c r="N362" s="191"/>
      <c r="O362" s="191"/>
      <c r="P362" s="191"/>
      <c r="Q362" s="191"/>
      <c r="R362" s="191"/>
      <c r="S362" s="191"/>
      <c r="T362" s="191"/>
      <c r="U362" s="191"/>
      <c r="V362" s="191"/>
    </row>
    <row r="363" spans="2:22">
      <c r="B363" s="191"/>
      <c r="C363" s="191"/>
      <c r="D363" s="191"/>
      <c r="E363" s="191"/>
      <c r="F363" s="191"/>
      <c r="G363" s="191"/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</row>
    <row r="364" spans="2:22">
      <c r="B364" s="191"/>
      <c r="C364" s="191"/>
      <c r="D364" s="191"/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</row>
    <row r="365" spans="2:22">
      <c r="B365" s="191"/>
      <c r="C365" s="191"/>
      <c r="D365" s="191"/>
      <c r="E365" s="191"/>
      <c r="F365" s="191"/>
      <c r="G365" s="191"/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</row>
    <row r="366" spans="2:22">
      <c r="B366" s="191"/>
      <c r="C366" s="191"/>
      <c r="D366" s="191"/>
      <c r="E366" s="191"/>
      <c r="F366" s="191"/>
      <c r="G366" s="191"/>
      <c r="H366" s="191"/>
      <c r="I366" s="191"/>
      <c r="J366" s="191"/>
      <c r="K366" s="191"/>
      <c r="L366" s="191"/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</row>
    <row r="367" spans="2:22">
      <c r="B367" s="191"/>
      <c r="C367" s="191"/>
      <c r="D367" s="191"/>
      <c r="E367" s="191"/>
      <c r="F367" s="191"/>
      <c r="G367" s="191"/>
      <c r="H367" s="191"/>
      <c r="I367" s="191"/>
      <c r="J367" s="191"/>
      <c r="K367" s="191"/>
      <c r="L367" s="191"/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</row>
    <row r="368" spans="2:22">
      <c r="B368" s="191"/>
      <c r="C368" s="191"/>
      <c r="D368" s="191"/>
      <c r="E368" s="191"/>
      <c r="F368" s="191"/>
      <c r="G368" s="191"/>
      <c r="H368" s="191"/>
      <c r="I368" s="191"/>
      <c r="J368" s="191"/>
      <c r="K368" s="191"/>
      <c r="L368" s="191"/>
      <c r="M368" s="191"/>
      <c r="N368" s="191"/>
      <c r="O368" s="191"/>
      <c r="P368" s="191"/>
      <c r="Q368" s="191"/>
      <c r="R368" s="191"/>
      <c r="S368" s="191"/>
      <c r="T368" s="191"/>
      <c r="U368" s="191"/>
      <c r="V368" s="191"/>
    </row>
    <row r="369" spans="2:22">
      <c r="B369" s="191"/>
      <c r="C369" s="191"/>
      <c r="D369" s="191"/>
      <c r="E369" s="191"/>
      <c r="F369" s="191"/>
      <c r="G369" s="191"/>
      <c r="H369" s="191"/>
      <c r="I369" s="191"/>
      <c r="J369" s="191"/>
      <c r="K369" s="191"/>
      <c r="L369" s="191"/>
      <c r="M369" s="191"/>
      <c r="N369" s="191"/>
      <c r="O369" s="191"/>
      <c r="P369" s="191"/>
      <c r="Q369" s="191"/>
      <c r="R369" s="191"/>
      <c r="S369" s="191"/>
      <c r="T369" s="191"/>
      <c r="U369" s="191"/>
      <c r="V369" s="191"/>
    </row>
    <row r="370" spans="2:22">
      <c r="B370" s="191"/>
      <c r="C370" s="191"/>
      <c r="D370" s="191"/>
      <c r="E370" s="191"/>
      <c r="F370" s="191"/>
      <c r="G370" s="191"/>
      <c r="H370" s="191"/>
      <c r="I370" s="191"/>
      <c r="J370" s="191"/>
      <c r="K370" s="191"/>
      <c r="L370" s="191"/>
      <c r="M370" s="191"/>
      <c r="N370" s="191"/>
      <c r="O370" s="191"/>
      <c r="P370" s="191"/>
      <c r="Q370" s="191"/>
      <c r="R370" s="191"/>
      <c r="S370" s="191"/>
      <c r="T370" s="191"/>
      <c r="U370" s="191"/>
      <c r="V370" s="191"/>
    </row>
    <row r="371" spans="2:22">
      <c r="B371" s="191"/>
      <c r="C371" s="191"/>
      <c r="D371" s="191"/>
      <c r="E371" s="191"/>
      <c r="F371" s="191"/>
      <c r="G371" s="191"/>
      <c r="H371" s="191"/>
      <c r="I371" s="191"/>
      <c r="J371" s="191"/>
      <c r="K371" s="191"/>
      <c r="L371" s="191"/>
      <c r="M371" s="191"/>
      <c r="N371" s="191"/>
      <c r="O371" s="191"/>
      <c r="P371" s="191"/>
      <c r="Q371" s="191"/>
      <c r="R371" s="191"/>
      <c r="S371" s="191"/>
      <c r="T371" s="191"/>
      <c r="U371" s="191"/>
      <c r="V371" s="191"/>
    </row>
    <row r="372" spans="2:22">
      <c r="B372" s="191"/>
      <c r="C372" s="191"/>
      <c r="D372" s="191"/>
      <c r="E372" s="191"/>
      <c r="F372" s="191"/>
      <c r="G372" s="191"/>
      <c r="H372" s="191"/>
      <c r="I372" s="191"/>
      <c r="J372" s="191"/>
      <c r="K372" s="191"/>
      <c r="L372" s="191"/>
      <c r="M372" s="191"/>
      <c r="N372" s="191"/>
      <c r="O372" s="191"/>
      <c r="P372" s="191"/>
      <c r="Q372" s="191"/>
      <c r="R372" s="191"/>
      <c r="S372" s="191"/>
      <c r="T372" s="191"/>
      <c r="U372" s="191"/>
      <c r="V372" s="191"/>
    </row>
    <row r="373" spans="2:22">
      <c r="B373" s="191"/>
      <c r="C373" s="191"/>
      <c r="D373" s="191"/>
      <c r="E373" s="191"/>
      <c r="F373" s="191"/>
      <c r="G373" s="191"/>
      <c r="H373" s="191"/>
      <c r="I373" s="191"/>
      <c r="J373" s="191"/>
      <c r="K373" s="191"/>
      <c r="L373" s="191"/>
      <c r="M373" s="191"/>
      <c r="N373" s="191"/>
      <c r="O373" s="191"/>
      <c r="P373" s="191"/>
      <c r="Q373" s="191"/>
      <c r="R373" s="191"/>
      <c r="S373" s="191"/>
      <c r="T373" s="191"/>
      <c r="U373" s="191"/>
      <c r="V373" s="191"/>
    </row>
    <row r="374" spans="2:22">
      <c r="B374" s="191"/>
      <c r="C374" s="191"/>
      <c r="D374" s="191"/>
      <c r="E374" s="191"/>
      <c r="F374" s="191"/>
      <c r="G374" s="191"/>
      <c r="H374" s="191"/>
      <c r="I374" s="191"/>
      <c r="J374" s="191"/>
      <c r="K374" s="191"/>
      <c r="L374" s="191"/>
      <c r="M374" s="191"/>
      <c r="N374" s="191"/>
      <c r="O374" s="191"/>
      <c r="P374" s="191"/>
      <c r="Q374" s="191"/>
      <c r="R374" s="191"/>
      <c r="S374" s="191"/>
      <c r="T374" s="191"/>
      <c r="U374" s="191"/>
      <c r="V374" s="191"/>
    </row>
    <row r="375" spans="2:22">
      <c r="B375" s="191"/>
      <c r="C375" s="191"/>
      <c r="D375" s="191"/>
      <c r="E375" s="191"/>
      <c r="F375" s="191"/>
      <c r="G375" s="191"/>
      <c r="H375" s="191"/>
      <c r="I375" s="191"/>
      <c r="J375" s="191"/>
      <c r="K375" s="191"/>
      <c r="L375" s="191"/>
      <c r="M375" s="191"/>
      <c r="N375" s="191"/>
      <c r="O375" s="191"/>
      <c r="P375" s="191"/>
      <c r="Q375" s="191"/>
      <c r="R375" s="191"/>
      <c r="S375" s="191"/>
      <c r="T375" s="191"/>
      <c r="U375" s="191"/>
      <c r="V375" s="191"/>
    </row>
    <row r="376" spans="2:22">
      <c r="B376" s="191"/>
      <c r="C376" s="191"/>
      <c r="D376" s="191"/>
      <c r="E376" s="191"/>
      <c r="F376" s="191"/>
      <c r="G376" s="191"/>
      <c r="H376" s="191"/>
      <c r="I376" s="191"/>
      <c r="J376" s="191"/>
      <c r="K376" s="191"/>
      <c r="L376" s="191"/>
      <c r="M376" s="191"/>
      <c r="N376" s="191"/>
      <c r="O376" s="191"/>
      <c r="P376" s="191"/>
      <c r="Q376" s="191"/>
      <c r="R376" s="191"/>
      <c r="S376" s="191"/>
      <c r="T376" s="191"/>
      <c r="U376" s="191"/>
      <c r="V376" s="191"/>
    </row>
    <row r="377" spans="2:22">
      <c r="B377" s="191"/>
      <c r="C377" s="191"/>
      <c r="D377" s="191"/>
      <c r="E377" s="191"/>
      <c r="F377" s="191"/>
      <c r="G377" s="191"/>
      <c r="H377" s="191"/>
      <c r="I377" s="191"/>
      <c r="J377" s="191"/>
      <c r="K377" s="191"/>
      <c r="L377" s="191"/>
      <c r="M377" s="191"/>
      <c r="N377" s="191"/>
      <c r="O377" s="191"/>
      <c r="P377" s="191"/>
      <c r="Q377" s="191"/>
      <c r="R377" s="191"/>
      <c r="S377" s="191"/>
      <c r="T377" s="191"/>
      <c r="U377" s="191"/>
      <c r="V377" s="191"/>
    </row>
    <row r="378" spans="2:22">
      <c r="B378" s="191"/>
      <c r="C378" s="191"/>
      <c r="D378" s="191"/>
      <c r="E378" s="191"/>
      <c r="F378" s="191"/>
      <c r="G378" s="191"/>
      <c r="H378" s="191"/>
      <c r="I378" s="191"/>
      <c r="J378" s="191"/>
      <c r="K378" s="191"/>
      <c r="L378" s="191"/>
      <c r="M378" s="191"/>
      <c r="N378" s="191"/>
      <c r="O378" s="191"/>
      <c r="P378" s="191"/>
      <c r="Q378" s="191"/>
      <c r="R378" s="191"/>
      <c r="S378" s="191"/>
      <c r="T378" s="191"/>
      <c r="U378" s="191"/>
      <c r="V378" s="191"/>
    </row>
    <row r="379" spans="2:22">
      <c r="B379" s="191"/>
      <c r="C379" s="191"/>
      <c r="D379" s="191"/>
      <c r="E379" s="191"/>
      <c r="F379" s="191"/>
      <c r="G379" s="191"/>
      <c r="H379" s="191"/>
      <c r="I379" s="191"/>
      <c r="J379" s="191"/>
      <c r="K379" s="191"/>
      <c r="L379" s="191"/>
      <c r="M379" s="191"/>
      <c r="N379" s="191"/>
      <c r="O379" s="191"/>
      <c r="P379" s="191"/>
      <c r="Q379" s="191"/>
      <c r="R379" s="191"/>
      <c r="S379" s="191"/>
      <c r="T379" s="191"/>
      <c r="U379" s="191"/>
      <c r="V379" s="191"/>
    </row>
    <row r="380" spans="2:22">
      <c r="B380" s="191"/>
      <c r="C380" s="191"/>
      <c r="D380" s="191"/>
      <c r="E380" s="191"/>
      <c r="F380" s="191"/>
      <c r="G380" s="191"/>
      <c r="H380" s="191"/>
      <c r="I380" s="191"/>
      <c r="J380" s="191"/>
      <c r="K380" s="191"/>
      <c r="L380" s="191"/>
      <c r="M380" s="191"/>
      <c r="N380" s="191"/>
      <c r="O380" s="191"/>
      <c r="P380" s="191"/>
      <c r="Q380" s="191"/>
      <c r="R380" s="191"/>
      <c r="S380" s="191"/>
      <c r="T380" s="191"/>
      <c r="U380" s="191"/>
      <c r="V380" s="191"/>
    </row>
    <row r="381" spans="2:22">
      <c r="B381" s="191"/>
      <c r="C381" s="191"/>
      <c r="D381" s="191"/>
      <c r="E381" s="191"/>
      <c r="F381" s="191"/>
      <c r="G381" s="191"/>
      <c r="H381" s="191"/>
      <c r="I381" s="191"/>
      <c r="J381" s="191"/>
      <c r="K381" s="191"/>
      <c r="L381" s="191"/>
      <c r="M381" s="191"/>
      <c r="N381" s="191"/>
      <c r="O381" s="191"/>
      <c r="P381" s="191"/>
      <c r="Q381" s="191"/>
      <c r="R381" s="191"/>
      <c r="S381" s="191"/>
      <c r="T381" s="191"/>
      <c r="U381" s="191"/>
      <c r="V381" s="191"/>
    </row>
    <row r="382" spans="2:22">
      <c r="B382" s="191"/>
      <c r="C382" s="191"/>
      <c r="D382" s="191"/>
      <c r="E382" s="191"/>
      <c r="F382" s="191"/>
      <c r="G382" s="191"/>
      <c r="H382" s="191"/>
      <c r="I382" s="191"/>
      <c r="J382" s="191"/>
      <c r="K382" s="191"/>
      <c r="L382" s="191"/>
      <c r="M382" s="191"/>
      <c r="N382" s="191"/>
      <c r="O382" s="191"/>
      <c r="P382" s="191"/>
      <c r="Q382" s="191"/>
      <c r="R382" s="191"/>
      <c r="S382" s="191"/>
      <c r="T382" s="191"/>
      <c r="U382" s="191"/>
      <c r="V382" s="191"/>
    </row>
    <row r="383" spans="2:22">
      <c r="B383" s="191"/>
      <c r="C383" s="191"/>
      <c r="D383" s="191"/>
      <c r="E383" s="191"/>
      <c r="F383" s="191"/>
      <c r="G383" s="191"/>
      <c r="H383" s="191"/>
      <c r="I383" s="191"/>
      <c r="J383" s="191"/>
      <c r="K383" s="191"/>
      <c r="L383" s="191"/>
      <c r="M383" s="191"/>
      <c r="N383" s="191"/>
      <c r="O383" s="191"/>
      <c r="P383" s="191"/>
      <c r="Q383" s="191"/>
      <c r="R383" s="191"/>
      <c r="S383" s="191"/>
      <c r="T383" s="191"/>
      <c r="U383" s="191"/>
      <c r="V383" s="191"/>
    </row>
    <row r="384" spans="2:22">
      <c r="B384" s="191"/>
      <c r="C384" s="191"/>
      <c r="D384" s="191"/>
      <c r="E384" s="191"/>
      <c r="F384" s="191"/>
      <c r="G384" s="191"/>
      <c r="H384" s="191"/>
      <c r="I384" s="191"/>
      <c r="J384" s="191"/>
      <c r="K384" s="191"/>
      <c r="L384" s="191"/>
      <c r="M384" s="191"/>
      <c r="N384" s="191"/>
      <c r="O384" s="191"/>
      <c r="P384" s="191"/>
      <c r="Q384" s="191"/>
      <c r="R384" s="191"/>
      <c r="S384" s="191"/>
      <c r="T384" s="191"/>
      <c r="U384" s="191"/>
      <c r="V384" s="191"/>
    </row>
    <row r="385" spans="2:22">
      <c r="B385" s="191"/>
      <c r="C385" s="191"/>
      <c r="D385" s="191"/>
      <c r="E385" s="191"/>
      <c r="F385" s="191"/>
      <c r="G385" s="191"/>
      <c r="H385" s="191"/>
      <c r="I385" s="191"/>
      <c r="J385" s="191"/>
      <c r="K385" s="191"/>
      <c r="L385" s="191"/>
      <c r="M385" s="191"/>
      <c r="N385" s="191"/>
      <c r="O385" s="191"/>
      <c r="P385" s="191"/>
      <c r="Q385" s="191"/>
      <c r="R385" s="191"/>
      <c r="S385" s="191"/>
      <c r="T385" s="191"/>
      <c r="U385" s="191"/>
      <c r="V385" s="191"/>
    </row>
    <row r="386" spans="2:22">
      <c r="B386" s="191"/>
      <c r="C386" s="191"/>
      <c r="D386" s="191"/>
      <c r="E386" s="191"/>
      <c r="F386" s="191"/>
      <c r="G386" s="191"/>
      <c r="H386" s="191"/>
      <c r="I386" s="191"/>
      <c r="J386" s="191"/>
      <c r="K386" s="191"/>
      <c r="L386" s="191"/>
      <c r="M386" s="191"/>
      <c r="N386" s="191"/>
      <c r="O386" s="191"/>
      <c r="P386" s="191"/>
      <c r="Q386" s="191"/>
      <c r="R386" s="191"/>
      <c r="S386" s="191"/>
      <c r="T386" s="191"/>
      <c r="U386" s="191"/>
      <c r="V386" s="191"/>
    </row>
    <row r="387" spans="2:22">
      <c r="B387" s="191"/>
      <c r="C387" s="191"/>
      <c r="D387" s="191"/>
      <c r="E387" s="191"/>
      <c r="F387" s="191"/>
      <c r="G387" s="191"/>
      <c r="H387" s="191"/>
      <c r="I387" s="191"/>
      <c r="J387" s="191"/>
      <c r="K387" s="191"/>
      <c r="L387" s="191"/>
      <c r="M387" s="191"/>
      <c r="N387" s="191"/>
      <c r="O387" s="191"/>
      <c r="P387" s="191"/>
      <c r="Q387" s="191"/>
      <c r="R387" s="191"/>
      <c r="S387" s="191"/>
      <c r="T387" s="191"/>
      <c r="U387" s="191"/>
      <c r="V387" s="191"/>
    </row>
    <row r="388" spans="2:22">
      <c r="B388" s="191"/>
      <c r="C388" s="191"/>
      <c r="D388" s="191"/>
      <c r="E388" s="191"/>
      <c r="F388" s="191"/>
      <c r="G388" s="191"/>
      <c r="H388" s="191"/>
      <c r="I388" s="191"/>
      <c r="J388" s="191"/>
      <c r="K388" s="191"/>
      <c r="L388" s="191"/>
      <c r="M388" s="191"/>
      <c r="N388" s="191"/>
      <c r="O388" s="191"/>
      <c r="P388" s="191"/>
      <c r="Q388" s="191"/>
      <c r="R388" s="191"/>
      <c r="S388" s="191"/>
      <c r="T388" s="191"/>
      <c r="U388" s="191"/>
      <c r="V388" s="191"/>
    </row>
    <row r="389" spans="2:22">
      <c r="B389" s="191"/>
      <c r="C389" s="191"/>
      <c r="D389" s="191"/>
      <c r="E389" s="191"/>
      <c r="F389" s="191"/>
      <c r="G389" s="191"/>
      <c r="H389" s="191"/>
      <c r="I389" s="191"/>
      <c r="J389" s="191"/>
      <c r="K389" s="191"/>
      <c r="L389" s="191"/>
      <c r="M389" s="191"/>
      <c r="N389" s="191"/>
      <c r="O389" s="191"/>
      <c r="P389" s="191"/>
      <c r="Q389" s="191"/>
      <c r="R389" s="191"/>
      <c r="S389" s="191"/>
      <c r="T389" s="191"/>
      <c r="U389" s="191"/>
      <c r="V389" s="191"/>
    </row>
    <row r="390" spans="2:22">
      <c r="B390" s="191"/>
      <c r="C390" s="191"/>
      <c r="D390" s="191"/>
      <c r="E390" s="191"/>
      <c r="F390" s="191"/>
      <c r="G390" s="191"/>
      <c r="H390" s="191"/>
      <c r="I390" s="191"/>
      <c r="J390" s="191"/>
      <c r="K390" s="191"/>
      <c r="L390" s="191"/>
      <c r="M390" s="191"/>
      <c r="N390" s="191"/>
      <c r="O390" s="191"/>
      <c r="P390" s="191"/>
      <c r="Q390" s="191"/>
      <c r="R390" s="191"/>
      <c r="S390" s="191"/>
      <c r="T390" s="191"/>
      <c r="U390" s="191"/>
      <c r="V390" s="191"/>
    </row>
    <row r="391" spans="2:22">
      <c r="B391" s="191"/>
      <c r="C391" s="191"/>
      <c r="D391" s="191"/>
      <c r="E391" s="191"/>
      <c r="F391" s="191"/>
      <c r="G391" s="191"/>
      <c r="H391" s="191"/>
      <c r="I391" s="191"/>
      <c r="J391" s="191"/>
      <c r="K391" s="191"/>
      <c r="L391" s="191"/>
      <c r="M391" s="191"/>
      <c r="N391" s="191"/>
      <c r="O391" s="191"/>
      <c r="P391" s="191"/>
      <c r="Q391" s="191"/>
      <c r="R391" s="191"/>
      <c r="S391" s="191"/>
      <c r="T391" s="191"/>
      <c r="U391" s="191"/>
      <c r="V391" s="191"/>
    </row>
    <row r="392" spans="2:22">
      <c r="B392" s="191"/>
      <c r="C392" s="191"/>
      <c r="D392" s="191"/>
      <c r="E392" s="191"/>
      <c r="F392" s="191"/>
      <c r="G392" s="191"/>
      <c r="H392" s="191"/>
      <c r="I392" s="191"/>
      <c r="J392" s="191"/>
      <c r="K392" s="191"/>
      <c r="L392" s="191"/>
      <c r="M392" s="191"/>
      <c r="N392" s="191"/>
      <c r="O392" s="191"/>
      <c r="P392" s="191"/>
      <c r="Q392" s="191"/>
      <c r="R392" s="191"/>
      <c r="S392" s="191"/>
      <c r="T392" s="191"/>
      <c r="U392" s="191"/>
      <c r="V392" s="191"/>
    </row>
    <row r="393" spans="2:22">
      <c r="B393" s="191"/>
      <c r="C393" s="191"/>
      <c r="D393" s="191"/>
      <c r="E393" s="191"/>
      <c r="F393" s="191"/>
      <c r="G393" s="191"/>
      <c r="H393" s="191"/>
      <c r="I393" s="191"/>
      <c r="J393" s="191"/>
      <c r="K393" s="191"/>
      <c r="L393" s="191"/>
      <c r="M393" s="191"/>
      <c r="N393" s="191"/>
      <c r="O393" s="191"/>
      <c r="P393" s="191"/>
      <c r="Q393" s="191"/>
      <c r="R393" s="191"/>
      <c r="S393" s="191"/>
      <c r="T393" s="191"/>
      <c r="U393" s="191"/>
      <c r="V393" s="191"/>
    </row>
    <row r="394" spans="2:22">
      <c r="B394" s="191"/>
      <c r="C394" s="191"/>
      <c r="D394" s="191"/>
      <c r="E394" s="191"/>
      <c r="F394" s="191"/>
      <c r="G394" s="191"/>
      <c r="H394" s="191"/>
      <c r="I394" s="191"/>
      <c r="J394" s="191"/>
      <c r="K394" s="191"/>
      <c r="L394" s="191"/>
      <c r="M394" s="191"/>
      <c r="N394" s="191"/>
      <c r="O394" s="191"/>
      <c r="P394" s="191"/>
      <c r="Q394" s="191"/>
      <c r="R394" s="191"/>
      <c r="S394" s="191"/>
      <c r="T394" s="191"/>
      <c r="U394" s="191"/>
      <c r="V394" s="191"/>
    </row>
    <row r="395" spans="2:22">
      <c r="B395" s="191"/>
      <c r="C395" s="191"/>
      <c r="D395" s="191"/>
      <c r="E395" s="191"/>
      <c r="F395" s="191"/>
      <c r="G395" s="191"/>
      <c r="H395" s="191"/>
      <c r="I395" s="191"/>
      <c r="J395" s="191"/>
      <c r="K395" s="191"/>
      <c r="L395" s="191"/>
      <c r="M395" s="191"/>
      <c r="N395" s="191"/>
      <c r="O395" s="191"/>
      <c r="P395" s="191"/>
      <c r="Q395" s="191"/>
      <c r="R395" s="191"/>
      <c r="S395" s="191"/>
      <c r="T395" s="191"/>
      <c r="U395" s="191"/>
      <c r="V395" s="191"/>
    </row>
    <row r="396" spans="2:22">
      <c r="B396" s="191"/>
      <c r="C396" s="191"/>
      <c r="D396" s="191"/>
      <c r="E396" s="191"/>
      <c r="F396" s="191"/>
      <c r="G396" s="191"/>
      <c r="H396" s="191"/>
      <c r="I396" s="191"/>
      <c r="J396" s="191"/>
      <c r="K396" s="191"/>
      <c r="L396" s="191"/>
      <c r="M396" s="191"/>
      <c r="N396" s="191"/>
      <c r="O396" s="191"/>
      <c r="P396" s="191"/>
      <c r="Q396" s="191"/>
      <c r="R396" s="191"/>
      <c r="S396" s="191"/>
      <c r="T396" s="191"/>
      <c r="U396" s="191"/>
      <c r="V396" s="191"/>
    </row>
    <row r="397" spans="2:22">
      <c r="B397" s="191"/>
      <c r="C397" s="191"/>
      <c r="D397" s="191"/>
      <c r="E397" s="191"/>
      <c r="F397" s="191"/>
      <c r="G397" s="191"/>
      <c r="H397" s="191"/>
      <c r="I397" s="191"/>
      <c r="J397" s="191"/>
      <c r="K397" s="191"/>
      <c r="L397" s="191"/>
      <c r="M397" s="191"/>
      <c r="N397" s="191"/>
      <c r="O397" s="191"/>
      <c r="P397" s="191"/>
      <c r="Q397" s="191"/>
      <c r="R397" s="191"/>
      <c r="S397" s="191"/>
      <c r="T397" s="191"/>
      <c r="U397" s="191"/>
      <c r="V397" s="191"/>
    </row>
    <row r="398" spans="2:22">
      <c r="B398" s="191"/>
      <c r="C398" s="191"/>
      <c r="D398" s="191"/>
      <c r="E398" s="191"/>
      <c r="F398" s="191"/>
      <c r="G398" s="191"/>
      <c r="H398" s="191"/>
      <c r="I398" s="191"/>
      <c r="J398" s="191"/>
      <c r="K398" s="191"/>
      <c r="L398" s="191"/>
      <c r="M398" s="191"/>
      <c r="N398" s="191"/>
      <c r="O398" s="191"/>
      <c r="P398" s="191"/>
      <c r="Q398" s="191"/>
      <c r="R398" s="191"/>
      <c r="S398" s="191"/>
      <c r="T398" s="191"/>
      <c r="U398" s="191"/>
      <c r="V398" s="191"/>
    </row>
    <row r="399" spans="2:22">
      <c r="B399" s="191"/>
      <c r="C399" s="191"/>
      <c r="D399" s="191"/>
      <c r="E399" s="191"/>
      <c r="F399" s="191"/>
      <c r="G399" s="191"/>
      <c r="H399" s="191"/>
      <c r="I399" s="191"/>
      <c r="J399" s="191"/>
      <c r="K399" s="191"/>
      <c r="L399" s="191"/>
      <c r="M399" s="191"/>
      <c r="N399" s="191"/>
      <c r="O399" s="191"/>
      <c r="P399" s="191"/>
      <c r="Q399" s="191"/>
      <c r="R399" s="191"/>
      <c r="S399" s="191"/>
      <c r="T399" s="191"/>
      <c r="U399" s="191"/>
      <c r="V399" s="191"/>
    </row>
    <row r="400" spans="2:22">
      <c r="B400" s="191"/>
      <c r="C400" s="191"/>
      <c r="D400" s="191"/>
      <c r="E400" s="191"/>
      <c r="F400" s="191"/>
      <c r="G400" s="191"/>
      <c r="H400" s="191"/>
      <c r="I400" s="191"/>
      <c r="J400" s="191"/>
      <c r="K400" s="191"/>
      <c r="L400" s="191"/>
      <c r="M400" s="191"/>
      <c r="N400" s="191"/>
      <c r="O400" s="191"/>
      <c r="P400" s="191"/>
      <c r="Q400" s="191"/>
      <c r="R400" s="191"/>
      <c r="S400" s="191"/>
      <c r="T400" s="191"/>
      <c r="U400" s="191"/>
      <c r="V400" s="191"/>
    </row>
    <row r="401" spans="2:22">
      <c r="B401" s="191"/>
      <c r="C401" s="191"/>
      <c r="D401" s="191"/>
      <c r="E401" s="191"/>
      <c r="F401" s="191"/>
      <c r="G401" s="191"/>
      <c r="H401" s="191"/>
      <c r="I401" s="191"/>
      <c r="J401" s="191"/>
      <c r="K401" s="191"/>
      <c r="L401" s="191"/>
      <c r="M401" s="191"/>
      <c r="N401" s="191"/>
      <c r="O401" s="191"/>
      <c r="P401" s="191"/>
      <c r="Q401" s="191"/>
      <c r="R401" s="191"/>
      <c r="S401" s="191"/>
      <c r="T401" s="191"/>
      <c r="U401" s="191"/>
      <c r="V401" s="191"/>
    </row>
    <row r="402" spans="2:22">
      <c r="B402" s="191"/>
      <c r="C402" s="191"/>
      <c r="D402" s="191"/>
      <c r="E402" s="191"/>
      <c r="F402" s="191"/>
      <c r="G402" s="191"/>
      <c r="H402" s="191"/>
      <c r="I402" s="191"/>
      <c r="J402" s="191"/>
      <c r="K402" s="191"/>
      <c r="L402" s="191"/>
      <c r="M402" s="191"/>
      <c r="N402" s="191"/>
      <c r="O402" s="191"/>
      <c r="P402" s="191"/>
      <c r="Q402" s="191"/>
      <c r="R402" s="191"/>
      <c r="S402" s="191"/>
      <c r="T402" s="191"/>
      <c r="U402" s="191"/>
      <c r="V402" s="191"/>
    </row>
    <row r="403" spans="2:22">
      <c r="B403" s="191"/>
      <c r="C403" s="191"/>
      <c r="D403" s="191"/>
      <c r="E403" s="191"/>
      <c r="F403" s="191"/>
      <c r="G403" s="191"/>
      <c r="H403" s="191"/>
      <c r="I403" s="191"/>
      <c r="J403" s="191"/>
      <c r="K403" s="191"/>
      <c r="L403" s="191"/>
      <c r="M403" s="191"/>
      <c r="N403" s="191"/>
      <c r="O403" s="191"/>
      <c r="P403" s="191"/>
      <c r="Q403" s="191"/>
      <c r="R403" s="191"/>
      <c r="S403" s="191"/>
      <c r="T403" s="191"/>
      <c r="U403" s="191"/>
      <c r="V403" s="191"/>
    </row>
    <row r="404" spans="2:22">
      <c r="B404" s="191"/>
      <c r="C404" s="191"/>
      <c r="D404" s="191"/>
      <c r="E404" s="191"/>
      <c r="F404" s="191"/>
      <c r="G404" s="191"/>
      <c r="H404" s="191"/>
      <c r="I404" s="191"/>
      <c r="J404" s="191"/>
      <c r="K404" s="191"/>
      <c r="L404" s="191"/>
      <c r="M404" s="191"/>
      <c r="N404" s="191"/>
      <c r="O404" s="191"/>
      <c r="P404" s="191"/>
      <c r="Q404" s="191"/>
      <c r="R404" s="191"/>
      <c r="S404" s="191"/>
      <c r="T404" s="191"/>
      <c r="U404" s="191"/>
      <c r="V404" s="191"/>
    </row>
    <row r="405" spans="2:22">
      <c r="B405" s="191"/>
      <c r="C405" s="191"/>
      <c r="D405" s="191"/>
      <c r="E405" s="191"/>
      <c r="F405" s="191"/>
      <c r="G405" s="191"/>
      <c r="H405" s="191"/>
      <c r="I405" s="191"/>
      <c r="J405" s="191"/>
      <c r="K405" s="191"/>
      <c r="L405" s="191"/>
      <c r="M405" s="191"/>
      <c r="N405" s="191"/>
      <c r="O405" s="191"/>
      <c r="P405" s="191"/>
      <c r="Q405" s="191"/>
      <c r="R405" s="191"/>
      <c r="S405" s="191"/>
      <c r="T405" s="191"/>
      <c r="U405" s="191"/>
      <c r="V405" s="191"/>
    </row>
    <row r="406" spans="2:22">
      <c r="B406" s="191"/>
      <c r="C406" s="191"/>
      <c r="D406" s="191"/>
      <c r="E406" s="191"/>
      <c r="F406" s="191"/>
      <c r="G406" s="191"/>
      <c r="H406" s="191"/>
      <c r="I406" s="191"/>
      <c r="J406" s="191"/>
      <c r="K406" s="191"/>
      <c r="L406" s="191"/>
      <c r="M406" s="191"/>
      <c r="N406" s="191"/>
      <c r="O406" s="191"/>
      <c r="P406" s="191"/>
      <c r="Q406" s="191"/>
      <c r="R406" s="191"/>
      <c r="S406" s="191"/>
      <c r="T406" s="191"/>
      <c r="U406" s="191"/>
      <c r="V406" s="191"/>
    </row>
    <row r="407" spans="2:22">
      <c r="B407" s="191"/>
      <c r="C407" s="191"/>
      <c r="D407" s="191"/>
      <c r="E407" s="191"/>
      <c r="F407" s="191"/>
      <c r="G407" s="191"/>
      <c r="H407" s="191"/>
      <c r="I407" s="191"/>
      <c r="J407" s="191"/>
      <c r="K407" s="191"/>
      <c r="L407" s="191"/>
      <c r="M407" s="191"/>
      <c r="N407" s="191"/>
      <c r="O407" s="191"/>
      <c r="P407" s="191"/>
      <c r="Q407" s="191"/>
      <c r="R407" s="191"/>
      <c r="S407" s="191"/>
      <c r="T407" s="191"/>
      <c r="U407" s="191"/>
      <c r="V407" s="191"/>
    </row>
    <row r="408" spans="2:22">
      <c r="B408" s="191"/>
      <c r="C408" s="191"/>
      <c r="D408" s="191"/>
      <c r="E408" s="191"/>
      <c r="F408" s="191"/>
      <c r="G408" s="191"/>
      <c r="H408" s="191"/>
      <c r="I408" s="191"/>
      <c r="J408" s="191"/>
      <c r="K408" s="191"/>
      <c r="L408" s="191"/>
      <c r="M408" s="191"/>
      <c r="N408" s="191"/>
      <c r="O408" s="191"/>
      <c r="P408" s="191"/>
      <c r="Q408" s="191"/>
      <c r="R408" s="191"/>
      <c r="S408" s="191"/>
      <c r="T408" s="191"/>
      <c r="U408" s="191"/>
      <c r="V408" s="191"/>
    </row>
    <row r="409" spans="2:22">
      <c r="B409" s="191"/>
      <c r="C409" s="191"/>
      <c r="D409" s="191"/>
      <c r="E409" s="191"/>
      <c r="F409" s="191"/>
      <c r="G409" s="191"/>
      <c r="H409" s="191"/>
      <c r="I409" s="191"/>
      <c r="J409" s="191"/>
      <c r="K409" s="191"/>
      <c r="L409" s="191"/>
      <c r="M409" s="191"/>
      <c r="N409" s="191"/>
      <c r="O409" s="191"/>
      <c r="P409" s="191"/>
      <c r="Q409" s="191"/>
      <c r="R409" s="191"/>
      <c r="S409" s="191"/>
      <c r="T409" s="191"/>
      <c r="U409" s="191"/>
      <c r="V409" s="191"/>
    </row>
    <row r="410" spans="2:22">
      <c r="B410" s="191"/>
      <c r="C410" s="191"/>
      <c r="D410" s="191"/>
      <c r="E410" s="191"/>
      <c r="F410" s="191"/>
      <c r="G410" s="191"/>
      <c r="H410" s="191"/>
      <c r="I410" s="191"/>
      <c r="J410" s="191"/>
      <c r="K410" s="191"/>
      <c r="L410" s="191"/>
      <c r="M410" s="191"/>
      <c r="N410" s="191"/>
      <c r="O410" s="191"/>
      <c r="P410" s="191"/>
      <c r="Q410" s="191"/>
      <c r="R410" s="191"/>
      <c r="S410" s="191"/>
      <c r="T410" s="191"/>
      <c r="U410" s="191"/>
      <c r="V410" s="191"/>
    </row>
    <row r="411" spans="2:22">
      <c r="B411" s="191"/>
      <c r="C411" s="191"/>
      <c r="D411" s="191"/>
      <c r="E411" s="191"/>
      <c r="F411" s="191"/>
      <c r="G411" s="191"/>
      <c r="H411" s="191"/>
      <c r="I411" s="191"/>
      <c r="J411" s="191"/>
      <c r="K411" s="191"/>
      <c r="L411" s="191"/>
      <c r="M411" s="191"/>
      <c r="N411" s="191"/>
      <c r="O411" s="191"/>
      <c r="P411" s="191"/>
      <c r="Q411" s="191"/>
      <c r="R411" s="191"/>
      <c r="S411" s="191"/>
      <c r="T411" s="191"/>
      <c r="U411" s="191"/>
      <c r="V411" s="191"/>
    </row>
    <row r="412" spans="2:22">
      <c r="B412" s="191"/>
      <c r="C412" s="191"/>
      <c r="D412" s="191"/>
      <c r="E412" s="191"/>
      <c r="F412" s="191"/>
      <c r="G412" s="191"/>
      <c r="H412" s="191"/>
      <c r="I412" s="191"/>
      <c r="J412" s="191"/>
      <c r="K412" s="191"/>
      <c r="L412" s="191"/>
      <c r="M412" s="191"/>
      <c r="N412" s="191"/>
      <c r="O412" s="191"/>
      <c r="P412" s="191"/>
      <c r="Q412" s="191"/>
      <c r="R412" s="191"/>
      <c r="S412" s="191"/>
      <c r="T412" s="191"/>
      <c r="U412" s="191"/>
      <c r="V412" s="191"/>
    </row>
    <row r="413" spans="2:22">
      <c r="B413" s="191"/>
      <c r="C413" s="191"/>
      <c r="D413" s="191"/>
      <c r="E413" s="191"/>
      <c r="F413" s="191"/>
      <c r="G413" s="191"/>
      <c r="H413" s="191"/>
      <c r="I413" s="191"/>
      <c r="J413" s="191"/>
      <c r="K413" s="191"/>
      <c r="L413" s="191"/>
      <c r="M413" s="191"/>
      <c r="N413" s="191"/>
      <c r="O413" s="191"/>
      <c r="P413" s="191"/>
      <c r="Q413" s="191"/>
      <c r="R413" s="191"/>
      <c r="S413" s="191"/>
      <c r="T413" s="191"/>
      <c r="U413" s="191"/>
      <c r="V413" s="191"/>
    </row>
    <row r="414" spans="2:22">
      <c r="B414" s="191"/>
      <c r="C414" s="191"/>
      <c r="D414" s="191"/>
      <c r="E414" s="191"/>
      <c r="F414" s="191"/>
      <c r="G414" s="191"/>
      <c r="H414" s="191"/>
      <c r="I414" s="191"/>
      <c r="J414" s="191"/>
      <c r="K414" s="191"/>
      <c r="L414" s="191"/>
      <c r="M414" s="191"/>
      <c r="N414" s="191"/>
      <c r="O414" s="191"/>
      <c r="P414" s="191"/>
      <c r="Q414" s="191"/>
      <c r="R414" s="191"/>
      <c r="S414" s="191"/>
      <c r="T414" s="191"/>
      <c r="U414" s="191"/>
      <c r="V414" s="191"/>
    </row>
    <row r="415" spans="2:22">
      <c r="B415" s="191"/>
      <c r="C415" s="191"/>
      <c r="D415" s="191"/>
      <c r="E415" s="191"/>
      <c r="F415" s="191"/>
      <c r="G415" s="191"/>
      <c r="H415" s="191"/>
      <c r="I415" s="191"/>
      <c r="J415" s="191"/>
      <c r="K415" s="191"/>
      <c r="L415" s="191"/>
      <c r="M415" s="191"/>
      <c r="N415" s="191"/>
      <c r="O415" s="191"/>
      <c r="P415" s="191"/>
      <c r="Q415" s="191"/>
      <c r="R415" s="191"/>
      <c r="S415" s="191"/>
      <c r="T415" s="191"/>
      <c r="U415" s="191"/>
      <c r="V415" s="191"/>
    </row>
    <row r="416" spans="2:22">
      <c r="B416" s="191"/>
      <c r="C416" s="191"/>
      <c r="D416" s="191"/>
      <c r="E416" s="191"/>
      <c r="F416" s="191"/>
      <c r="G416" s="191"/>
      <c r="H416" s="191"/>
      <c r="I416" s="191"/>
      <c r="J416" s="191"/>
      <c r="K416" s="191"/>
      <c r="L416" s="191"/>
      <c r="M416" s="191"/>
      <c r="N416" s="191"/>
      <c r="O416" s="191"/>
      <c r="P416" s="191"/>
      <c r="Q416" s="191"/>
      <c r="R416" s="191"/>
      <c r="S416" s="191"/>
      <c r="T416" s="191"/>
      <c r="U416" s="191"/>
      <c r="V416" s="191"/>
    </row>
    <row r="417" spans="2:22">
      <c r="B417" s="191"/>
      <c r="C417" s="191"/>
      <c r="D417" s="191"/>
      <c r="E417" s="191"/>
      <c r="F417" s="191"/>
      <c r="G417" s="191"/>
      <c r="H417" s="191"/>
      <c r="I417" s="191"/>
      <c r="J417" s="191"/>
      <c r="K417" s="191"/>
      <c r="L417" s="191"/>
      <c r="M417" s="191"/>
      <c r="N417" s="191"/>
      <c r="O417" s="191"/>
      <c r="P417" s="191"/>
      <c r="Q417" s="191"/>
      <c r="R417" s="191"/>
      <c r="S417" s="191"/>
      <c r="T417" s="191"/>
      <c r="U417" s="191"/>
      <c r="V417" s="191"/>
    </row>
    <row r="418" spans="2:22">
      <c r="B418" s="191"/>
      <c r="C418" s="191"/>
      <c r="D418" s="191"/>
      <c r="E418" s="191"/>
      <c r="F418" s="191"/>
      <c r="G418" s="191"/>
      <c r="H418" s="191"/>
      <c r="I418" s="191"/>
      <c r="J418" s="191"/>
      <c r="K418" s="191"/>
      <c r="L418" s="191"/>
      <c r="M418" s="191"/>
      <c r="N418" s="191"/>
      <c r="O418" s="191"/>
      <c r="P418" s="191"/>
      <c r="Q418" s="191"/>
      <c r="R418" s="191"/>
      <c r="S418" s="191"/>
      <c r="T418" s="191"/>
      <c r="U418" s="191"/>
      <c r="V418" s="191"/>
    </row>
    <row r="419" spans="2:22">
      <c r="B419" s="191"/>
      <c r="C419" s="191"/>
      <c r="D419" s="191"/>
      <c r="E419" s="191"/>
      <c r="F419" s="191"/>
      <c r="G419" s="191"/>
      <c r="H419" s="191"/>
      <c r="I419" s="191"/>
      <c r="J419" s="191"/>
      <c r="K419" s="191"/>
      <c r="L419" s="191"/>
      <c r="M419" s="191"/>
      <c r="N419" s="191"/>
      <c r="O419" s="191"/>
      <c r="P419" s="191"/>
      <c r="Q419" s="191"/>
      <c r="R419" s="191"/>
      <c r="S419" s="191"/>
      <c r="T419" s="191"/>
      <c r="U419" s="191"/>
      <c r="V419" s="191"/>
    </row>
    <row r="420" spans="2:22">
      <c r="B420" s="191"/>
      <c r="C420" s="191"/>
      <c r="D420" s="191"/>
      <c r="E420" s="191"/>
      <c r="F420" s="191"/>
      <c r="G420" s="191"/>
      <c r="H420" s="191"/>
      <c r="I420" s="191"/>
      <c r="J420" s="191"/>
      <c r="K420" s="191"/>
      <c r="L420" s="191"/>
      <c r="M420" s="191"/>
      <c r="N420" s="191"/>
      <c r="O420" s="191"/>
      <c r="P420" s="191"/>
      <c r="Q420" s="191"/>
      <c r="R420" s="191"/>
      <c r="S420" s="191"/>
      <c r="T420" s="191"/>
      <c r="U420" s="191"/>
      <c r="V420" s="191"/>
    </row>
    <row r="421" spans="2:22">
      <c r="B421" s="191"/>
      <c r="C421" s="191"/>
      <c r="D421" s="191"/>
      <c r="E421" s="191"/>
      <c r="F421" s="191"/>
      <c r="G421" s="191"/>
      <c r="H421" s="191"/>
      <c r="I421" s="191"/>
      <c r="J421" s="191"/>
      <c r="K421" s="191"/>
      <c r="L421" s="191"/>
      <c r="M421" s="191"/>
      <c r="N421" s="191"/>
      <c r="O421" s="191"/>
      <c r="P421" s="191"/>
      <c r="Q421" s="191"/>
      <c r="R421" s="191"/>
      <c r="S421" s="191"/>
      <c r="T421" s="191"/>
      <c r="U421" s="191"/>
      <c r="V421" s="191"/>
    </row>
    <row r="422" spans="2:22">
      <c r="B422" s="191"/>
      <c r="C422" s="191"/>
      <c r="D422" s="191"/>
      <c r="E422" s="191"/>
      <c r="F422" s="191"/>
      <c r="G422" s="191"/>
      <c r="H422" s="191"/>
      <c r="I422" s="191"/>
      <c r="J422" s="191"/>
      <c r="K422" s="191"/>
      <c r="L422" s="191"/>
      <c r="M422" s="191"/>
      <c r="N422" s="191"/>
      <c r="O422" s="191"/>
      <c r="P422" s="191"/>
      <c r="Q422" s="191"/>
      <c r="R422" s="191"/>
      <c r="S422" s="191"/>
      <c r="T422" s="191"/>
      <c r="U422" s="191"/>
      <c r="V422" s="191"/>
    </row>
    <row r="423" spans="2:22">
      <c r="B423" s="191"/>
      <c r="C423" s="191"/>
      <c r="D423" s="191"/>
      <c r="E423" s="191"/>
      <c r="F423" s="191"/>
      <c r="G423" s="191"/>
      <c r="H423" s="191"/>
      <c r="I423" s="191"/>
      <c r="J423" s="191"/>
      <c r="K423" s="191"/>
      <c r="L423" s="191"/>
      <c r="M423" s="191"/>
      <c r="N423" s="191"/>
      <c r="O423" s="191"/>
      <c r="P423" s="191"/>
      <c r="Q423" s="191"/>
      <c r="R423" s="191"/>
      <c r="S423" s="191"/>
      <c r="T423" s="191"/>
      <c r="U423" s="191"/>
      <c r="V423" s="191"/>
    </row>
    <row r="424" spans="2:22">
      <c r="B424" s="191"/>
      <c r="C424" s="191"/>
      <c r="D424" s="191"/>
      <c r="E424" s="191"/>
      <c r="F424" s="191"/>
      <c r="G424" s="191"/>
      <c r="H424" s="191"/>
      <c r="I424" s="191"/>
      <c r="J424" s="191"/>
      <c r="K424" s="191"/>
      <c r="L424" s="191"/>
      <c r="M424" s="191"/>
      <c r="N424" s="191"/>
      <c r="O424" s="191"/>
      <c r="P424" s="191"/>
      <c r="Q424" s="191"/>
      <c r="R424" s="191"/>
      <c r="S424" s="191"/>
      <c r="T424" s="191"/>
      <c r="U424" s="191"/>
      <c r="V424" s="191"/>
    </row>
    <row r="425" spans="2:22">
      <c r="B425" s="191"/>
      <c r="C425" s="191"/>
      <c r="D425" s="191"/>
      <c r="E425" s="191"/>
      <c r="F425" s="191"/>
      <c r="G425" s="191"/>
      <c r="H425" s="191"/>
      <c r="I425" s="191"/>
      <c r="J425" s="191"/>
      <c r="K425" s="191"/>
      <c r="L425" s="191"/>
      <c r="M425" s="191"/>
      <c r="N425" s="191"/>
      <c r="O425" s="191"/>
      <c r="P425" s="191"/>
      <c r="Q425" s="191"/>
      <c r="R425" s="191"/>
      <c r="S425" s="191"/>
      <c r="T425" s="191"/>
      <c r="U425" s="191"/>
      <c r="V425" s="191"/>
    </row>
    <row r="426" spans="2:22">
      <c r="B426" s="191"/>
      <c r="C426" s="191"/>
      <c r="D426" s="191"/>
      <c r="E426" s="191"/>
      <c r="F426" s="191"/>
      <c r="G426" s="191"/>
      <c r="H426" s="191"/>
      <c r="I426" s="191"/>
      <c r="J426" s="191"/>
      <c r="K426" s="191"/>
      <c r="L426" s="191"/>
      <c r="M426" s="191"/>
      <c r="N426" s="191"/>
      <c r="O426" s="191"/>
      <c r="P426" s="191"/>
      <c r="Q426" s="191"/>
      <c r="R426" s="191"/>
      <c r="S426" s="191"/>
      <c r="T426" s="191"/>
      <c r="U426" s="191"/>
      <c r="V426" s="191"/>
    </row>
    <row r="427" spans="2:22">
      <c r="B427" s="191"/>
      <c r="C427" s="191"/>
      <c r="D427" s="191"/>
      <c r="E427" s="191"/>
      <c r="F427" s="191"/>
      <c r="G427" s="191"/>
      <c r="H427" s="191"/>
      <c r="I427" s="191"/>
      <c r="J427" s="191"/>
      <c r="K427" s="191"/>
      <c r="L427" s="191"/>
      <c r="M427" s="191"/>
      <c r="N427" s="191"/>
      <c r="O427" s="191"/>
      <c r="P427" s="191"/>
      <c r="Q427" s="191"/>
      <c r="R427" s="191"/>
      <c r="S427" s="191"/>
      <c r="T427" s="191"/>
      <c r="U427" s="191"/>
      <c r="V427" s="191"/>
    </row>
    <row r="428" spans="2:22">
      <c r="B428" s="191"/>
      <c r="C428" s="191"/>
      <c r="D428" s="191"/>
      <c r="E428" s="191"/>
      <c r="F428" s="191"/>
      <c r="G428" s="191"/>
      <c r="H428" s="191"/>
      <c r="I428" s="191"/>
      <c r="J428" s="191"/>
      <c r="K428" s="191"/>
      <c r="L428" s="191"/>
      <c r="M428" s="191"/>
      <c r="N428" s="191"/>
      <c r="O428" s="191"/>
      <c r="P428" s="191"/>
      <c r="Q428" s="191"/>
      <c r="R428" s="191"/>
      <c r="S428" s="191"/>
      <c r="T428" s="191"/>
      <c r="U428" s="191"/>
      <c r="V428" s="191"/>
    </row>
    <row r="429" spans="2:22">
      <c r="B429" s="191"/>
      <c r="C429" s="191"/>
      <c r="D429" s="191"/>
      <c r="E429" s="191"/>
      <c r="F429" s="191"/>
      <c r="G429" s="191"/>
      <c r="H429" s="191"/>
      <c r="I429" s="191"/>
      <c r="J429" s="191"/>
      <c r="K429" s="191"/>
      <c r="L429" s="191"/>
      <c r="M429" s="191"/>
      <c r="N429" s="191"/>
      <c r="O429" s="191"/>
      <c r="P429" s="191"/>
      <c r="Q429" s="191"/>
      <c r="R429" s="191"/>
      <c r="S429" s="191"/>
      <c r="T429" s="191"/>
      <c r="U429" s="191"/>
      <c r="V429" s="191"/>
    </row>
    <row r="430" spans="2:22">
      <c r="B430" s="191"/>
      <c r="C430" s="191"/>
      <c r="D430" s="191"/>
      <c r="E430" s="191"/>
      <c r="F430" s="191"/>
      <c r="G430" s="191"/>
      <c r="H430" s="191"/>
      <c r="I430" s="191"/>
      <c r="J430" s="191"/>
      <c r="K430" s="191"/>
      <c r="L430" s="191"/>
      <c r="M430" s="191"/>
      <c r="N430" s="191"/>
      <c r="O430" s="191"/>
      <c r="P430" s="191"/>
      <c r="Q430" s="191"/>
      <c r="R430" s="191"/>
      <c r="S430" s="191"/>
      <c r="T430" s="191"/>
      <c r="U430" s="191"/>
      <c r="V430" s="191"/>
    </row>
    <row r="431" spans="2:22">
      <c r="B431" s="191"/>
      <c r="C431" s="191"/>
      <c r="D431" s="191"/>
      <c r="E431" s="191"/>
      <c r="F431" s="191"/>
      <c r="G431" s="191"/>
      <c r="H431" s="191"/>
      <c r="I431" s="191"/>
      <c r="J431" s="191"/>
      <c r="K431" s="191"/>
      <c r="L431" s="191"/>
      <c r="M431" s="191"/>
      <c r="N431" s="191"/>
      <c r="O431" s="191"/>
      <c r="P431" s="191"/>
      <c r="Q431" s="191"/>
      <c r="R431" s="191"/>
      <c r="S431" s="191"/>
      <c r="T431" s="191"/>
      <c r="U431" s="191"/>
      <c r="V431" s="191"/>
    </row>
    <row r="432" spans="2:22">
      <c r="B432" s="191"/>
      <c r="C432" s="191"/>
      <c r="D432" s="191"/>
      <c r="E432" s="191"/>
      <c r="F432" s="191"/>
      <c r="G432" s="191"/>
      <c r="H432" s="191"/>
      <c r="I432" s="191"/>
      <c r="J432" s="191"/>
      <c r="K432" s="191"/>
      <c r="L432" s="191"/>
      <c r="M432" s="191"/>
      <c r="N432" s="191"/>
      <c r="O432" s="191"/>
      <c r="P432" s="191"/>
      <c r="Q432" s="191"/>
      <c r="R432" s="191"/>
      <c r="S432" s="191"/>
      <c r="T432" s="191"/>
      <c r="U432" s="191"/>
      <c r="V432" s="191"/>
    </row>
    <row r="433" spans="2:22">
      <c r="B433" s="191"/>
      <c r="C433" s="191"/>
      <c r="D433" s="191"/>
      <c r="E433" s="191"/>
      <c r="F433" s="191"/>
      <c r="G433" s="191"/>
      <c r="H433" s="191"/>
      <c r="I433" s="191"/>
      <c r="J433" s="191"/>
      <c r="K433" s="191"/>
      <c r="L433" s="191"/>
      <c r="M433" s="191"/>
      <c r="N433" s="191"/>
      <c r="O433" s="191"/>
      <c r="P433" s="191"/>
      <c r="Q433" s="191"/>
      <c r="R433" s="191"/>
      <c r="S433" s="191"/>
      <c r="T433" s="191"/>
      <c r="U433" s="191"/>
      <c r="V433" s="191"/>
    </row>
    <row r="434" spans="2:22">
      <c r="B434" s="191"/>
      <c r="C434" s="191"/>
      <c r="D434" s="191"/>
      <c r="E434" s="191"/>
      <c r="F434" s="191"/>
      <c r="G434" s="191"/>
      <c r="H434" s="191"/>
      <c r="I434" s="191"/>
      <c r="J434" s="191"/>
      <c r="K434" s="191"/>
      <c r="L434" s="191"/>
      <c r="M434" s="191"/>
      <c r="N434" s="191"/>
      <c r="O434" s="191"/>
      <c r="P434" s="191"/>
      <c r="Q434" s="191"/>
      <c r="R434" s="191"/>
      <c r="S434" s="191"/>
      <c r="T434" s="191"/>
      <c r="U434" s="191"/>
      <c r="V434" s="191"/>
    </row>
    <row r="435" spans="2:22">
      <c r="B435" s="191"/>
      <c r="C435" s="191"/>
      <c r="D435" s="191"/>
      <c r="E435" s="191"/>
      <c r="F435" s="191"/>
      <c r="G435" s="191"/>
      <c r="H435" s="191"/>
      <c r="I435" s="191"/>
      <c r="J435" s="191"/>
      <c r="K435" s="191"/>
      <c r="L435" s="191"/>
      <c r="M435" s="191"/>
      <c r="N435" s="191"/>
      <c r="O435" s="191"/>
      <c r="P435" s="191"/>
      <c r="Q435" s="191"/>
      <c r="R435" s="191"/>
      <c r="S435" s="191"/>
      <c r="T435" s="191"/>
      <c r="U435" s="191"/>
      <c r="V435" s="191"/>
    </row>
    <row r="436" spans="2:22">
      <c r="B436" s="191"/>
      <c r="C436" s="191"/>
      <c r="D436" s="191"/>
      <c r="E436" s="191"/>
      <c r="F436" s="191"/>
      <c r="G436" s="191"/>
      <c r="H436" s="191"/>
      <c r="I436" s="191"/>
      <c r="J436" s="191"/>
      <c r="K436" s="191"/>
      <c r="L436" s="191"/>
      <c r="M436" s="191"/>
      <c r="N436" s="191"/>
      <c r="O436" s="191"/>
      <c r="P436" s="191"/>
      <c r="Q436" s="191"/>
      <c r="R436" s="191"/>
      <c r="S436" s="191"/>
      <c r="T436" s="191"/>
      <c r="U436" s="191"/>
      <c r="V436" s="191"/>
    </row>
    <row r="437" spans="2:22">
      <c r="B437" s="191"/>
      <c r="C437" s="191"/>
      <c r="D437" s="191"/>
      <c r="E437" s="191"/>
      <c r="F437" s="191"/>
      <c r="G437" s="191"/>
      <c r="H437" s="191"/>
      <c r="I437" s="191"/>
      <c r="J437" s="191"/>
      <c r="K437" s="191"/>
      <c r="L437" s="191"/>
      <c r="M437" s="191"/>
      <c r="N437" s="191"/>
      <c r="O437" s="191"/>
      <c r="P437" s="191"/>
      <c r="Q437" s="191"/>
      <c r="R437" s="191"/>
      <c r="S437" s="191"/>
      <c r="T437" s="191"/>
      <c r="U437" s="191"/>
      <c r="V437" s="191"/>
    </row>
    <row r="438" spans="2:22">
      <c r="B438" s="191"/>
      <c r="C438" s="191"/>
      <c r="D438" s="191"/>
      <c r="E438" s="191"/>
      <c r="F438" s="191"/>
      <c r="G438" s="191"/>
      <c r="H438" s="191"/>
      <c r="I438" s="191"/>
      <c r="J438" s="191"/>
      <c r="K438" s="191"/>
      <c r="L438" s="191"/>
      <c r="M438" s="191"/>
      <c r="N438" s="191"/>
      <c r="O438" s="191"/>
      <c r="P438" s="191"/>
      <c r="Q438" s="191"/>
      <c r="R438" s="191"/>
      <c r="S438" s="191"/>
      <c r="T438" s="191"/>
      <c r="U438" s="191"/>
      <c r="V438" s="191"/>
    </row>
    <row r="439" spans="2:22">
      <c r="B439" s="191"/>
      <c r="C439" s="191"/>
      <c r="D439" s="191"/>
      <c r="E439" s="191"/>
      <c r="F439" s="191"/>
      <c r="G439" s="191"/>
      <c r="H439" s="191"/>
      <c r="I439" s="191"/>
      <c r="J439" s="191"/>
      <c r="K439" s="191"/>
      <c r="L439" s="191"/>
      <c r="M439" s="191"/>
      <c r="N439" s="191"/>
      <c r="O439" s="191"/>
      <c r="P439" s="191"/>
      <c r="Q439" s="191"/>
      <c r="R439" s="191"/>
      <c r="S439" s="191"/>
      <c r="T439" s="191"/>
      <c r="U439" s="191"/>
      <c r="V439" s="191"/>
    </row>
    <row r="440" spans="2:22">
      <c r="B440" s="191"/>
      <c r="C440" s="191"/>
      <c r="D440" s="191"/>
      <c r="E440" s="191"/>
      <c r="F440" s="191"/>
      <c r="G440" s="191"/>
      <c r="H440" s="191"/>
      <c r="I440" s="191"/>
      <c r="J440" s="191"/>
      <c r="K440" s="191"/>
      <c r="L440" s="191"/>
      <c r="M440" s="191"/>
      <c r="N440" s="191"/>
      <c r="O440" s="191"/>
      <c r="P440" s="191"/>
      <c r="Q440" s="191"/>
      <c r="R440" s="191"/>
      <c r="S440" s="191"/>
      <c r="T440" s="191"/>
      <c r="U440" s="191"/>
      <c r="V440" s="191"/>
    </row>
    <row r="441" spans="2:22">
      <c r="B441" s="191"/>
      <c r="C441" s="191"/>
      <c r="D441" s="191"/>
      <c r="E441" s="191"/>
      <c r="F441" s="191"/>
      <c r="G441" s="191"/>
      <c r="H441" s="191"/>
      <c r="I441" s="191"/>
      <c r="J441" s="191"/>
      <c r="K441" s="191"/>
      <c r="L441" s="191"/>
      <c r="M441" s="191"/>
      <c r="N441" s="191"/>
      <c r="O441" s="191"/>
      <c r="P441" s="191"/>
      <c r="Q441" s="191"/>
      <c r="R441" s="191"/>
      <c r="S441" s="191"/>
      <c r="T441" s="191"/>
      <c r="U441" s="191"/>
      <c r="V441" s="191"/>
    </row>
    <row r="442" spans="2:22">
      <c r="B442" s="191"/>
      <c r="C442" s="191"/>
      <c r="D442" s="191"/>
      <c r="E442" s="191"/>
      <c r="F442" s="191"/>
      <c r="G442" s="191"/>
      <c r="H442" s="191"/>
      <c r="I442" s="191"/>
      <c r="J442" s="191"/>
      <c r="K442" s="191"/>
      <c r="L442" s="191"/>
      <c r="M442" s="191"/>
      <c r="N442" s="191"/>
      <c r="O442" s="191"/>
      <c r="P442" s="191"/>
      <c r="Q442" s="191"/>
      <c r="R442" s="191"/>
      <c r="S442" s="191"/>
      <c r="T442" s="191"/>
      <c r="U442" s="191"/>
      <c r="V442" s="191"/>
    </row>
    <row r="443" spans="2:22">
      <c r="B443" s="191"/>
      <c r="C443" s="191"/>
      <c r="D443" s="191"/>
      <c r="E443" s="191"/>
      <c r="F443" s="191"/>
      <c r="G443" s="191"/>
      <c r="H443" s="191"/>
      <c r="I443" s="191"/>
      <c r="J443" s="191"/>
      <c r="K443" s="191"/>
      <c r="L443" s="191"/>
      <c r="M443" s="191"/>
      <c r="N443" s="191"/>
      <c r="O443" s="191"/>
      <c r="P443" s="191"/>
      <c r="Q443" s="191"/>
      <c r="R443" s="191"/>
      <c r="S443" s="191"/>
      <c r="T443" s="191"/>
      <c r="U443" s="191"/>
      <c r="V443" s="191"/>
    </row>
    <row r="444" spans="2:22">
      <c r="B444" s="191"/>
      <c r="C444" s="191"/>
      <c r="D444" s="191"/>
      <c r="E444" s="191"/>
      <c r="F444" s="191"/>
      <c r="G444" s="191"/>
      <c r="H444" s="191"/>
      <c r="I444" s="191"/>
      <c r="J444" s="191"/>
      <c r="K444" s="191"/>
      <c r="L444" s="191"/>
      <c r="M444" s="191"/>
      <c r="N444" s="191"/>
      <c r="O444" s="191"/>
      <c r="P444" s="191"/>
      <c r="Q444" s="191"/>
      <c r="R444" s="191"/>
      <c r="S444" s="191"/>
      <c r="T444" s="191"/>
      <c r="U444" s="191"/>
      <c r="V444" s="191"/>
    </row>
    <row r="445" spans="2:22">
      <c r="B445" s="191"/>
      <c r="C445" s="191"/>
      <c r="D445" s="191"/>
      <c r="E445" s="191"/>
      <c r="F445" s="191"/>
      <c r="G445" s="191"/>
      <c r="H445" s="191"/>
      <c r="I445" s="191"/>
      <c r="J445" s="191"/>
      <c r="K445" s="191"/>
      <c r="L445" s="191"/>
      <c r="M445" s="191"/>
      <c r="N445" s="191"/>
      <c r="O445" s="191"/>
      <c r="P445" s="191"/>
      <c r="Q445" s="191"/>
      <c r="R445" s="191"/>
      <c r="S445" s="191"/>
      <c r="T445" s="191"/>
      <c r="U445" s="191"/>
      <c r="V445" s="191"/>
    </row>
    <row r="446" spans="2:22">
      <c r="B446" s="191"/>
      <c r="C446" s="191"/>
      <c r="D446" s="191"/>
      <c r="E446" s="191"/>
      <c r="F446" s="191"/>
      <c r="G446" s="191"/>
      <c r="H446" s="191"/>
      <c r="I446" s="191"/>
      <c r="J446" s="191"/>
      <c r="K446" s="191"/>
      <c r="L446" s="191"/>
      <c r="M446" s="191"/>
      <c r="N446" s="191"/>
      <c r="O446" s="191"/>
      <c r="P446" s="191"/>
      <c r="Q446" s="191"/>
      <c r="R446" s="191"/>
      <c r="S446" s="191"/>
      <c r="T446" s="191"/>
      <c r="U446" s="191"/>
      <c r="V446" s="191"/>
    </row>
    <row r="447" spans="2:22">
      <c r="B447" s="191"/>
      <c r="C447" s="191"/>
      <c r="D447" s="191"/>
      <c r="E447" s="191"/>
      <c r="F447" s="191"/>
      <c r="G447" s="191"/>
      <c r="H447" s="191"/>
      <c r="I447" s="191"/>
      <c r="J447" s="191"/>
      <c r="K447" s="191"/>
      <c r="L447" s="191"/>
      <c r="M447" s="191"/>
      <c r="N447" s="191"/>
      <c r="O447" s="191"/>
      <c r="P447" s="191"/>
      <c r="Q447" s="191"/>
      <c r="R447" s="191"/>
      <c r="S447" s="191"/>
      <c r="T447" s="191"/>
      <c r="U447" s="191"/>
      <c r="V447" s="191"/>
    </row>
    <row r="448" spans="2:22">
      <c r="B448" s="191"/>
      <c r="C448" s="191"/>
      <c r="D448" s="191"/>
      <c r="E448" s="191"/>
      <c r="F448" s="191"/>
      <c r="G448" s="191"/>
      <c r="H448" s="191"/>
      <c r="I448" s="191"/>
      <c r="J448" s="191"/>
      <c r="K448" s="191"/>
      <c r="L448" s="191"/>
      <c r="M448" s="191"/>
      <c r="N448" s="191"/>
      <c r="O448" s="191"/>
      <c r="P448" s="191"/>
      <c r="Q448" s="191"/>
      <c r="R448" s="191"/>
      <c r="S448" s="191"/>
      <c r="T448" s="191"/>
      <c r="U448" s="191"/>
      <c r="V448" s="191"/>
    </row>
    <row r="449" spans="2:22">
      <c r="B449" s="191"/>
      <c r="C449" s="191"/>
      <c r="D449" s="191"/>
      <c r="E449" s="191"/>
      <c r="F449" s="191"/>
      <c r="G449" s="191"/>
      <c r="H449" s="191"/>
      <c r="I449" s="191"/>
      <c r="J449" s="191"/>
      <c r="K449" s="191"/>
      <c r="L449" s="191"/>
      <c r="M449" s="191"/>
      <c r="N449" s="191"/>
      <c r="O449" s="191"/>
      <c r="P449" s="191"/>
      <c r="Q449" s="191"/>
      <c r="R449" s="191"/>
      <c r="S449" s="191"/>
      <c r="T449" s="191"/>
      <c r="U449" s="191"/>
      <c r="V449" s="191"/>
    </row>
    <row r="450" spans="2:22">
      <c r="B450" s="191"/>
      <c r="C450" s="191"/>
      <c r="D450" s="191"/>
      <c r="E450" s="191"/>
      <c r="F450" s="191"/>
      <c r="G450" s="191"/>
      <c r="H450" s="191"/>
      <c r="I450" s="191"/>
      <c r="J450" s="191"/>
      <c r="K450" s="191"/>
      <c r="L450" s="191"/>
      <c r="M450" s="191"/>
      <c r="N450" s="191"/>
      <c r="O450" s="191"/>
      <c r="P450" s="191"/>
      <c r="Q450" s="191"/>
      <c r="R450" s="191"/>
      <c r="S450" s="191"/>
      <c r="T450" s="191"/>
      <c r="U450" s="191"/>
      <c r="V450" s="191"/>
    </row>
    <row r="451" spans="2:22">
      <c r="B451" s="191"/>
      <c r="C451" s="191"/>
      <c r="D451" s="191"/>
      <c r="E451" s="191"/>
      <c r="F451" s="191"/>
      <c r="G451" s="191"/>
      <c r="H451" s="191"/>
      <c r="I451" s="191"/>
      <c r="J451" s="191"/>
      <c r="K451" s="191"/>
      <c r="L451" s="191"/>
      <c r="M451" s="191"/>
      <c r="N451" s="191"/>
      <c r="O451" s="191"/>
      <c r="P451" s="191"/>
      <c r="Q451" s="191"/>
      <c r="R451" s="191"/>
      <c r="S451" s="191"/>
      <c r="T451" s="191"/>
      <c r="U451" s="191"/>
      <c r="V451" s="191"/>
    </row>
    <row r="452" spans="2:22">
      <c r="B452" s="191"/>
      <c r="C452" s="191"/>
      <c r="D452" s="191"/>
      <c r="E452" s="191"/>
      <c r="F452" s="191"/>
      <c r="G452" s="191"/>
      <c r="H452" s="191"/>
      <c r="I452" s="191"/>
      <c r="J452" s="191"/>
      <c r="K452" s="191"/>
      <c r="L452" s="191"/>
      <c r="M452" s="191"/>
      <c r="N452" s="191"/>
      <c r="O452" s="191"/>
      <c r="P452" s="191"/>
      <c r="Q452" s="191"/>
      <c r="R452" s="191"/>
      <c r="S452" s="191"/>
      <c r="T452" s="191"/>
      <c r="U452" s="191"/>
      <c r="V452" s="191"/>
    </row>
    <row r="453" spans="2:22">
      <c r="B453" s="191"/>
      <c r="C453" s="191"/>
      <c r="D453" s="191"/>
      <c r="E453" s="191"/>
      <c r="F453" s="191"/>
      <c r="G453" s="191"/>
      <c r="H453" s="191"/>
      <c r="I453" s="191"/>
      <c r="J453" s="191"/>
      <c r="K453" s="191"/>
      <c r="L453" s="191"/>
      <c r="M453" s="191"/>
      <c r="N453" s="191"/>
      <c r="O453" s="191"/>
      <c r="P453" s="191"/>
      <c r="Q453" s="191"/>
      <c r="R453" s="191"/>
      <c r="S453" s="191"/>
      <c r="T453" s="191"/>
      <c r="U453" s="191"/>
      <c r="V453" s="191"/>
    </row>
    <row r="454" spans="2:22">
      <c r="B454" s="191"/>
      <c r="C454" s="191"/>
      <c r="D454" s="191"/>
      <c r="E454" s="191"/>
      <c r="F454" s="191"/>
      <c r="G454" s="191"/>
      <c r="H454" s="191"/>
      <c r="I454" s="191"/>
      <c r="J454" s="191"/>
      <c r="K454" s="191"/>
      <c r="L454" s="191"/>
      <c r="M454" s="191"/>
      <c r="N454" s="191"/>
      <c r="O454" s="191"/>
      <c r="P454" s="191"/>
      <c r="Q454" s="191"/>
      <c r="R454" s="191"/>
      <c r="S454" s="191"/>
      <c r="T454" s="191"/>
      <c r="U454" s="191"/>
      <c r="V454" s="191"/>
    </row>
    <row r="455" spans="2:22">
      <c r="B455" s="191"/>
      <c r="C455" s="191"/>
      <c r="D455" s="191"/>
      <c r="E455" s="191"/>
      <c r="F455" s="191"/>
      <c r="G455" s="191"/>
      <c r="H455" s="191"/>
      <c r="I455" s="191"/>
      <c r="J455" s="191"/>
      <c r="K455" s="191"/>
      <c r="L455" s="191"/>
      <c r="M455" s="191"/>
      <c r="N455" s="191"/>
      <c r="O455" s="191"/>
      <c r="P455" s="191"/>
      <c r="Q455" s="191"/>
      <c r="R455" s="191"/>
      <c r="S455" s="191"/>
      <c r="T455" s="191"/>
      <c r="U455" s="191"/>
      <c r="V455" s="191"/>
    </row>
    <row r="456" spans="2:22">
      <c r="B456" s="191"/>
      <c r="C456" s="191"/>
      <c r="D456" s="191"/>
      <c r="E456" s="191"/>
      <c r="F456" s="191"/>
      <c r="G456" s="191"/>
      <c r="H456" s="191"/>
      <c r="I456" s="191"/>
      <c r="J456" s="191"/>
      <c r="K456" s="191"/>
      <c r="L456" s="191"/>
      <c r="M456" s="191"/>
      <c r="N456" s="191"/>
      <c r="O456" s="191"/>
      <c r="P456" s="191"/>
      <c r="Q456" s="191"/>
      <c r="R456" s="191"/>
      <c r="S456" s="191"/>
      <c r="T456" s="191"/>
      <c r="U456" s="191"/>
      <c r="V456" s="191"/>
    </row>
    <row r="457" spans="2:22">
      <c r="B457" s="191"/>
      <c r="C457" s="191"/>
      <c r="D457" s="191"/>
      <c r="E457" s="191"/>
      <c r="F457" s="191"/>
      <c r="G457" s="191"/>
      <c r="H457" s="191"/>
      <c r="I457" s="191"/>
      <c r="J457" s="191"/>
      <c r="K457" s="191"/>
      <c r="L457" s="191"/>
      <c r="M457" s="191"/>
      <c r="N457" s="191"/>
      <c r="O457" s="191"/>
      <c r="P457" s="191"/>
      <c r="Q457" s="191"/>
      <c r="R457" s="191"/>
      <c r="S457" s="191"/>
      <c r="T457" s="191"/>
      <c r="U457" s="191"/>
      <c r="V457" s="191"/>
    </row>
    <row r="458" spans="2:22">
      <c r="B458" s="191"/>
      <c r="C458" s="191"/>
      <c r="D458" s="191"/>
      <c r="E458" s="191"/>
      <c r="F458" s="191"/>
      <c r="G458" s="191"/>
      <c r="H458" s="191"/>
      <c r="I458" s="191"/>
      <c r="J458" s="191"/>
      <c r="K458" s="191"/>
      <c r="L458" s="191"/>
      <c r="M458" s="191"/>
      <c r="N458" s="191"/>
      <c r="O458" s="191"/>
      <c r="P458" s="191"/>
      <c r="Q458" s="191"/>
      <c r="R458" s="191"/>
      <c r="S458" s="191"/>
      <c r="T458" s="191"/>
      <c r="U458" s="191"/>
      <c r="V458" s="191"/>
    </row>
    <row r="459" spans="2:22">
      <c r="B459" s="191"/>
      <c r="C459" s="191"/>
      <c r="D459" s="191"/>
      <c r="E459" s="191"/>
      <c r="F459" s="191"/>
      <c r="G459" s="191"/>
      <c r="H459" s="191"/>
      <c r="I459" s="191"/>
      <c r="J459" s="191"/>
      <c r="K459" s="191"/>
      <c r="L459" s="191"/>
      <c r="M459" s="191"/>
      <c r="N459" s="191"/>
      <c r="O459" s="191"/>
      <c r="P459" s="191"/>
      <c r="Q459" s="191"/>
      <c r="R459" s="191"/>
      <c r="S459" s="191"/>
      <c r="T459" s="191"/>
      <c r="U459" s="191"/>
      <c r="V459" s="191"/>
    </row>
    <row r="460" spans="2:22">
      <c r="B460" s="191"/>
      <c r="C460" s="191"/>
      <c r="D460" s="191"/>
      <c r="E460" s="191"/>
      <c r="F460" s="191"/>
      <c r="G460" s="191"/>
      <c r="H460" s="191"/>
      <c r="I460" s="191"/>
      <c r="J460" s="191"/>
      <c r="K460" s="191"/>
      <c r="L460" s="191"/>
      <c r="M460" s="191"/>
      <c r="N460" s="191"/>
      <c r="O460" s="191"/>
      <c r="P460" s="191"/>
      <c r="Q460" s="191"/>
      <c r="R460" s="191"/>
      <c r="S460" s="191"/>
      <c r="T460" s="191"/>
      <c r="U460" s="191"/>
      <c r="V460" s="191"/>
    </row>
    <row r="461" spans="2:22">
      <c r="B461" s="191"/>
      <c r="C461" s="191"/>
      <c r="D461" s="191"/>
      <c r="E461" s="191"/>
      <c r="F461" s="191"/>
      <c r="G461" s="191"/>
      <c r="H461" s="191"/>
      <c r="I461" s="191"/>
      <c r="J461" s="191"/>
      <c r="K461" s="191"/>
      <c r="L461" s="191"/>
      <c r="M461" s="191"/>
      <c r="N461" s="191"/>
      <c r="O461" s="191"/>
      <c r="P461" s="191"/>
      <c r="Q461" s="191"/>
      <c r="R461" s="191"/>
      <c r="S461" s="191"/>
      <c r="T461" s="191"/>
      <c r="U461" s="191"/>
      <c r="V461" s="191"/>
    </row>
    <row r="462" spans="2:22">
      <c r="B462" s="191"/>
      <c r="C462" s="191"/>
      <c r="D462" s="191"/>
      <c r="E462" s="191"/>
      <c r="F462" s="191"/>
      <c r="G462" s="191"/>
      <c r="H462" s="191"/>
      <c r="I462" s="191"/>
      <c r="J462" s="191"/>
      <c r="K462" s="191"/>
      <c r="L462" s="191"/>
      <c r="M462" s="191"/>
      <c r="N462" s="191"/>
      <c r="O462" s="191"/>
      <c r="P462" s="191"/>
      <c r="Q462" s="191"/>
      <c r="R462" s="191"/>
      <c r="S462" s="191"/>
      <c r="T462" s="191"/>
      <c r="U462" s="191"/>
      <c r="V462" s="191"/>
    </row>
    <row r="463" spans="2:22">
      <c r="B463" s="191"/>
      <c r="C463" s="191"/>
      <c r="D463" s="191"/>
      <c r="E463" s="191"/>
      <c r="F463" s="191"/>
      <c r="G463" s="191"/>
      <c r="H463" s="191"/>
      <c r="I463" s="191"/>
      <c r="J463" s="191"/>
      <c r="K463" s="191"/>
      <c r="L463" s="191"/>
      <c r="M463" s="191"/>
      <c r="N463" s="191"/>
      <c r="O463" s="191"/>
      <c r="P463" s="191"/>
      <c r="Q463" s="191"/>
      <c r="R463" s="191"/>
      <c r="S463" s="191"/>
      <c r="T463" s="191"/>
      <c r="U463" s="191"/>
      <c r="V463" s="191"/>
    </row>
    <row r="464" spans="2:22">
      <c r="B464" s="191"/>
      <c r="C464" s="191"/>
      <c r="D464" s="191"/>
      <c r="E464" s="191"/>
      <c r="F464" s="191"/>
      <c r="G464" s="191"/>
      <c r="H464" s="191"/>
      <c r="I464" s="191"/>
      <c r="J464" s="191"/>
      <c r="K464" s="191"/>
      <c r="L464" s="191"/>
      <c r="M464" s="191"/>
      <c r="N464" s="191"/>
      <c r="O464" s="191"/>
      <c r="P464" s="191"/>
      <c r="Q464" s="191"/>
      <c r="R464" s="191"/>
      <c r="S464" s="191"/>
      <c r="T464" s="191"/>
      <c r="U464" s="191"/>
      <c r="V464" s="191"/>
    </row>
    <row r="465" spans="2:22">
      <c r="B465" s="191"/>
      <c r="C465" s="191"/>
      <c r="D465" s="191"/>
      <c r="E465" s="191"/>
      <c r="F465" s="191"/>
      <c r="G465" s="191"/>
      <c r="H465" s="191"/>
      <c r="I465" s="191"/>
      <c r="J465" s="191"/>
      <c r="K465" s="191"/>
      <c r="L465" s="191"/>
      <c r="M465" s="191"/>
      <c r="N465" s="191"/>
      <c r="O465" s="191"/>
      <c r="P465" s="191"/>
      <c r="Q465" s="191"/>
      <c r="R465" s="191"/>
      <c r="S465" s="191"/>
      <c r="T465" s="191"/>
      <c r="U465" s="191"/>
      <c r="V465" s="191"/>
    </row>
    <row r="466" spans="2:22">
      <c r="B466" s="191"/>
      <c r="C466" s="191"/>
      <c r="D466" s="191"/>
      <c r="E466" s="191"/>
      <c r="F466" s="191"/>
      <c r="G466" s="191"/>
      <c r="H466" s="191"/>
      <c r="I466" s="191"/>
      <c r="J466" s="191"/>
      <c r="K466" s="191"/>
      <c r="L466" s="191"/>
      <c r="M466" s="191"/>
      <c r="N466" s="191"/>
      <c r="O466" s="191"/>
      <c r="P466" s="191"/>
      <c r="Q466" s="191"/>
      <c r="R466" s="191"/>
      <c r="S466" s="191"/>
      <c r="T466" s="191"/>
      <c r="U466" s="191"/>
      <c r="V466" s="191"/>
    </row>
    <row r="467" spans="2:22">
      <c r="B467" s="191"/>
      <c r="C467" s="191"/>
      <c r="D467" s="191"/>
      <c r="E467" s="191"/>
      <c r="F467" s="191"/>
      <c r="G467" s="191"/>
      <c r="H467" s="191"/>
      <c r="I467" s="191"/>
      <c r="J467" s="191"/>
      <c r="K467" s="191"/>
      <c r="L467" s="191"/>
      <c r="M467" s="191"/>
      <c r="N467" s="191"/>
      <c r="O467" s="191"/>
      <c r="P467" s="191"/>
      <c r="Q467" s="191"/>
      <c r="R467" s="191"/>
      <c r="S467" s="191"/>
      <c r="T467" s="191"/>
      <c r="U467" s="191"/>
      <c r="V467" s="191"/>
    </row>
    <row r="468" spans="2:22">
      <c r="B468" s="191"/>
      <c r="C468" s="191"/>
      <c r="D468" s="191"/>
      <c r="E468" s="191"/>
      <c r="F468" s="191"/>
      <c r="G468" s="191"/>
      <c r="H468" s="191"/>
      <c r="I468" s="191"/>
      <c r="J468" s="191"/>
      <c r="K468" s="191"/>
      <c r="L468" s="191"/>
      <c r="M468" s="191"/>
      <c r="N468" s="191"/>
      <c r="O468" s="191"/>
      <c r="P468" s="191"/>
      <c r="Q468" s="191"/>
      <c r="R468" s="191"/>
      <c r="S468" s="191"/>
      <c r="T468" s="191"/>
      <c r="U468" s="191"/>
      <c r="V468" s="191"/>
    </row>
    <row r="469" spans="2:22">
      <c r="B469" s="191"/>
      <c r="C469" s="191"/>
      <c r="D469" s="191"/>
      <c r="E469" s="191"/>
      <c r="F469" s="191"/>
      <c r="G469" s="191"/>
      <c r="H469" s="191"/>
      <c r="I469" s="191"/>
      <c r="J469" s="191"/>
      <c r="K469" s="191"/>
      <c r="L469" s="191"/>
      <c r="M469" s="191"/>
      <c r="N469" s="191"/>
      <c r="O469" s="191"/>
      <c r="P469" s="191"/>
      <c r="Q469" s="191"/>
      <c r="R469" s="191"/>
      <c r="S469" s="191"/>
      <c r="T469" s="191"/>
      <c r="U469" s="191"/>
      <c r="V469" s="191"/>
    </row>
    <row r="470" spans="2:22">
      <c r="B470" s="191"/>
      <c r="C470" s="191"/>
      <c r="D470" s="191"/>
      <c r="E470" s="191"/>
      <c r="F470" s="191"/>
      <c r="G470" s="191"/>
      <c r="H470" s="191"/>
      <c r="I470" s="191"/>
      <c r="J470" s="191"/>
      <c r="K470" s="191"/>
      <c r="L470" s="191"/>
      <c r="M470" s="191"/>
      <c r="N470" s="191"/>
      <c r="O470" s="191"/>
      <c r="P470" s="191"/>
      <c r="Q470" s="191"/>
      <c r="R470" s="191"/>
      <c r="S470" s="191"/>
      <c r="T470" s="191"/>
      <c r="U470" s="191"/>
      <c r="V470" s="191"/>
    </row>
    <row r="471" spans="2:22">
      <c r="B471" s="191"/>
      <c r="C471" s="191"/>
      <c r="D471" s="191"/>
      <c r="E471" s="191"/>
      <c r="F471" s="191"/>
      <c r="G471" s="191"/>
      <c r="H471" s="191"/>
      <c r="I471" s="191"/>
      <c r="J471" s="191"/>
      <c r="K471" s="191"/>
      <c r="L471" s="191"/>
      <c r="M471" s="191"/>
      <c r="N471" s="191"/>
      <c r="O471" s="191"/>
      <c r="P471" s="191"/>
      <c r="Q471" s="191"/>
      <c r="R471" s="191"/>
      <c r="S471" s="191"/>
      <c r="T471" s="191"/>
      <c r="U471" s="191"/>
      <c r="V471" s="191"/>
    </row>
    <row r="472" spans="2:22">
      <c r="B472" s="191"/>
      <c r="C472" s="191"/>
      <c r="D472" s="191"/>
      <c r="E472" s="191"/>
      <c r="F472" s="191"/>
      <c r="G472" s="191"/>
      <c r="H472" s="191"/>
      <c r="I472" s="191"/>
      <c r="J472" s="191"/>
      <c r="K472" s="191"/>
      <c r="L472" s="191"/>
      <c r="M472" s="191"/>
      <c r="N472" s="191"/>
      <c r="O472" s="191"/>
      <c r="P472" s="191"/>
      <c r="Q472" s="191"/>
      <c r="R472" s="191"/>
      <c r="S472" s="191"/>
      <c r="T472" s="191"/>
      <c r="U472" s="191"/>
      <c r="V472" s="191"/>
    </row>
    <row r="473" spans="2:22">
      <c r="B473" s="191"/>
      <c r="C473" s="191"/>
      <c r="D473" s="191"/>
      <c r="E473" s="191"/>
      <c r="F473" s="191"/>
      <c r="G473" s="191"/>
      <c r="H473" s="191"/>
      <c r="I473" s="191"/>
      <c r="J473" s="191"/>
      <c r="K473" s="191"/>
      <c r="L473" s="191"/>
      <c r="M473" s="191"/>
      <c r="N473" s="191"/>
      <c r="O473" s="191"/>
      <c r="P473" s="191"/>
      <c r="Q473" s="191"/>
      <c r="R473" s="191"/>
      <c r="S473" s="191"/>
      <c r="T473" s="191"/>
      <c r="U473" s="191"/>
      <c r="V473" s="191"/>
    </row>
    <row r="474" spans="2:22">
      <c r="B474" s="191"/>
      <c r="C474" s="191"/>
      <c r="D474" s="191"/>
      <c r="E474" s="191"/>
      <c r="F474" s="191"/>
      <c r="G474" s="191"/>
      <c r="H474" s="191"/>
      <c r="I474" s="191"/>
      <c r="J474" s="191"/>
      <c r="K474" s="191"/>
      <c r="L474" s="191"/>
      <c r="M474" s="191"/>
      <c r="N474" s="191"/>
      <c r="O474" s="191"/>
      <c r="P474" s="191"/>
      <c r="Q474" s="191"/>
      <c r="R474" s="191"/>
      <c r="S474" s="191"/>
      <c r="T474" s="191"/>
      <c r="U474" s="191"/>
      <c r="V474" s="191"/>
    </row>
    <row r="475" spans="2:22">
      <c r="B475" s="191"/>
      <c r="C475" s="191"/>
      <c r="D475" s="191"/>
      <c r="E475" s="191"/>
      <c r="F475" s="191"/>
      <c r="G475" s="191"/>
      <c r="H475" s="191"/>
      <c r="I475" s="191"/>
      <c r="J475" s="191"/>
      <c r="K475" s="191"/>
      <c r="L475" s="191"/>
      <c r="M475" s="191"/>
      <c r="N475" s="191"/>
      <c r="O475" s="191"/>
      <c r="P475" s="191"/>
      <c r="Q475" s="191"/>
      <c r="R475" s="191"/>
      <c r="S475" s="191"/>
      <c r="T475" s="191"/>
      <c r="U475" s="191"/>
      <c r="V475" s="191"/>
    </row>
    <row r="476" spans="2:22">
      <c r="B476" s="191"/>
      <c r="C476" s="191"/>
      <c r="D476" s="191"/>
      <c r="E476" s="191"/>
      <c r="F476" s="191"/>
      <c r="G476" s="191"/>
      <c r="H476" s="191"/>
      <c r="I476" s="191"/>
      <c r="J476" s="191"/>
      <c r="K476" s="191"/>
      <c r="L476" s="191"/>
      <c r="M476" s="191"/>
      <c r="N476" s="191"/>
      <c r="O476" s="191"/>
      <c r="P476" s="191"/>
      <c r="Q476" s="191"/>
      <c r="R476" s="191"/>
      <c r="S476" s="191"/>
      <c r="T476" s="191"/>
      <c r="U476" s="191"/>
      <c r="V476" s="191"/>
    </row>
    <row r="477" spans="2:22">
      <c r="B477" s="191"/>
      <c r="C477" s="191"/>
      <c r="D477" s="191"/>
      <c r="E477" s="191"/>
      <c r="F477" s="191"/>
      <c r="G477" s="191"/>
      <c r="H477" s="191"/>
      <c r="I477" s="191"/>
      <c r="J477" s="191"/>
      <c r="K477" s="191"/>
      <c r="L477" s="191"/>
      <c r="M477" s="191"/>
      <c r="N477" s="191"/>
      <c r="O477" s="191"/>
      <c r="P477" s="191"/>
      <c r="Q477" s="191"/>
      <c r="R477" s="191"/>
      <c r="S477" s="191"/>
      <c r="T477" s="191"/>
      <c r="U477" s="191"/>
      <c r="V477" s="191"/>
    </row>
    <row r="478" spans="2:22">
      <c r="B478" s="191"/>
      <c r="C478" s="191"/>
      <c r="D478" s="191"/>
      <c r="E478" s="191"/>
      <c r="F478" s="191"/>
      <c r="G478" s="191"/>
      <c r="H478" s="191"/>
      <c r="I478" s="191"/>
      <c r="J478" s="191"/>
      <c r="K478" s="191"/>
      <c r="L478" s="191"/>
      <c r="M478" s="191"/>
      <c r="N478" s="191"/>
      <c r="O478" s="191"/>
      <c r="P478" s="191"/>
      <c r="Q478" s="191"/>
      <c r="R478" s="191"/>
      <c r="S478" s="191"/>
      <c r="T478" s="191"/>
      <c r="U478" s="191"/>
      <c r="V478" s="191"/>
    </row>
    <row r="479" spans="2:22">
      <c r="B479" s="191"/>
      <c r="C479" s="191"/>
      <c r="D479" s="191"/>
      <c r="E479" s="191"/>
      <c r="F479" s="191"/>
      <c r="G479" s="191"/>
      <c r="H479" s="191"/>
      <c r="I479" s="191"/>
      <c r="J479" s="191"/>
      <c r="K479" s="191"/>
      <c r="L479" s="191"/>
      <c r="M479" s="191"/>
      <c r="N479" s="191"/>
      <c r="O479" s="191"/>
      <c r="P479" s="191"/>
      <c r="Q479" s="191"/>
      <c r="R479" s="191"/>
      <c r="S479" s="191"/>
      <c r="T479" s="191"/>
      <c r="U479" s="191"/>
      <c r="V479" s="191"/>
    </row>
    <row r="480" spans="2:22">
      <c r="B480" s="191"/>
      <c r="C480" s="191"/>
      <c r="D480" s="191"/>
      <c r="E480" s="191"/>
      <c r="F480" s="191"/>
      <c r="G480" s="191"/>
      <c r="H480" s="191"/>
      <c r="I480" s="191"/>
      <c r="J480" s="191"/>
      <c r="K480" s="191"/>
      <c r="L480" s="191"/>
      <c r="M480" s="191"/>
      <c r="N480" s="191"/>
      <c r="O480" s="191"/>
      <c r="P480" s="191"/>
      <c r="Q480" s="191"/>
      <c r="R480" s="191"/>
      <c r="S480" s="191"/>
      <c r="T480" s="191"/>
      <c r="U480" s="191"/>
      <c r="V480" s="191"/>
    </row>
    <row r="481" spans="2:22">
      <c r="B481" s="191"/>
      <c r="C481" s="191"/>
      <c r="D481" s="191"/>
      <c r="E481" s="191"/>
      <c r="F481" s="191"/>
      <c r="G481" s="191"/>
      <c r="H481" s="191"/>
      <c r="I481" s="191"/>
      <c r="J481" s="191"/>
      <c r="K481" s="191"/>
      <c r="L481" s="191"/>
      <c r="M481" s="191"/>
      <c r="N481" s="191"/>
      <c r="O481" s="191"/>
      <c r="P481" s="191"/>
      <c r="Q481" s="191"/>
      <c r="R481" s="191"/>
      <c r="S481" s="191"/>
      <c r="T481" s="191"/>
      <c r="U481" s="191"/>
      <c r="V481" s="191"/>
    </row>
    <row r="482" spans="2:22">
      <c r="B482" s="191"/>
      <c r="C482" s="191"/>
      <c r="D482" s="191"/>
      <c r="E482" s="191"/>
      <c r="F482" s="191"/>
      <c r="G482" s="191"/>
      <c r="H482" s="191"/>
      <c r="I482" s="191"/>
      <c r="J482" s="191"/>
      <c r="K482" s="191"/>
      <c r="L482" s="191"/>
      <c r="M482" s="191"/>
      <c r="N482" s="191"/>
      <c r="O482" s="191"/>
      <c r="P482" s="191"/>
      <c r="Q482" s="191"/>
      <c r="R482" s="191"/>
      <c r="S482" s="191"/>
      <c r="T482" s="191"/>
      <c r="U482" s="191"/>
      <c r="V482" s="191"/>
    </row>
    <row r="483" spans="2:22">
      <c r="B483" s="191"/>
      <c r="C483" s="191"/>
      <c r="D483" s="191"/>
      <c r="E483" s="191"/>
      <c r="F483" s="191"/>
      <c r="G483" s="191"/>
      <c r="H483" s="191"/>
      <c r="I483" s="191"/>
      <c r="J483" s="191"/>
      <c r="K483" s="191"/>
      <c r="L483" s="191"/>
      <c r="M483" s="191"/>
      <c r="N483" s="191"/>
      <c r="O483" s="191"/>
      <c r="P483" s="191"/>
      <c r="Q483" s="191"/>
      <c r="R483" s="191"/>
      <c r="S483" s="191"/>
      <c r="T483" s="191"/>
      <c r="U483" s="191"/>
      <c r="V483" s="191"/>
    </row>
    <row r="484" spans="2:22">
      <c r="B484" s="191"/>
      <c r="C484" s="191"/>
      <c r="D484" s="191"/>
      <c r="E484" s="191"/>
      <c r="F484" s="191"/>
      <c r="G484" s="191"/>
      <c r="H484" s="191"/>
      <c r="I484" s="191"/>
      <c r="J484" s="191"/>
      <c r="K484" s="191"/>
      <c r="L484" s="191"/>
      <c r="M484" s="191"/>
      <c r="N484" s="191"/>
      <c r="O484" s="191"/>
      <c r="P484" s="191"/>
      <c r="Q484" s="191"/>
      <c r="R484" s="191"/>
      <c r="S484" s="191"/>
      <c r="T484" s="191"/>
      <c r="U484" s="191"/>
      <c r="V484" s="191"/>
    </row>
    <row r="485" spans="2:22">
      <c r="B485" s="191"/>
      <c r="C485" s="191"/>
      <c r="D485" s="191"/>
      <c r="E485" s="191"/>
      <c r="F485" s="191"/>
      <c r="G485" s="191"/>
      <c r="H485" s="191"/>
      <c r="I485" s="191"/>
      <c r="J485" s="191"/>
      <c r="K485" s="191"/>
      <c r="L485" s="191"/>
      <c r="M485" s="191"/>
      <c r="N485" s="191"/>
      <c r="O485" s="191"/>
      <c r="P485" s="191"/>
      <c r="Q485" s="191"/>
      <c r="R485" s="191"/>
      <c r="S485" s="191"/>
      <c r="T485" s="191"/>
      <c r="U485" s="191"/>
      <c r="V485" s="191"/>
    </row>
    <row r="486" spans="2:22">
      <c r="B486" s="191"/>
      <c r="C486" s="191"/>
      <c r="D486" s="191"/>
      <c r="E486" s="191"/>
      <c r="F486" s="191"/>
      <c r="G486" s="191"/>
      <c r="H486" s="191"/>
      <c r="I486" s="191"/>
      <c r="J486" s="191"/>
      <c r="K486" s="191"/>
      <c r="L486" s="191"/>
      <c r="M486" s="191"/>
      <c r="N486" s="191"/>
      <c r="O486" s="191"/>
      <c r="P486" s="191"/>
      <c r="Q486" s="191"/>
      <c r="R486" s="191"/>
      <c r="S486" s="191"/>
      <c r="T486" s="191"/>
      <c r="U486" s="191"/>
      <c r="V486" s="191"/>
    </row>
    <row r="487" spans="2:22">
      <c r="B487" s="191"/>
      <c r="C487" s="191"/>
      <c r="D487" s="191"/>
      <c r="E487" s="191"/>
      <c r="F487" s="191"/>
      <c r="G487" s="191"/>
      <c r="H487" s="191"/>
      <c r="I487" s="191"/>
      <c r="J487" s="191"/>
      <c r="K487" s="191"/>
      <c r="L487" s="191"/>
      <c r="M487" s="191"/>
      <c r="N487" s="191"/>
      <c r="O487" s="191"/>
      <c r="P487" s="191"/>
      <c r="Q487" s="191"/>
      <c r="R487" s="191"/>
      <c r="S487" s="191"/>
      <c r="T487" s="191"/>
      <c r="U487" s="191"/>
      <c r="V487" s="191"/>
    </row>
    <row r="488" spans="2:22">
      <c r="B488" s="191"/>
      <c r="C488" s="191"/>
      <c r="D488" s="191"/>
      <c r="E488" s="191"/>
      <c r="F488" s="191"/>
      <c r="G488" s="191"/>
      <c r="H488" s="191"/>
      <c r="I488" s="191"/>
      <c r="J488" s="191"/>
      <c r="K488" s="191"/>
      <c r="L488" s="191"/>
      <c r="M488" s="191"/>
      <c r="N488" s="191"/>
      <c r="O488" s="191"/>
      <c r="P488" s="191"/>
      <c r="Q488" s="191"/>
      <c r="R488" s="191"/>
      <c r="S488" s="191"/>
      <c r="T488" s="191"/>
      <c r="U488" s="191"/>
      <c r="V488" s="191"/>
    </row>
    <row r="489" spans="2:22">
      <c r="B489" s="191"/>
      <c r="C489" s="191"/>
      <c r="D489" s="191"/>
      <c r="E489" s="191"/>
      <c r="F489" s="191"/>
      <c r="G489" s="191"/>
      <c r="H489" s="191"/>
      <c r="I489" s="191"/>
      <c r="J489" s="191"/>
      <c r="K489" s="191"/>
      <c r="L489" s="191"/>
      <c r="M489" s="191"/>
      <c r="N489" s="191"/>
      <c r="O489" s="191"/>
      <c r="P489" s="191"/>
      <c r="Q489" s="191"/>
      <c r="R489" s="191"/>
      <c r="S489" s="191"/>
      <c r="T489" s="191"/>
      <c r="U489" s="191"/>
      <c r="V489" s="191"/>
    </row>
    <row r="490" spans="2:22">
      <c r="B490" s="191"/>
      <c r="C490" s="191"/>
      <c r="D490" s="191"/>
      <c r="E490" s="191"/>
      <c r="F490" s="191"/>
      <c r="G490" s="191"/>
      <c r="H490" s="191"/>
      <c r="I490" s="191"/>
      <c r="J490" s="191"/>
      <c r="K490" s="191"/>
      <c r="L490" s="191"/>
      <c r="M490" s="191"/>
      <c r="N490" s="191"/>
      <c r="O490" s="191"/>
      <c r="P490" s="191"/>
      <c r="Q490" s="191"/>
      <c r="R490" s="191"/>
      <c r="S490" s="191"/>
      <c r="T490" s="191"/>
      <c r="U490" s="191"/>
      <c r="V490" s="191"/>
    </row>
    <row r="491" spans="2:22">
      <c r="B491" s="191"/>
      <c r="C491" s="191"/>
      <c r="D491" s="191"/>
      <c r="E491" s="191"/>
      <c r="F491" s="191"/>
      <c r="G491" s="191"/>
      <c r="H491" s="191"/>
      <c r="I491" s="191"/>
      <c r="J491" s="191"/>
      <c r="K491" s="191"/>
      <c r="L491" s="191"/>
      <c r="M491" s="191"/>
      <c r="N491" s="191"/>
      <c r="O491" s="191"/>
      <c r="P491" s="191"/>
      <c r="Q491" s="191"/>
      <c r="R491" s="191"/>
      <c r="S491" s="191"/>
      <c r="T491" s="191"/>
      <c r="U491" s="191"/>
      <c r="V491" s="191"/>
    </row>
    <row r="492" spans="2:22">
      <c r="B492" s="191"/>
      <c r="C492" s="191"/>
      <c r="D492" s="191"/>
      <c r="E492" s="191"/>
      <c r="F492" s="191"/>
      <c r="G492" s="191"/>
      <c r="H492" s="191"/>
      <c r="I492" s="191"/>
      <c r="J492" s="191"/>
      <c r="K492" s="191"/>
      <c r="L492" s="191"/>
      <c r="M492" s="191"/>
      <c r="N492" s="191"/>
      <c r="O492" s="191"/>
      <c r="P492" s="191"/>
      <c r="Q492" s="191"/>
      <c r="R492" s="191"/>
      <c r="S492" s="191"/>
      <c r="T492" s="191"/>
      <c r="U492" s="191"/>
      <c r="V492" s="191"/>
    </row>
    <row r="493" spans="2:22">
      <c r="B493" s="191"/>
      <c r="C493" s="191"/>
      <c r="D493" s="191"/>
      <c r="E493" s="191"/>
      <c r="F493" s="191"/>
      <c r="G493" s="191"/>
      <c r="H493" s="191"/>
      <c r="I493" s="191"/>
      <c r="J493" s="191"/>
      <c r="K493" s="191"/>
      <c r="L493" s="191"/>
      <c r="M493" s="191"/>
      <c r="N493" s="191"/>
      <c r="O493" s="191"/>
      <c r="P493" s="191"/>
      <c r="Q493" s="191"/>
      <c r="R493" s="191"/>
      <c r="S493" s="191"/>
      <c r="T493" s="191"/>
      <c r="U493" s="191"/>
      <c r="V493" s="191"/>
    </row>
    <row r="494" spans="2:22">
      <c r="B494" s="191"/>
      <c r="C494" s="191"/>
      <c r="D494" s="191"/>
      <c r="E494" s="191"/>
      <c r="F494" s="191"/>
      <c r="G494" s="191"/>
      <c r="H494" s="191"/>
      <c r="I494" s="191"/>
      <c r="J494" s="191"/>
      <c r="K494" s="191"/>
      <c r="L494" s="191"/>
      <c r="M494" s="191"/>
      <c r="N494" s="191"/>
      <c r="O494" s="191"/>
      <c r="P494" s="191"/>
      <c r="Q494" s="191"/>
      <c r="R494" s="191"/>
      <c r="S494" s="191"/>
      <c r="T494" s="191"/>
      <c r="U494" s="191"/>
      <c r="V494" s="191"/>
    </row>
    <row r="495" spans="2:22">
      <c r="B495" s="191"/>
      <c r="C495" s="191"/>
      <c r="D495" s="191"/>
      <c r="E495" s="191"/>
      <c r="F495" s="191"/>
      <c r="G495" s="191"/>
      <c r="H495" s="191"/>
      <c r="I495" s="191"/>
      <c r="J495" s="191"/>
      <c r="K495" s="191"/>
      <c r="L495" s="191"/>
      <c r="M495" s="191"/>
      <c r="N495" s="191"/>
      <c r="O495" s="191"/>
      <c r="P495" s="191"/>
      <c r="Q495" s="191"/>
      <c r="R495" s="191"/>
      <c r="S495" s="191"/>
      <c r="T495" s="191"/>
      <c r="U495" s="191"/>
      <c r="V495" s="191"/>
    </row>
    <row r="496" spans="2:22">
      <c r="B496" s="191"/>
      <c r="C496" s="191"/>
      <c r="D496" s="191"/>
      <c r="E496" s="191"/>
      <c r="F496" s="191"/>
      <c r="G496" s="191"/>
      <c r="H496" s="191"/>
      <c r="I496" s="191"/>
      <c r="J496" s="191"/>
      <c r="K496" s="191"/>
      <c r="L496" s="191"/>
      <c r="M496" s="191"/>
      <c r="N496" s="191"/>
      <c r="O496" s="191"/>
      <c r="P496" s="191"/>
      <c r="Q496" s="191"/>
      <c r="R496" s="191"/>
      <c r="S496" s="191"/>
      <c r="T496" s="191"/>
      <c r="U496" s="191"/>
      <c r="V496" s="191"/>
    </row>
    <row r="497" spans="2:22">
      <c r="B497" s="191"/>
      <c r="C497" s="191"/>
      <c r="D497" s="191"/>
      <c r="E497" s="191"/>
      <c r="F497" s="191"/>
      <c r="G497" s="191"/>
      <c r="H497" s="191"/>
      <c r="I497" s="191"/>
      <c r="J497" s="191"/>
      <c r="K497" s="191"/>
      <c r="L497" s="191"/>
      <c r="M497" s="191"/>
      <c r="N497" s="191"/>
      <c r="O497" s="191"/>
      <c r="P497" s="191"/>
      <c r="Q497" s="191"/>
      <c r="R497" s="191"/>
      <c r="S497" s="191"/>
      <c r="T497" s="191"/>
      <c r="U497" s="191"/>
      <c r="V497" s="191"/>
    </row>
    <row r="498" spans="2:22">
      <c r="B498" s="191"/>
      <c r="C498" s="191"/>
      <c r="D498" s="191"/>
      <c r="E498" s="191"/>
      <c r="F498" s="191"/>
      <c r="G498" s="191"/>
      <c r="H498" s="191"/>
      <c r="I498" s="191"/>
      <c r="J498" s="191"/>
      <c r="K498" s="191"/>
      <c r="L498" s="191"/>
      <c r="M498" s="191"/>
      <c r="N498" s="191"/>
      <c r="O498" s="191"/>
      <c r="P498" s="191"/>
      <c r="Q498" s="191"/>
      <c r="R498" s="191"/>
      <c r="S498" s="191"/>
      <c r="T498" s="191"/>
      <c r="U498" s="191"/>
      <c r="V498" s="191"/>
    </row>
    <row r="499" spans="2:22">
      <c r="B499" s="191"/>
      <c r="C499" s="191"/>
      <c r="D499" s="191"/>
      <c r="E499" s="191"/>
      <c r="F499" s="191"/>
      <c r="G499" s="191"/>
      <c r="H499" s="191"/>
      <c r="I499" s="191"/>
      <c r="J499" s="191"/>
      <c r="K499" s="191"/>
      <c r="L499" s="191"/>
      <c r="M499" s="191"/>
      <c r="N499" s="191"/>
      <c r="O499" s="191"/>
      <c r="P499" s="191"/>
      <c r="Q499" s="191"/>
      <c r="R499" s="191"/>
      <c r="S499" s="191"/>
      <c r="T499" s="191"/>
      <c r="U499" s="191"/>
      <c r="V499" s="191"/>
    </row>
    <row r="500" spans="2:22">
      <c r="B500" s="191"/>
      <c r="C500" s="191"/>
      <c r="D500" s="191"/>
      <c r="E500" s="191"/>
      <c r="F500" s="191"/>
      <c r="G500" s="191"/>
      <c r="H500" s="191"/>
      <c r="I500" s="191"/>
      <c r="J500" s="191"/>
      <c r="K500" s="191"/>
      <c r="L500" s="191"/>
      <c r="M500" s="191"/>
      <c r="N500" s="191"/>
      <c r="O500" s="191"/>
      <c r="P500" s="191"/>
      <c r="Q500" s="191"/>
      <c r="R500" s="191"/>
      <c r="S500" s="191"/>
      <c r="T500" s="191"/>
      <c r="U500" s="191"/>
      <c r="V500" s="191"/>
    </row>
    <row r="501" spans="2:22">
      <c r="B501" s="191"/>
      <c r="C501" s="191"/>
      <c r="D501" s="191"/>
      <c r="E501" s="191"/>
      <c r="F501" s="191"/>
      <c r="G501" s="191"/>
      <c r="H501" s="191"/>
      <c r="I501" s="191"/>
      <c r="J501" s="191"/>
      <c r="K501" s="191"/>
      <c r="L501" s="191"/>
      <c r="M501" s="191"/>
      <c r="N501" s="191"/>
      <c r="O501" s="191"/>
      <c r="P501" s="191"/>
      <c r="Q501" s="191"/>
      <c r="R501" s="191"/>
      <c r="S501" s="191"/>
      <c r="T501" s="191"/>
      <c r="U501" s="191"/>
      <c r="V501" s="191"/>
    </row>
    <row r="502" spans="2:22">
      <c r="B502" s="191"/>
      <c r="C502" s="191"/>
      <c r="D502" s="191"/>
      <c r="E502" s="191"/>
      <c r="F502" s="191"/>
      <c r="G502" s="191"/>
      <c r="H502" s="191"/>
      <c r="I502" s="191"/>
      <c r="J502" s="191"/>
      <c r="K502" s="191"/>
      <c r="L502" s="191"/>
      <c r="M502" s="191"/>
      <c r="N502" s="191"/>
      <c r="O502" s="191"/>
      <c r="P502" s="191"/>
      <c r="Q502" s="191"/>
      <c r="R502" s="191"/>
      <c r="S502" s="191"/>
      <c r="T502" s="191"/>
      <c r="U502" s="191"/>
      <c r="V502" s="191"/>
    </row>
    <row r="503" spans="2:22">
      <c r="B503" s="191"/>
      <c r="C503" s="191"/>
      <c r="D503" s="191"/>
      <c r="E503" s="191"/>
      <c r="F503" s="191"/>
      <c r="G503" s="191"/>
      <c r="H503" s="191"/>
      <c r="I503" s="191"/>
      <c r="J503" s="191"/>
      <c r="K503" s="191"/>
      <c r="L503" s="191"/>
      <c r="M503" s="191"/>
      <c r="N503" s="191"/>
      <c r="O503" s="191"/>
      <c r="P503" s="191"/>
      <c r="Q503" s="191"/>
      <c r="R503" s="191"/>
      <c r="S503" s="191"/>
      <c r="T503" s="191"/>
      <c r="U503" s="191"/>
      <c r="V503" s="191"/>
    </row>
    <row r="504" spans="2:22">
      <c r="B504" s="191"/>
      <c r="C504" s="191"/>
      <c r="D504" s="191"/>
      <c r="E504" s="191"/>
      <c r="F504" s="191"/>
      <c r="G504" s="191"/>
      <c r="H504" s="191"/>
      <c r="I504" s="191"/>
      <c r="J504" s="191"/>
      <c r="K504" s="191"/>
      <c r="L504" s="191"/>
      <c r="M504" s="191"/>
      <c r="N504" s="191"/>
      <c r="O504" s="191"/>
      <c r="P504" s="191"/>
      <c r="Q504" s="191"/>
      <c r="R504" s="191"/>
      <c r="S504" s="191"/>
      <c r="T504" s="191"/>
      <c r="U504" s="191"/>
      <c r="V504" s="191"/>
    </row>
    <row r="505" spans="2:22">
      <c r="B505" s="191"/>
      <c r="C505" s="191"/>
      <c r="D505" s="191"/>
      <c r="E505" s="191"/>
      <c r="F505" s="191"/>
      <c r="G505" s="191"/>
      <c r="H505" s="191"/>
      <c r="I505" s="191"/>
      <c r="J505" s="191"/>
      <c r="K505" s="191"/>
      <c r="L505" s="191"/>
      <c r="M505" s="191"/>
      <c r="N505" s="191"/>
      <c r="O505" s="191"/>
      <c r="P505" s="191"/>
      <c r="Q505" s="191"/>
      <c r="R505" s="191"/>
      <c r="S505" s="191"/>
      <c r="T505" s="191"/>
      <c r="U505" s="191"/>
      <c r="V505" s="191"/>
    </row>
    <row r="506" spans="2:22">
      <c r="B506" s="191"/>
      <c r="C506" s="191"/>
      <c r="D506" s="191"/>
      <c r="E506" s="191"/>
      <c r="F506" s="191"/>
      <c r="G506" s="191"/>
      <c r="H506" s="191"/>
      <c r="I506" s="191"/>
      <c r="J506" s="191"/>
      <c r="K506" s="191"/>
      <c r="L506" s="191"/>
      <c r="M506" s="191"/>
      <c r="N506" s="191"/>
      <c r="O506" s="191"/>
      <c r="P506" s="191"/>
      <c r="Q506" s="191"/>
      <c r="R506" s="191"/>
      <c r="S506" s="191"/>
      <c r="T506" s="191"/>
      <c r="U506" s="191"/>
      <c r="V506" s="191"/>
    </row>
    <row r="507" spans="2:22">
      <c r="B507" s="191"/>
      <c r="C507" s="191"/>
      <c r="D507" s="191"/>
      <c r="E507" s="191"/>
      <c r="F507" s="191"/>
      <c r="G507" s="191"/>
      <c r="H507" s="191"/>
      <c r="I507" s="191"/>
      <c r="J507" s="191"/>
      <c r="K507" s="191"/>
      <c r="L507" s="191"/>
      <c r="M507" s="191"/>
      <c r="N507" s="191"/>
      <c r="O507" s="191"/>
      <c r="P507" s="191"/>
      <c r="Q507" s="191"/>
      <c r="R507" s="191"/>
      <c r="S507" s="191"/>
      <c r="T507" s="191"/>
      <c r="U507" s="191"/>
      <c r="V507" s="191"/>
    </row>
    <row r="508" spans="2:22">
      <c r="B508" s="191"/>
      <c r="C508" s="191"/>
      <c r="D508" s="191"/>
      <c r="E508" s="191"/>
      <c r="F508" s="191"/>
      <c r="G508" s="191"/>
      <c r="H508" s="191"/>
      <c r="I508" s="191"/>
      <c r="J508" s="191"/>
      <c r="K508" s="191"/>
      <c r="L508" s="191"/>
      <c r="M508" s="191"/>
      <c r="N508" s="191"/>
      <c r="O508" s="191"/>
      <c r="P508" s="191"/>
      <c r="Q508" s="191"/>
      <c r="R508" s="191"/>
      <c r="S508" s="191"/>
      <c r="T508" s="191"/>
      <c r="U508" s="191"/>
      <c r="V508" s="191"/>
    </row>
    <row r="509" spans="2:22">
      <c r="B509" s="191"/>
      <c r="C509" s="191"/>
      <c r="D509" s="191"/>
      <c r="E509" s="191"/>
      <c r="F509" s="191"/>
      <c r="G509" s="191"/>
      <c r="H509" s="191"/>
      <c r="I509" s="191"/>
      <c r="J509" s="191"/>
      <c r="K509" s="191"/>
      <c r="L509" s="191"/>
      <c r="M509" s="191"/>
      <c r="N509" s="191"/>
      <c r="O509" s="191"/>
      <c r="P509" s="191"/>
      <c r="Q509" s="191"/>
      <c r="R509" s="191"/>
      <c r="S509" s="191"/>
      <c r="T509" s="191"/>
      <c r="U509" s="191"/>
      <c r="V509" s="191"/>
    </row>
    <row r="510" spans="2:22">
      <c r="B510" s="191"/>
      <c r="C510" s="191"/>
      <c r="D510" s="191"/>
      <c r="E510" s="191"/>
      <c r="F510" s="191"/>
      <c r="G510" s="191"/>
      <c r="H510" s="191"/>
      <c r="I510" s="191"/>
      <c r="J510" s="191"/>
      <c r="K510" s="191"/>
      <c r="L510" s="191"/>
      <c r="M510" s="191"/>
      <c r="N510" s="191"/>
      <c r="O510" s="191"/>
      <c r="P510" s="191"/>
      <c r="Q510" s="191"/>
      <c r="R510" s="191"/>
      <c r="S510" s="191"/>
      <c r="T510" s="191"/>
      <c r="U510" s="191"/>
      <c r="V510" s="191"/>
    </row>
    <row r="511" spans="2:22">
      <c r="B511" s="191"/>
      <c r="C511" s="191"/>
      <c r="D511" s="191"/>
      <c r="E511" s="191"/>
      <c r="F511" s="191"/>
      <c r="G511" s="191"/>
      <c r="H511" s="191"/>
      <c r="I511" s="191"/>
      <c r="J511" s="191"/>
      <c r="K511" s="191"/>
      <c r="L511" s="191"/>
      <c r="M511" s="191"/>
      <c r="N511" s="191"/>
      <c r="O511" s="191"/>
      <c r="P511" s="191"/>
      <c r="Q511" s="191"/>
      <c r="R511" s="191"/>
      <c r="S511" s="191"/>
      <c r="T511" s="191"/>
      <c r="U511" s="191"/>
      <c r="V511" s="191"/>
    </row>
    <row r="512" spans="2:22">
      <c r="B512" s="191"/>
      <c r="C512" s="191"/>
      <c r="D512" s="191"/>
      <c r="E512" s="191"/>
      <c r="F512" s="191"/>
      <c r="G512" s="191"/>
      <c r="H512" s="191"/>
      <c r="I512" s="191"/>
      <c r="J512" s="191"/>
      <c r="K512" s="191"/>
      <c r="L512" s="191"/>
      <c r="M512" s="191"/>
      <c r="N512" s="191"/>
      <c r="O512" s="191"/>
      <c r="P512" s="191"/>
      <c r="Q512" s="191"/>
      <c r="R512" s="191"/>
      <c r="S512" s="191"/>
      <c r="T512" s="191"/>
      <c r="U512" s="191"/>
      <c r="V512" s="191"/>
    </row>
    <row r="513" spans="2:22">
      <c r="B513" s="191"/>
      <c r="C513" s="191"/>
      <c r="D513" s="191"/>
      <c r="E513" s="191"/>
      <c r="F513" s="191"/>
      <c r="G513" s="191"/>
      <c r="H513" s="191"/>
      <c r="I513" s="191"/>
      <c r="J513" s="191"/>
      <c r="K513" s="191"/>
      <c r="L513" s="191"/>
      <c r="M513" s="191"/>
      <c r="N513" s="191"/>
      <c r="O513" s="191"/>
      <c r="P513" s="191"/>
      <c r="Q513" s="191"/>
      <c r="R513" s="191"/>
      <c r="S513" s="191"/>
      <c r="T513" s="191"/>
      <c r="U513" s="191"/>
      <c r="V513" s="191"/>
    </row>
    <row r="514" spans="2:22">
      <c r="B514" s="191"/>
      <c r="C514" s="191"/>
      <c r="D514" s="191"/>
      <c r="E514" s="191"/>
      <c r="F514" s="191"/>
      <c r="G514" s="191"/>
      <c r="H514" s="191"/>
      <c r="I514" s="191"/>
      <c r="J514" s="191"/>
      <c r="K514" s="191"/>
      <c r="L514" s="191"/>
      <c r="M514" s="191"/>
      <c r="N514" s="191"/>
      <c r="O514" s="191"/>
      <c r="P514" s="191"/>
      <c r="Q514" s="191"/>
      <c r="R514" s="191"/>
      <c r="S514" s="191"/>
      <c r="T514" s="191"/>
      <c r="U514" s="191"/>
      <c r="V514" s="191"/>
    </row>
    <row r="515" spans="2:22">
      <c r="B515" s="191"/>
      <c r="C515" s="191"/>
      <c r="D515" s="191"/>
      <c r="E515" s="191"/>
      <c r="F515" s="191"/>
      <c r="G515" s="191"/>
      <c r="H515" s="191"/>
      <c r="I515" s="191"/>
      <c r="J515" s="191"/>
      <c r="K515" s="191"/>
      <c r="L515" s="191"/>
      <c r="M515" s="191"/>
      <c r="N515" s="191"/>
      <c r="O515" s="191"/>
      <c r="P515" s="191"/>
      <c r="Q515" s="191"/>
      <c r="R515" s="191"/>
      <c r="S515" s="191"/>
      <c r="T515" s="191"/>
      <c r="U515" s="191"/>
      <c r="V515" s="191"/>
    </row>
    <row r="516" spans="2:22">
      <c r="B516" s="191"/>
      <c r="C516" s="191"/>
      <c r="D516" s="191"/>
      <c r="E516" s="191"/>
      <c r="F516" s="191"/>
      <c r="G516" s="191"/>
      <c r="H516" s="191"/>
      <c r="I516" s="191"/>
      <c r="J516" s="191"/>
      <c r="K516" s="191"/>
      <c r="L516" s="191"/>
      <c r="M516" s="191"/>
      <c r="N516" s="191"/>
      <c r="O516" s="191"/>
      <c r="P516" s="191"/>
      <c r="Q516" s="191"/>
      <c r="R516" s="191"/>
      <c r="S516" s="191"/>
      <c r="T516" s="191"/>
      <c r="U516" s="191"/>
      <c r="V516" s="191"/>
    </row>
    <row r="517" spans="2:22">
      <c r="B517" s="191"/>
      <c r="C517" s="191"/>
      <c r="D517" s="191"/>
      <c r="E517" s="191"/>
      <c r="F517" s="191"/>
      <c r="G517" s="191"/>
      <c r="H517" s="191"/>
      <c r="I517" s="191"/>
      <c r="J517" s="191"/>
      <c r="K517" s="191"/>
      <c r="L517" s="191"/>
      <c r="M517" s="191"/>
      <c r="N517" s="191"/>
      <c r="O517" s="191"/>
      <c r="P517" s="191"/>
      <c r="Q517" s="191"/>
      <c r="R517" s="191"/>
      <c r="S517" s="191"/>
      <c r="T517" s="191"/>
      <c r="U517" s="191"/>
      <c r="V517" s="191"/>
    </row>
    <row r="518" spans="2:22">
      <c r="B518" s="191"/>
      <c r="C518" s="191"/>
      <c r="D518" s="191"/>
      <c r="E518" s="191"/>
      <c r="F518" s="191"/>
      <c r="G518" s="191"/>
      <c r="H518" s="191"/>
      <c r="I518" s="191"/>
      <c r="J518" s="191"/>
      <c r="K518" s="191"/>
      <c r="L518" s="191"/>
      <c r="M518" s="191"/>
      <c r="N518" s="191"/>
      <c r="O518" s="191"/>
      <c r="P518" s="191"/>
      <c r="Q518" s="191"/>
      <c r="R518" s="191"/>
      <c r="S518" s="191"/>
      <c r="T518" s="191"/>
      <c r="U518" s="191"/>
      <c r="V518" s="191"/>
    </row>
    <row r="519" spans="2:22">
      <c r="B519" s="191"/>
      <c r="C519" s="191"/>
      <c r="D519" s="191"/>
      <c r="E519" s="191"/>
      <c r="F519" s="191"/>
      <c r="G519" s="191"/>
      <c r="H519" s="191"/>
      <c r="I519" s="191"/>
      <c r="J519" s="191"/>
      <c r="K519" s="191"/>
      <c r="L519" s="191"/>
      <c r="M519" s="191"/>
      <c r="N519" s="191"/>
      <c r="O519" s="191"/>
      <c r="P519" s="191"/>
      <c r="Q519" s="191"/>
      <c r="R519" s="191"/>
      <c r="S519" s="191"/>
      <c r="T519" s="191"/>
      <c r="U519" s="191"/>
      <c r="V519" s="191"/>
    </row>
    <row r="520" spans="2:22">
      <c r="B520" s="191"/>
      <c r="C520" s="191"/>
      <c r="D520" s="191"/>
      <c r="E520" s="191"/>
      <c r="F520" s="191"/>
      <c r="G520" s="191"/>
      <c r="H520" s="191"/>
      <c r="I520" s="191"/>
      <c r="J520" s="191"/>
      <c r="K520" s="191"/>
      <c r="L520" s="191"/>
      <c r="M520" s="191"/>
      <c r="N520" s="191"/>
      <c r="O520" s="191"/>
      <c r="P520" s="191"/>
      <c r="Q520" s="191"/>
      <c r="R520" s="191"/>
      <c r="S520" s="191"/>
      <c r="T520" s="191"/>
      <c r="U520" s="191"/>
      <c r="V520" s="191"/>
    </row>
    <row r="521" spans="2:22">
      <c r="B521" s="191"/>
      <c r="C521" s="191"/>
      <c r="D521" s="191"/>
      <c r="E521" s="191"/>
      <c r="F521" s="191"/>
      <c r="G521" s="191"/>
      <c r="H521" s="191"/>
      <c r="I521" s="191"/>
      <c r="J521" s="191"/>
      <c r="K521" s="191"/>
      <c r="L521" s="191"/>
      <c r="M521" s="191"/>
      <c r="N521" s="191"/>
      <c r="O521" s="191"/>
      <c r="P521" s="191"/>
      <c r="Q521" s="191"/>
      <c r="R521" s="191"/>
      <c r="S521" s="191"/>
      <c r="T521" s="191"/>
      <c r="U521" s="191"/>
      <c r="V521" s="191"/>
    </row>
    <row r="522" spans="2:22">
      <c r="B522" s="191"/>
      <c r="C522" s="191"/>
      <c r="D522" s="191"/>
      <c r="E522" s="191"/>
      <c r="F522" s="191"/>
      <c r="G522" s="191"/>
      <c r="H522" s="191"/>
      <c r="I522" s="191"/>
      <c r="J522" s="191"/>
      <c r="K522" s="191"/>
      <c r="L522" s="191"/>
      <c r="M522" s="191"/>
      <c r="N522" s="191"/>
      <c r="O522" s="191"/>
      <c r="P522" s="191"/>
      <c r="Q522" s="191"/>
      <c r="R522" s="191"/>
      <c r="S522" s="191"/>
      <c r="T522" s="191"/>
      <c r="U522" s="191"/>
      <c r="V522" s="191"/>
    </row>
    <row r="523" spans="2:22">
      <c r="B523" s="191"/>
      <c r="C523" s="191"/>
      <c r="D523" s="191"/>
      <c r="E523" s="191"/>
      <c r="F523" s="191"/>
      <c r="G523" s="191"/>
      <c r="H523" s="191"/>
      <c r="I523" s="191"/>
      <c r="J523" s="191"/>
      <c r="K523" s="191"/>
      <c r="L523" s="191"/>
      <c r="M523" s="191"/>
      <c r="N523" s="191"/>
      <c r="O523" s="191"/>
      <c r="P523" s="191"/>
      <c r="Q523" s="191"/>
      <c r="R523" s="191"/>
      <c r="S523" s="191"/>
      <c r="T523" s="191"/>
      <c r="U523" s="191"/>
      <c r="V523" s="191"/>
    </row>
    <row r="524" spans="2:22">
      <c r="B524" s="191"/>
      <c r="C524" s="191"/>
      <c r="D524" s="191"/>
      <c r="E524" s="191"/>
      <c r="F524" s="191"/>
      <c r="G524" s="191"/>
      <c r="H524" s="191"/>
      <c r="I524" s="191"/>
      <c r="J524" s="191"/>
      <c r="K524" s="191"/>
      <c r="L524" s="191"/>
      <c r="M524" s="191"/>
      <c r="N524" s="191"/>
      <c r="O524" s="191"/>
      <c r="P524" s="191"/>
      <c r="Q524" s="191"/>
      <c r="R524" s="191"/>
      <c r="S524" s="191"/>
      <c r="T524" s="191"/>
      <c r="U524" s="191"/>
      <c r="V524" s="191"/>
    </row>
    <row r="525" spans="2:22">
      <c r="B525" s="191"/>
      <c r="C525" s="191"/>
      <c r="D525" s="191"/>
      <c r="E525" s="191"/>
      <c r="F525" s="191"/>
      <c r="G525" s="191"/>
      <c r="H525" s="191"/>
      <c r="I525" s="191"/>
      <c r="J525" s="191"/>
      <c r="K525" s="191"/>
      <c r="L525" s="191"/>
      <c r="M525" s="191"/>
      <c r="N525" s="191"/>
      <c r="O525" s="191"/>
      <c r="P525" s="191"/>
      <c r="Q525" s="191"/>
      <c r="R525" s="191"/>
      <c r="S525" s="191"/>
      <c r="T525" s="191"/>
      <c r="U525" s="191"/>
      <c r="V525" s="191"/>
    </row>
    <row r="526" spans="2:22">
      <c r="B526" s="191"/>
      <c r="C526" s="191"/>
      <c r="D526" s="191"/>
      <c r="E526" s="191"/>
      <c r="F526" s="191"/>
      <c r="G526" s="191"/>
      <c r="H526" s="191"/>
      <c r="I526" s="191"/>
      <c r="J526" s="191"/>
      <c r="K526" s="191"/>
      <c r="L526" s="191"/>
      <c r="M526" s="191"/>
      <c r="N526" s="191"/>
      <c r="O526" s="191"/>
      <c r="P526" s="191"/>
      <c r="Q526" s="191"/>
      <c r="R526" s="191"/>
      <c r="S526" s="191"/>
      <c r="T526" s="191"/>
      <c r="U526" s="191"/>
      <c r="V526" s="191"/>
    </row>
    <row r="527" spans="2:22">
      <c r="B527" s="191"/>
      <c r="C527" s="191"/>
      <c r="D527" s="191"/>
      <c r="E527" s="191"/>
      <c r="F527" s="191"/>
      <c r="G527" s="191"/>
      <c r="H527" s="191"/>
      <c r="I527" s="191"/>
      <c r="J527" s="191"/>
      <c r="K527" s="191"/>
      <c r="L527" s="191"/>
      <c r="M527" s="191"/>
      <c r="N527" s="191"/>
      <c r="O527" s="191"/>
      <c r="P527" s="191"/>
      <c r="Q527" s="191"/>
      <c r="R527" s="191"/>
      <c r="S527" s="191"/>
      <c r="T527" s="191"/>
      <c r="U527" s="191"/>
      <c r="V527" s="191"/>
    </row>
    <row r="528" spans="2:22">
      <c r="B528" s="191"/>
      <c r="C528" s="191"/>
      <c r="D528" s="191"/>
      <c r="E528" s="191"/>
      <c r="F528" s="191"/>
      <c r="G528" s="191"/>
      <c r="H528" s="191"/>
      <c r="I528" s="191"/>
      <c r="J528" s="191"/>
      <c r="K528" s="191"/>
      <c r="L528" s="191"/>
      <c r="M528" s="191"/>
      <c r="N528" s="191"/>
      <c r="O528" s="191"/>
      <c r="P528" s="191"/>
      <c r="Q528" s="191"/>
      <c r="R528" s="191"/>
      <c r="S528" s="191"/>
      <c r="T528" s="191"/>
      <c r="U528" s="191"/>
      <c r="V528" s="191"/>
    </row>
    <row r="529" spans="2:22">
      <c r="B529" s="191"/>
      <c r="C529" s="191"/>
      <c r="D529" s="191"/>
      <c r="E529" s="191"/>
      <c r="F529" s="191"/>
      <c r="G529" s="191"/>
      <c r="H529" s="191"/>
      <c r="I529" s="191"/>
      <c r="J529" s="191"/>
      <c r="K529" s="191"/>
      <c r="L529" s="191"/>
      <c r="M529" s="191"/>
      <c r="N529" s="191"/>
      <c r="O529" s="191"/>
      <c r="P529" s="191"/>
      <c r="Q529" s="191"/>
      <c r="R529" s="191"/>
      <c r="S529" s="191"/>
      <c r="T529" s="191"/>
      <c r="U529" s="191"/>
      <c r="V529" s="191"/>
    </row>
    <row r="530" spans="2:22">
      <c r="B530" s="191"/>
      <c r="C530" s="191"/>
      <c r="D530" s="191"/>
      <c r="E530" s="191"/>
      <c r="F530" s="191"/>
      <c r="G530" s="191"/>
      <c r="H530" s="191"/>
      <c r="I530" s="191"/>
      <c r="J530" s="191"/>
      <c r="K530" s="191"/>
      <c r="L530" s="191"/>
      <c r="M530" s="191"/>
      <c r="N530" s="191"/>
      <c r="O530" s="191"/>
      <c r="P530" s="191"/>
      <c r="Q530" s="191"/>
      <c r="R530" s="191"/>
      <c r="S530" s="191"/>
      <c r="T530" s="191"/>
      <c r="U530" s="191"/>
      <c r="V530" s="191"/>
    </row>
    <row r="531" spans="2:22">
      <c r="B531" s="191"/>
      <c r="C531" s="191"/>
      <c r="D531" s="191"/>
      <c r="E531" s="191"/>
      <c r="F531" s="191"/>
      <c r="G531" s="191"/>
      <c r="H531" s="191"/>
      <c r="I531" s="191"/>
      <c r="J531" s="191"/>
      <c r="K531" s="191"/>
      <c r="L531" s="191"/>
      <c r="M531" s="191"/>
      <c r="N531" s="191"/>
      <c r="O531" s="191"/>
      <c r="P531" s="191"/>
      <c r="Q531" s="191"/>
      <c r="R531" s="191"/>
      <c r="S531" s="191"/>
      <c r="T531" s="191"/>
      <c r="U531" s="191"/>
      <c r="V531" s="191"/>
    </row>
    <row r="532" spans="2:22">
      <c r="B532" s="191"/>
      <c r="C532" s="191"/>
      <c r="D532" s="191"/>
      <c r="E532" s="191"/>
      <c r="F532" s="191"/>
      <c r="G532" s="191"/>
      <c r="H532" s="191"/>
      <c r="I532" s="191"/>
      <c r="J532" s="191"/>
      <c r="K532" s="191"/>
      <c r="L532" s="191"/>
      <c r="M532" s="191"/>
      <c r="N532" s="191"/>
      <c r="O532" s="191"/>
      <c r="P532" s="191"/>
      <c r="Q532" s="191"/>
      <c r="R532" s="191"/>
      <c r="S532" s="191"/>
      <c r="T532" s="191"/>
      <c r="U532" s="191"/>
      <c r="V532" s="191"/>
    </row>
    <row r="533" spans="2:22">
      <c r="B533" s="191"/>
      <c r="C533" s="191"/>
      <c r="D533" s="191"/>
      <c r="E533" s="191"/>
      <c r="F533" s="191"/>
      <c r="G533" s="191"/>
      <c r="H533" s="191"/>
      <c r="I533" s="191"/>
      <c r="J533" s="191"/>
      <c r="K533" s="191"/>
      <c r="L533" s="191"/>
      <c r="M533" s="191"/>
      <c r="N533" s="191"/>
      <c r="O533" s="191"/>
      <c r="P533" s="191"/>
      <c r="Q533" s="191"/>
      <c r="R533" s="191"/>
      <c r="S533" s="191"/>
      <c r="T533" s="191"/>
      <c r="U533" s="191"/>
      <c r="V533" s="191"/>
    </row>
    <row r="534" spans="2:22">
      <c r="B534" s="191"/>
      <c r="C534" s="191"/>
      <c r="D534" s="191"/>
      <c r="E534" s="191"/>
      <c r="F534" s="191"/>
      <c r="G534" s="191"/>
      <c r="H534" s="191"/>
      <c r="I534" s="191"/>
      <c r="J534" s="191"/>
      <c r="K534" s="191"/>
      <c r="L534" s="191"/>
      <c r="M534" s="191"/>
      <c r="N534" s="191"/>
      <c r="O534" s="191"/>
      <c r="P534" s="191"/>
      <c r="Q534" s="191"/>
      <c r="R534" s="191"/>
      <c r="S534" s="191"/>
      <c r="T534" s="191"/>
      <c r="U534" s="191"/>
      <c r="V534" s="191"/>
    </row>
    <row r="535" spans="2:22">
      <c r="B535" s="191"/>
      <c r="C535" s="191"/>
      <c r="D535" s="191"/>
      <c r="E535" s="191"/>
      <c r="F535" s="191"/>
      <c r="G535" s="191"/>
      <c r="H535" s="191"/>
      <c r="I535" s="191"/>
      <c r="J535" s="191"/>
      <c r="K535" s="191"/>
      <c r="L535" s="191"/>
      <c r="M535" s="191"/>
      <c r="N535" s="191"/>
      <c r="O535" s="191"/>
      <c r="P535" s="191"/>
      <c r="Q535" s="191"/>
      <c r="R535" s="191"/>
      <c r="S535" s="191"/>
      <c r="T535" s="191"/>
      <c r="U535" s="191"/>
      <c r="V535" s="191"/>
    </row>
    <row r="536" spans="2:22">
      <c r="B536" s="191"/>
      <c r="C536" s="191"/>
      <c r="D536" s="191"/>
      <c r="E536" s="191"/>
      <c r="F536" s="191"/>
      <c r="G536" s="191"/>
      <c r="H536" s="191"/>
      <c r="I536" s="191"/>
      <c r="J536" s="191"/>
      <c r="K536" s="191"/>
      <c r="L536" s="191"/>
      <c r="M536" s="191"/>
      <c r="N536" s="191"/>
      <c r="O536" s="191"/>
      <c r="P536" s="191"/>
      <c r="Q536" s="191"/>
      <c r="R536" s="191"/>
      <c r="S536" s="191"/>
      <c r="T536" s="191"/>
      <c r="U536" s="191"/>
      <c r="V536" s="191"/>
    </row>
    <row r="537" spans="2:22">
      <c r="B537" s="191"/>
      <c r="C537" s="191"/>
      <c r="D537" s="191"/>
      <c r="E537" s="191"/>
      <c r="F537" s="191"/>
      <c r="G537" s="191"/>
      <c r="H537" s="191"/>
      <c r="I537" s="191"/>
      <c r="J537" s="191"/>
      <c r="K537" s="191"/>
      <c r="L537" s="191"/>
      <c r="M537" s="191"/>
      <c r="N537" s="191"/>
      <c r="O537" s="191"/>
      <c r="P537" s="191"/>
      <c r="Q537" s="191"/>
      <c r="R537" s="191"/>
      <c r="S537" s="191"/>
      <c r="T537" s="191"/>
      <c r="U537" s="191"/>
      <c r="V537" s="191"/>
    </row>
    <row r="538" spans="2:22">
      <c r="B538" s="191"/>
      <c r="C538" s="191"/>
      <c r="D538" s="191"/>
      <c r="E538" s="191"/>
      <c r="F538" s="191"/>
      <c r="G538" s="191"/>
      <c r="H538" s="191"/>
      <c r="I538" s="191"/>
      <c r="J538" s="191"/>
      <c r="K538" s="191"/>
      <c r="L538" s="191"/>
      <c r="M538" s="191"/>
      <c r="N538" s="191"/>
      <c r="O538" s="191"/>
      <c r="P538" s="191"/>
      <c r="Q538" s="191"/>
      <c r="R538" s="191"/>
      <c r="S538" s="191"/>
      <c r="T538" s="191"/>
      <c r="U538" s="191"/>
      <c r="V538" s="191"/>
    </row>
    <row r="539" spans="2:22">
      <c r="B539" s="191"/>
      <c r="C539" s="191"/>
      <c r="D539" s="191"/>
      <c r="E539" s="191"/>
      <c r="F539" s="191"/>
      <c r="G539" s="191"/>
      <c r="H539" s="191"/>
      <c r="I539" s="191"/>
      <c r="J539" s="191"/>
      <c r="K539" s="191"/>
      <c r="L539" s="191"/>
      <c r="M539" s="191"/>
      <c r="N539" s="191"/>
      <c r="O539" s="191"/>
      <c r="P539" s="191"/>
      <c r="Q539" s="191"/>
      <c r="R539" s="191"/>
      <c r="S539" s="191"/>
      <c r="T539" s="191"/>
      <c r="U539" s="191"/>
      <c r="V539" s="191"/>
    </row>
    <row r="540" spans="2:22">
      <c r="B540" s="191"/>
      <c r="C540" s="191"/>
      <c r="D540" s="191"/>
      <c r="E540" s="191"/>
      <c r="F540" s="191"/>
      <c r="G540" s="191"/>
      <c r="H540" s="191"/>
      <c r="I540" s="191"/>
      <c r="J540" s="191"/>
      <c r="K540" s="191"/>
      <c r="L540" s="191"/>
      <c r="M540" s="191"/>
      <c r="N540" s="191"/>
      <c r="O540" s="191"/>
      <c r="P540" s="191"/>
      <c r="Q540" s="191"/>
      <c r="R540" s="191"/>
      <c r="S540" s="191"/>
      <c r="T540" s="191"/>
      <c r="U540" s="191"/>
      <c r="V540" s="191"/>
    </row>
    <row r="541" spans="2:22">
      <c r="B541" s="191"/>
      <c r="C541" s="191"/>
      <c r="D541" s="191"/>
      <c r="E541" s="191"/>
      <c r="F541" s="191"/>
      <c r="G541" s="191"/>
      <c r="H541" s="191"/>
      <c r="I541" s="191"/>
      <c r="J541" s="191"/>
      <c r="K541" s="191"/>
      <c r="L541" s="191"/>
      <c r="M541" s="191"/>
      <c r="N541" s="191"/>
      <c r="O541" s="191"/>
      <c r="P541" s="191"/>
      <c r="Q541" s="191"/>
      <c r="R541" s="191"/>
      <c r="S541" s="191"/>
      <c r="T541" s="191"/>
      <c r="U541" s="191"/>
      <c r="V541" s="191"/>
    </row>
    <row r="542" spans="2:22">
      <c r="B542" s="191"/>
      <c r="C542" s="191"/>
      <c r="D542" s="191"/>
      <c r="E542" s="191"/>
      <c r="F542" s="191"/>
      <c r="G542" s="191"/>
      <c r="H542" s="191"/>
      <c r="I542" s="191"/>
      <c r="J542" s="191"/>
      <c r="K542" s="191"/>
      <c r="L542" s="191"/>
      <c r="M542" s="191"/>
      <c r="N542" s="191"/>
      <c r="O542" s="191"/>
      <c r="P542" s="191"/>
      <c r="Q542" s="191"/>
      <c r="R542" s="191"/>
      <c r="S542" s="191"/>
      <c r="T542" s="191"/>
      <c r="U542" s="191"/>
      <c r="V542" s="191"/>
    </row>
    <row r="543" spans="2:22">
      <c r="B543" s="191"/>
      <c r="C543" s="191"/>
      <c r="D543" s="191"/>
      <c r="E543" s="191"/>
      <c r="F543" s="191"/>
      <c r="G543" s="191"/>
      <c r="H543" s="191"/>
      <c r="I543" s="191"/>
      <c r="J543" s="191"/>
      <c r="K543" s="191"/>
      <c r="L543" s="191"/>
      <c r="M543" s="191"/>
      <c r="N543" s="191"/>
      <c r="O543" s="191"/>
      <c r="P543" s="191"/>
      <c r="Q543" s="191"/>
      <c r="R543" s="191"/>
      <c r="S543" s="191"/>
      <c r="T543" s="191"/>
      <c r="U543" s="191"/>
      <c r="V543" s="191"/>
    </row>
    <row r="544" spans="2:22">
      <c r="B544" s="191"/>
      <c r="C544" s="191"/>
      <c r="D544" s="191"/>
      <c r="E544" s="191"/>
      <c r="F544" s="191"/>
      <c r="G544" s="191"/>
      <c r="H544" s="191"/>
      <c r="I544" s="191"/>
      <c r="J544" s="191"/>
      <c r="K544" s="191"/>
      <c r="L544" s="191"/>
      <c r="M544" s="191"/>
      <c r="N544" s="191"/>
      <c r="O544" s="191"/>
      <c r="P544" s="191"/>
      <c r="Q544" s="191"/>
      <c r="R544" s="191"/>
      <c r="S544" s="191"/>
      <c r="T544" s="191"/>
      <c r="U544" s="191"/>
      <c r="V544" s="191"/>
    </row>
    <row r="545" spans="2:22">
      <c r="B545" s="191"/>
      <c r="C545" s="191"/>
      <c r="D545" s="191"/>
      <c r="E545" s="191"/>
      <c r="F545" s="191"/>
      <c r="G545" s="191"/>
      <c r="H545" s="191"/>
      <c r="I545" s="191"/>
      <c r="J545" s="191"/>
      <c r="K545" s="191"/>
      <c r="L545" s="191"/>
      <c r="M545" s="191"/>
      <c r="N545" s="191"/>
      <c r="O545" s="191"/>
      <c r="P545" s="191"/>
      <c r="Q545" s="191"/>
      <c r="R545" s="191"/>
      <c r="S545" s="191"/>
      <c r="T545" s="191"/>
      <c r="U545" s="191"/>
      <c r="V545" s="191"/>
    </row>
    <row r="546" spans="2:22">
      <c r="B546" s="191"/>
      <c r="C546" s="191"/>
      <c r="D546" s="191"/>
      <c r="E546" s="191"/>
      <c r="F546" s="191"/>
      <c r="G546" s="191"/>
      <c r="H546" s="191"/>
      <c r="I546" s="191"/>
      <c r="J546" s="191"/>
      <c r="K546" s="191"/>
      <c r="L546" s="191"/>
      <c r="M546" s="191"/>
      <c r="N546" s="191"/>
      <c r="O546" s="191"/>
      <c r="P546" s="191"/>
      <c r="Q546" s="191"/>
      <c r="R546" s="191"/>
      <c r="S546" s="191"/>
      <c r="T546" s="191"/>
      <c r="U546" s="191"/>
      <c r="V546" s="191"/>
    </row>
    <row r="547" spans="2:22">
      <c r="B547" s="191"/>
      <c r="C547" s="191"/>
      <c r="D547" s="191"/>
      <c r="E547" s="191"/>
      <c r="F547" s="191"/>
      <c r="G547" s="191"/>
      <c r="H547" s="191"/>
      <c r="I547" s="191"/>
      <c r="J547" s="191"/>
      <c r="K547" s="191"/>
      <c r="L547" s="191"/>
      <c r="M547" s="191"/>
      <c r="N547" s="191"/>
      <c r="O547" s="191"/>
      <c r="P547" s="191"/>
      <c r="Q547" s="191"/>
      <c r="R547" s="191"/>
      <c r="S547" s="191"/>
      <c r="T547" s="191"/>
      <c r="U547" s="191"/>
      <c r="V547" s="191"/>
    </row>
    <row r="548" spans="2:22">
      <c r="B548" s="191"/>
      <c r="C548" s="191"/>
      <c r="D548" s="191"/>
      <c r="E548" s="191"/>
      <c r="F548" s="191"/>
      <c r="G548" s="191"/>
      <c r="H548" s="191"/>
      <c r="I548" s="191"/>
      <c r="J548" s="191"/>
      <c r="K548" s="191"/>
      <c r="L548" s="191"/>
      <c r="M548" s="191"/>
      <c r="N548" s="191"/>
      <c r="O548" s="191"/>
      <c r="P548" s="191"/>
      <c r="Q548" s="191"/>
      <c r="R548" s="191"/>
      <c r="S548" s="191"/>
      <c r="T548" s="191"/>
      <c r="U548" s="191"/>
      <c r="V548" s="191"/>
    </row>
    <row r="549" spans="2:22">
      <c r="B549" s="191"/>
      <c r="C549" s="191"/>
      <c r="D549" s="191"/>
      <c r="E549" s="191"/>
      <c r="F549" s="191"/>
      <c r="G549" s="191"/>
      <c r="H549" s="191"/>
      <c r="I549" s="191"/>
      <c r="J549" s="191"/>
      <c r="K549" s="191"/>
      <c r="L549" s="191"/>
      <c r="M549" s="191"/>
      <c r="N549" s="191"/>
      <c r="O549" s="191"/>
      <c r="P549" s="191"/>
      <c r="Q549" s="191"/>
      <c r="R549" s="191"/>
      <c r="S549" s="191"/>
      <c r="T549" s="191"/>
      <c r="U549" s="191"/>
      <c r="V549" s="191"/>
    </row>
    <row r="550" spans="2:22">
      <c r="B550" s="191"/>
      <c r="C550" s="191"/>
      <c r="D550" s="191"/>
      <c r="E550" s="191"/>
      <c r="F550" s="191"/>
      <c r="G550" s="191"/>
      <c r="H550" s="191"/>
      <c r="I550" s="191"/>
      <c r="J550" s="191"/>
      <c r="K550" s="191"/>
      <c r="L550" s="191"/>
      <c r="M550" s="191"/>
      <c r="N550" s="191"/>
      <c r="O550" s="191"/>
      <c r="P550" s="191"/>
      <c r="Q550" s="191"/>
      <c r="R550" s="191"/>
      <c r="S550" s="191"/>
      <c r="T550" s="191"/>
      <c r="U550" s="191"/>
      <c r="V550" s="191"/>
    </row>
    <row r="551" spans="2:22">
      <c r="B551" s="191"/>
      <c r="C551" s="191"/>
      <c r="D551" s="191"/>
      <c r="E551" s="191"/>
      <c r="F551" s="191"/>
      <c r="G551" s="191"/>
      <c r="H551" s="191"/>
      <c r="I551" s="191"/>
      <c r="J551" s="191"/>
      <c r="K551" s="191"/>
      <c r="L551" s="191"/>
      <c r="M551" s="191"/>
      <c r="N551" s="191"/>
      <c r="O551" s="191"/>
      <c r="P551" s="191"/>
      <c r="Q551" s="191"/>
      <c r="R551" s="191"/>
      <c r="S551" s="191"/>
      <c r="T551" s="191"/>
      <c r="U551" s="191"/>
      <c r="V551" s="191"/>
    </row>
    <row r="552" spans="2:22">
      <c r="B552" s="191"/>
      <c r="C552" s="191"/>
      <c r="D552" s="191"/>
      <c r="E552" s="191"/>
      <c r="F552" s="191"/>
      <c r="G552" s="191"/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1"/>
      <c r="U552" s="191"/>
      <c r="V552" s="191"/>
    </row>
    <row r="553" spans="2:22">
      <c r="B553" s="191"/>
      <c r="C553" s="191"/>
      <c r="D553" s="191"/>
      <c r="E553" s="191"/>
      <c r="F553" s="191"/>
      <c r="G553" s="191"/>
      <c r="H553" s="191"/>
      <c r="I553" s="191"/>
      <c r="J553" s="191"/>
      <c r="K553" s="191"/>
      <c r="L553" s="191"/>
      <c r="M553" s="191"/>
      <c r="N553" s="191"/>
      <c r="O553" s="191"/>
      <c r="P553" s="191"/>
      <c r="Q553" s="191"/>
      <c r="R553" s="191"/>
      <c r="S553" s="191"/>
      <c r="T553" s="191"/>
      <c r="U553" s="191"/>
      <c r="V553" s="191"/>
    </row>
    <row r="554" spans="2:22">
      <c r="B554" s="191"/>
      <c r="C554" s="191"/>
      <c r="D554" s="191"/>
      <c r="E554" s="191"/>
      <c r="F554" s="191"/>
      <c r="G554" s="191"/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1"/>
      <c r="U554" s="191"/>
      <c r="V554" s="191"/>
    </row>
    <row r="555" spans="2:22">
      <c r="B555" s="191"/>
      <c r="C555" s="191"/>
      <c r="D555" s="191"/>
      <c r="E555" s="191"/>
      <c r="F555" s="191"/>
      <c r="G555" s="191"/>
      <c r="H555" s="191"/>
      <c r="I555" s="191"/>
      <c r="J555" s="191"/>
      <c r="K555" s="191"/>
      <c r="L555" s="191"/>
      <c r="M555" s="191"/>
      <c r="N555" s="191"/>
      <c r="O555" s="191"/>
      <c r="P555" s="191"/>
      <c r="Q555" s="191"/>
      <c r="R555" s="191"/>
      <c r="S555" s="191"/>
      <c r="T555" s="191"/>
      <c r="U555" s="191"/>
      <c r="V555" s="191"/>
    </row>
    <row r="556" spans="2:22">
      <c r="B556" s="191"/>
      <c r="C556" s="191"/>
      <c r="D556" s="191"/>
      <c r="E556" s="191"/>
      <c r="F556" s="191"/>
      <c r="G556" s="191"/>
      <c r="H556" s="191"/>
      <c r="I556" s="191"/>
      <c r="J556" s="191"/>
      <c r="K556" s="191"/>
      <c r="L556" s="191"/>
      <c r="M556" s="191"/>
      <c r="N556" s="191"/>
      <c r="O556" s="191"/>
      <c r="P556" s="191"/>
      <c r="Q556" s="191"/>
      <c r="R556" s="191"/>
      <c r="S556" s="191"/>
      <c r="T556" s="191"/>
      <c r="U556" s="191"/>
      <c r="V556" s="191"/>
    </row>
    <row r="557" spans="2:22">
      <c r="B557" s="191"/>
      <c r="C557" s="191"/>
      <c r="D557" s="191"/>
      <c r="E557" s="191"/>
      <c r="F557" s="191"/>
      <c r="G557" s="191"/>
      <c r="H557" s="191"/>
      <c r="I557" s="191"/>
      <c r="J557" s="191"/>
      <c r="K557" s="191"/>
      <c r="L557" s="191"/>
      <c r="M557" s="191"/>
      <c r="N557" s="191"/>
      <c r="O557" s="191"/>
      <c r="P557" s="191"/>
      <c r="Q557" s="191"/>
      <c r="R557" s="191"/>
      <c r="S557" s="191"/>
      <c r="T557" s="191"/>
      <c r="U557" s="191"/>
      <c r="V557" s="191"/>
    </row>
    <row r="558" spans="2:22">
      <c r="B558" s="191"/>
      <c r="C558" s="191"/>
      <c r="D558" s="191"/>
      <c r="E558" s="191"/>
      <c r="F558" s="191"/>
      <c r="G558" s="191"/>
      <c r="H558" s="191"/>
      <c r="I558" s="191"/>
      <c r="J558" s="191"/>
      <c r="K558" s="191"/>
      <c r="L558" s="191"/>
      <c r="M558" s="191"/>
      <c r="N558" s="191"/>
      <c r="O558" s="191"/>
      <c r="P558" s="191"/>
      <c r="Q558" s="191"/>
      <c r="R558" s="191"/>
      <c r="S558" s="191"/>
      <c r="T558" s="191"/>
      <c r="U558" s="191"/>
      <c r="V558" s="191"/>
    </row>
    <row r="559" spans="2:22">
      <c r="B559" s="191"/>
      <c r="C559" s="191"/>
      <c r="D559" s="191"/>
      <c r="E559" s="191"/>
      <c r="F559" s="191"/>
      <c r="G559" s="191"/>
      <c r="H559" s="191"/>
      <c r="I559" s="191"/>
      <c r="J559" s="191"/>
      <c r="K559" s="191"/>
      <c r="L559" s="191"/>
      <c r="M559" s="191"/>
      <c r="N559" s="191"/>
      <c r="O559" s="191"/>
      <c r="P559" s="191"/>
      <c r="Q559" s="191"/>
      <c r="R559" s="191"/>
      <c r="S559" s="191"/>
      <c r="T559" s="191"/>
      <c r="U559" s="191"/>
      <c r="V559" s="191"/>
    </row>
    <row r="560" spans="2:22">
      <c r="B560" s="191"/>
      <c r="C560" s="191"/>
      <c r="D560" s="191"/>
      <c r="E560" s="191"/>
      <c r="F560" s="191"/>
      <c r="G560" s="191"/>
      <c r="H560" s="191"/>
      <c r="I560" s="191"/>
      <c r="J560" s="191"/>
      <c r="K560" s="191"/>
      <c r="L560" s="191"/>
      <c r="M560" s="191"/>
      <c r="N560" s="191"/>
      <c r="O560" s="191"/>
      <c r="P560" s="191"/>
      <c r="Q560" s="191"/>
      <c r="R560" s="191"/>
      <c r="S560" s="191"/>
      <c r="T560" s="191"/>
      <c r="U560" s="191"/>
      <c r="V560" s="191"/>
    </row>
    <row r="561" spans="2:22">
      <c r="B561" s="191"/>
      <c r="C561" s="191"/>
      <c r="D561" s="191"/>
      <c r="E561" s="191"/>
      <c r="F561" s="191"/>
      <c r="G561" s="191"/>
      <c r="H561" s="191"/>
      <c r="I561" s="191"/>
      <c r="J561" s="191"/>
      <c r="K561" s="191"/>
      <c r="L561" s="191"/>
      <c r="M561" s="191"/>
      <c r="N561" s="191"/>
      <c r="O561" s="191"/>
      <c r="P561" s="191"/>
      <c r="Q561" s="191"/>
      <c r="R561" s="191"/>
      <c r="S561" s="191"/>
      <c r="T561" s="191"/>
      <c r="U561" s="191"/>
      <c r="V561" s="191"/>
    </row>
    <row r="562" spans="2:22">
      <c r="B562" s="191"/>
      <c r="C562" s="191"/>
      <c r="D562" s="191"/>
      <c r="E562" s="191"/>
      <c r="F562" s="191"/>
      <c r="G562" s="191"/>
      <c r="H562" s="191"/>
      <c r="I562" s="191"/>
      <c r="J562" s="191"/>
      <c r="K562" s="191"/>
      <c r="L562" s="191"/>
      <c r="M562" s="191"/>
      <c r="N562" s="191"/>
      <c r="O562" s="191"/>
      <c r="P562" s="191"/>
      <c r="Q562" s="191"/>
      <c r="R562" s="191"/>
      <c r="S562" s="191"/>
      <c r="T562" s="191"/>
      <c r="U562" s="191"/>
      <c r="V562" s="191"/>
    </row>
    <row r="563" spans="2:22">
      <c r="B563" s="191"/>
      <c r="C563" s="191"/>
      <c r="D563" s="191"/>
      <c r="E563" s="191"/>
      <c r="F563" s="191"/>
      <c r="G563" s="191"/>
      <c r="H563" s="191"/>
      <c r="I563" s="191"/>
      <c r="J563" s="191"/>
      <c r="K563" s="191"/>
      <c r="L563" s="191"/>
      <c r="M563" s="191"/>
      <c r="N563" s="191"/>
      <c r="O563" s="191"/>
      <c r="P563" s="191"/>
      <c r="Q563" s="191"/>
      <c r="R563" s="191"/>
      <c r="S563" s="191"/>
      <c r="T563" s="191"/>
      <c r="U563" s="191"/>
      <c r="V563" s="191"/>
    </row>
    <row r="564" spans="2:22">
      <c r="B564" s="191"/>
      <c r="C564" s="191"/>
      <c r="D564" s="191"/>
      <c r="E564" s="191"/>
      <c r="F564" s="191"/>
      <c r="G564" s="191"/>
      <c r="H564" s="191"/>
      <c r="I564" s="191"/>
      <c r="J564" s="191"/>
      <c r="K564" s="191"/>
      <c r="L564" s="191"/>
      <c r="M564" s="191"/>
      <c r="N564" s="191"/>
      <c r="O564" s="191"/>
      <c r="P564" s="191"/>
      <c r="Q564" s="191"/>
      <c r="R564" s="191"/>
      <c r="S564" s="191"/>
      <c r="T564" s="191"/>
      <c r="U564" s="191"/>
      <c r="V564" s="191"/>
    </row>
    <row r="565" spans="2:22">
      <c r="B565" s="191"/>
      <c r="C565" s="191"/>
      <c r="D565" s="191"/>
      <c r="E565" s="191"/>
      <c r="F565" s="191"/>
      <c r="G565" s="191"/>
      <c r="H565" s="191"/>
      <c r="I565" s="191"/>
      <c r="J565" s="191"/>
      <c r="K565" s="191"/>
      <c r="L565" s="191"/>
      <c r="M565" s="191"/>
      <c r="N565" s="191"/>
      <c r="O565" s="191"/>
      <c r="P565" s="191"/>
      <c r="Q565" s="191"/>
      <c r="R565" s="191"/>
      <c r="S565" s="191"/>
      <c r="T565" s="191"/>
      <c r="U565" s="191"/>
      <c r="V565" s="191"/>
    </row>
    <row r="566" spans="2:22">
      <c r="B566" s="191"/>
      <c r="C566" s="191"/>
      <c r="D566" s="191"/>
      <c r="E566" s="191"/>
      <c r="F566" s="191"/>
      <c r="G566" s="191"/>
      <c r="H566" s="191"/>
      <c r="I566" s="191"/>
      <c r="J566" s="191"/>
      <c r="K566" s="191"/>
      <c r="L566" s="191"/>
      <c r="M566" s="191"/>
      <c r="N566" s="191"/>
      <c r="O566" s="191"/>
      <c r="P566" s="191"/>
      <c r="Q566" s="191"/>
      <c r="R566" s="191"/>
      <c r="S566" s="191"/>
      <c r="T566" s="191"/>
      <c r="U566" s="191"/>
      <c r="V566" s="191"/>
    </row>
    <row r="567" spans="2:22">
      <c r="B567" s="191"/>
      <c r="C567" s="191"/>
      <c r="D567" s="191"/>
      <c r="E567" s="191"/>
      <c r="F567" s="191"/>
      <c r="G567" s="191"/>
      <c r="H567" s="191"/>
      <c r="I567" s="191"/>
      <c r="J567" s="191"/>
      <c r="K567" s="191"/>
      <c r="L567" s="191"/>
      <c r="M567" s="191"/>
      <c r="N567" s="191"/>
      <c r="O567" s="191"/>
      <c r="P567" s="191"/>
      <c r="Q567" s="191"/>
      <c r="R567" s="191"/>
      <c r="S567" s="191"/>
      <c r="T567" s="191"/>
      <c r="U567" s="191"/>
      <c r="V567" s="191"/>
    </row>
    <row r="568" spans="2:22">
      <c r="B568" s="191"/>
      <c r="C568" s="191"/>
      <c r="D568" s="191"/>
      <c r="E568" s="191"/>
      <c r="F568" s="191"/>
      <c r="G568" s="191"/>
      <c r="H568" s="191"/>
      <c r="I568" s="191"/>
      <c r="J568" s="191"/>
      <c r="K568" s="191"/>
      <c r="L568" s="191"/>
      <c r="M568" s="191"/>
      <c r="N568" s="191"/>
      <c r="O568" s="191"/>
      <c r="P568" s="191"/>
      <c r="Q568" s="191"/>
      <c r="R568" s="191"/>
      <c r="S568" s="191"/>
      <c r="T568" s="191"/>
      <c r="U568" s="191"/>
      <c r="V568" s="191"/>
    </row>
    <row r="569" spans="2:22">
      <c r="B569" s="191"/>
      <c r="C569" s="191"/>
      <c r="D569" s="191"/>
      <c r="E569" s="191"/>
      <c r="F569" s="191"/>
      <c r="G569" s="191"/>
      <c r="H569" s="191"/>
      <c r="I569" s="191"/>
      <c r="J569" s="191"/>
      <c r="K569" s="191"/>
      <c r="L569" s="191"/>
      <c r="M569" s="191"/>
      <c r="N569" s="191"/>
      <c r="O569" s="191"/>
      <c r="P569" s="191"/>
      <c r="Q569" s="191"/>
      <c r="R569" s="191"/>
      <c r="S569" s="191"/>
      <c r="T569" s="191"/>
      <c r="U569" s="191"/>
      <c r="V569" s="191"/>
    </row>
    <row r="570" spans="2:22">
      <c r="B570" s="191"/>
      <c r="C570" s="191"/>
      <c r="D570" s="191"/>
      <c r="E570" s="191"/>
      <c r="F570" s="191"/>
      <c r="G570" s="191"/>
      <c r="H570" s="191"/>
      <c r="I570" s="191"/>
      <c r="J570" s="191"/>
      <c r="K570" s="191"/>
      <c r="L570" s="191"/>
      <c r="M570" s="191"/>
      <c r="N570" s="191"/>
      <c r="O570" s="191"/>
      <c r="P570" s="191"/>
      <c r="Q570" s="191"/>
      <c r="R570" s="191"/>
      <c r="S570" s="191"/>
      <c r="T570" s="191"/>
      <c r="U570" s="191"/>
      <c r="V570" s="191"/>
    </row>
    <row r="571" spans="2:22">
      <c r="B571" s="191"/>
      <c r="C571" s="191"/>
      <c r="D571" s="191"/>
      <c r="E571" s="191"/>
      <c r="F571" s="191"/>
      <c r="G571" s="191"/>
      <c r="H571" s="191"/>
      <c r="I571" s="191"/>
      <c r="J571" s="191"/>
      <c r="K571" s="191"/>
      <c r="L571" s="191"/>
      <c r="M571" s="191"/>
      <c r="N571" s="191"/>
      <c r="O571" s="191"/>
      <c r="P571" s="191"/>
      <c r="Q571" s="191"/>
      <c r="R571" s="191"/>
      <c r="S571" s="191"/>
      <c r="T571" s="191"/>
      <c r="U571" s="191"/>
      <c r="V571" s="191"/>
    </row>
    <row r="572" spans="2:22">
      <c r="B572" s="191"/>
      <c r="C572" s="191"/>
      <c r="D572" s="191"/>
      <c r="E572" s="191"/>
      <c r="F572" s="191"/>
      <c r="G572" s="191"/>
      <c r="H572" s="191"/>
      <c r="I572" s="191"/>
      <c r="J572" s="191"/>
      <c r="K572" s="191"/>
      <c r="L572" s="191"/>
      <c r="M572" s="191"/>
      <c r="N572" s="191"/>
      <c r="O572" s="191"/>
      <c r="P572" s="191"/>
      <c r="Q572" s="191"/>
      <c r="R572" s="191"/>
      <c r="S572" s="191"/>
      <c r="T572" s="191"/>
      <c r="U572" s="191"/>
      <c r="V572" s="191"/>
    </row>
    <row r="573" spans="2:22">
      <c r="B573" s="191"/>
      <c r="C573" s="191"/>
      <c r="D573" s="191"/>
      <c r="E573" s="191"/>
      <c r="F573" s="191"/>
      <c r="G573" s="191"/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</row>
    <row r="574" spans="2:22">
      <c r="B574" s="191"/>
      <c r="C574" s="191"/>
      <c r="D574" s="191"/>
      <c r="E574" s="191"/>
      <c r="F574" s="191"/>
      <c r="G574" s="191"/>
      <c r="H574" s="191"/>
      <c r="I574" s="191"/>
      <c r="J574" s="191"/>
      <c r="K574" s="191"/>
      <c r="L574" s="191"/>
      <c r="M574" s="191"/>
      <c r="N574" s="191"/>
      <c r="O574" s="191"/>
      <c r="P574" s="191"/>
      <c r="Q574" s="191"/>
      <c r="R574" s="191"/>
      <c r="S574" s="191"/>
      <c r="T574" s="191"/>
      <c r="U574" s="191"/>
      <c r="V574" s="191"/>
    </row>
    <row r="575" spans="2:22">
      <c r="B575" s="191"/>
      <c r="C575" s="191"/>
      <c r="D575" s="191"/>
      <c r="E575" s="191"/>
      <c r="F575" s="191"/>
      <c r="G575" s="191"/>
      <c r="H575" s="191"/>
      <c r="I575" s="191"/>
      <c r="J575" s="191"/>
      <c r="K575" s="191"/>
      <c r="L575" s="191"/>
      <c r="M575" s="191"/>
      <c r="N575" s="191"/>
      <c r="O575" s="191"/>
      <c r="P575" s="191"/>
      <c r="Q575" s="191"/>
      <c r="R575" s="191"/>
      <c r="S575" s="191"/>
      <c r="T575" s="191"/>
      <c r="U575" s="191"/>
      <c r="V575" s="191"/>
    </row>
    <row r="576" spans="2:22">
      <c r="B576" s="191"/>
      <c r="C576" s="191"/>
      <c r="D576" s="191"/>
      <c r="E576" s="191"/>
      <c r="F576" s="191"/>
      <c r="G576" s="191"/>
      <c r="H576" s="191"/>
      <c r="I576" s="191"/>
      <c r="J576" s="191"/>
      <c r="K576" s="191"/>
      <c r="L576" s="191"/>
      <c r="M576" s="191"/>
      <c r="N576" s="191"/>
      <c r="O576" s="191"/>
      <c r="P576" s="191"/>
      <c r="Q576" s="191"/>
      <c r="R576" s="191"/>
      <c r="S576" s="191"/>
      <c r="T576" s="191"/>
      <c r="U576" s="191"/>
      <c r="V576" s="191"/>
    </row>
    <row r="577" spans="2:22">
      <c r="B577" s="191"/>
      <c r="C577" s="191"/>
      <c r="D577" s="191"/>
      <c r="E577" s="191"/>
      <c r="F577" s="191"/>
      <c r="G577" s="191"/>
      <c r="H577" s="191"/>
      <c r="I577" s="191"/>
      <c r="J577" s="191"/>
      <c r="K577" s="191"/>
      <c r="L577" s="191"/>
      <c r="M577" s="191"/>
      <c r="N577" s="191"/>
      <c r="O577" s="191"/>
      <c r="P577" s="191"/>
      <c r="Q577" s="191"/>
      <c r="R577" s="191"/>
      <c r="S577" s="191"/>
      <c r="T577" s="191"/>
      <c r="U577" s="191"/>
      <c r="V577" s="191"/>
    </row>
    <row r="578" spans="2:22">
      <c r="B578" s="191"/>
      <c r="C578" s="191"/>
      <c r="D578" s="191"/>
      <c r="E578" s="191"/>
      <c r="F578" s="191"/>
      <c r="G578" s="191"/>
      <c r="H578" s="191"/>
      <c r="I578" s="191"/>
      <c r="J578" s="191"/>
      <c r="K578" s="191"/>
      <c r="L578" s="191"/>
      <c r="M578" s="191"/>
      <c r="N578" s="191"/>
      <c r="O578" s="191"/>
      <c r="P578" s="191"/>
      <c r="Q578" s="191"/>
      <c r="R578" s="191"/>
      <c r="S578" s="191"/>
      <c r="T578" s="191"/>
      <c r="U578" s="191"/>
      <c r="V578" s="191"/>
    </row>
    <row r="579" spans="2:22">
      <c r="B579" s="191"/>
      <c r="C579" s="191"/>
      <c r="D579" s="191"/>
      <c r="E579" s="191"/>
      <c r="F579" s="191"/>
      <c r="G579" s="191"/>
      <c r="H579" s="191"/>
      <c r="I579" s="191"/>
      <c r="J579" s="191"/>
      <c r="K579" s="191"/>
      <c r="L579" s="191"/>
      <c r="M579" s="191"/>
      <c r="N579" s="191"/>
      <c r="O579" s="191"/>
      <c r="P579" s="191"/>
      <c r="Q579" s="191"/>
      <c r="R579" s="191"/>
      <c r="S579" s="191"/>
      <c r="T579" s="191"/>
      <c r="U579" s="191"/>
      <c r="V579" s="191"/>
    </row>
    <row r="580" spans="2:22">
      <c r="B580" s="191"/>
      <c r="C580" s="191"/>
      <c r="D580" s="191"/>
      <c r="E580" s="191"/>
      <c r="F580" s="191"/>
      <c r="G580" s="191"/>
      <c r="H580" s="191"/>
      <c r="I580" s="191"/>
      <c r="J580" s="191"/>
      <c r="K580" s="191"/>
      <c r="L580" s="191"/>
      <c r="M580" s="191"/>
      <c r="N580" s="191"/>
      <c r="O580" s="191"/>
      <c r="P580" s="191"/>
      <c r="Q580" s="191"/>
      <c r="R580" s="191"/>
      <c r="S580" s="191"/>
      <c r="T580" s="191"/>
      <c r="U580" s="191"/>
      <c r="V580" s="191"/>
    </row>
    <row r="581" spans="2:22">
      <c r="B581" s="191"/>
      <c r="C581" s="191"/>
      <c r="D581" s="191"/>
      <c r="E581" s="191"/>
      <c r="F581" s="191"/>
      <c r="G581" s="191"/>
      <c r="H581" s="191"/>
      <c r="I581" s="191"/>
      <c r="J581" s="191"/>
      <c r="K581" s="191"/>
      <c r="L581" s="191"/>
      <c r="M581" s="191"/>
      <c r="N581" s="191"/>
      <c r="O581" s="191"/>
      <c r="P581" s="191"/>
      <c r="Q581" s="191"/>
      <c r="R581" s="191"/>
      <c r="S581" s="191"/>
      <c r="T581" s="191"/>
      <c r="U581" s="191"/>
      <c r="V581" s="191"/>
    </row>
    <row r="582" spans="2:22">
      <c r="B582" s="191"/>
      <c r="C582" s="191"/>
      <c r="D582" s="191"/>
      <c r="E582" s="191"/>
      <c r="F582" s="191"/>
      <c r="G582" s="191"/>
      <c r="H582" s="191"/>
      <c r="I582" s="191"/>
      <c r="J582" s="191"/>
      <c r="K582" s="191"/>
      <c r="L582" s="191"/>
      <c r="M582" s="191"/>
      <c r="N582" s="191"/>
      <c r="O582" s="191"/>
      <c r="P582" s="191"/>
      <c r="Q582" s="191"/>
      <c r="R582" s="191"/>
      <c r="S582" s="191"/>
      <c r="T582" s="191"/>
      <c r="U582" s="191"/>
      <c r="V582" s="191"/>
    </row>
    <row r="583" spans="2:22">
      <c r="B583" s="191"/>
      <c r="C583" s="191"/>
      <c r="D583" s="191"/>
      <c r="E583" s="191"/>
      <c r="F583" s="191"/>
      <c r="G583" s="191"/>
      <c r="H583" s="191"/>
      <c r="I583" s="191"/>
      <c r="J583" s="191"/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</row>
    <row r="584" spans="2:22">
      <c r="B584" s="191"/>
      <c r="C584" s="191"/>
      <c r="D584" s="191"/>
      <c r="E584" s="191"/>
      <c r="F584" s="191"/>
      <c r="G584" s="191"/>
      <c r="H584" s="191"/>
      <c r="I584" s="191"/>
      <c r="J584" s="191"/>
      <c r="K584" s="191"/>
      <c r="L584" s="191"/>
      <c r="M584" s="191"/>
      <c r="N584" s="191"/>
      <c r="O584" s="191"/>
      <c r="P584" s="191"/>
      <c r="Q584" s="191"/>
      <c r="R584" s="191"/>
      <c r="S584" s="191"/>
      <c r="T584" s="191"/>
      <c r="U584" s="191"/>
      <c r="V584" s="191"/>
    </row>
    <row r="585" spans="2:22">
      <c r="B585" s="191"/>
      <c r="C585" s="191"/>
      <c r="D585" s="191"/>
      <c r="E585" s="191"/>
      <c r="F585" s="191"/>
      <c r="G585" s="191"/>
      <c r="H585" s="191"/>
      <c r="I585" s="191"/>
      <c r="J585" s="191"/>
      <c r="K585" s="191"/>
      <c r="L585" s="191"/>
      <c r="M585" s="191"/>
      <c r="N585" s="191"/>
      <c r="O585" s="191"/>
      <c r="P585" s="191"/>
      <c r="Q585" s="191"/>
      <c r="R585" s="191"/>
      <c r="S585" s="191"/>
      <c r="T585" s="191"/>
      <c r="U585" s="191"/>
      <c r="V585" s="191"/>
    </row>
    <row r="586" spans="2:22">
      <c r="B586" s="191"/>
      <c r="C586" s="191"/>
      <c r="D586" s="191"/>
      <c r="E586" s="191"/>
      <c r="F586" s="191"/>
      <c r="G586" s="191"/>
      <c r="H586" s="191"/>
      <c r="I586" s="191"/>
      <c r="J586" s="191"/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</row>
    <row r="587" spans="2:22">
      <c r="B587" s="191"/>
      <c r="C587" s="191"/>
      <c r="D587" s="191"/>
      <c r="E587" s="191"/>
      <c r="F587" s="191"/>
      <c r="G587" s="191"/>
      <c r="H587" s="191"/>
      <c r="I587" s="191"/>
      <c r="J587" s="191"/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</row>
    <row r="588" spans="2:22">
      <c r="B588" s="191"/>
      <c r="C588" s="191"/>
      <c r="D588" s="191"/>
      <c r="E588" s="191"/>
      <c r="F588" s="191"/>
      <c r="G588" s="191"/>
      <c r="H588" s="191"/>
      <c r="I588" s="191"/>
      <c r="J588" s="191"/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</row>
    <row r="589" spans="2:22">
      <c r="B589" s="191"/>
      <c r="C589" s="191"/>
      <c r="D589" s="191"/>
      <c r="E589" s="191"/>
      <c r="F589" s="191"/>
      <c r="G589" s="191"/>
      <c r="H589" s="191"/>
      <c r="I589" s="191"/>
      <c r="J589" s="191"/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</row>
    <row r="590" spans="2:22">
      <c r="B590" s="191"/>
      <c r="C590" s="191"/>
      <c r="D590" s="191"/>
      <c r="E590" s="191"/>
      <c r="F590" s="191"/>
      <c r="G590" s="191"/>
      <c r="H590" s="191"/>
      <c r="I590" s="191"/>
      <c r="J590" s="191"/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</row>
    <row r="591" spans="2:22">
      <c r="B591" s="191"/>
      <c r="C591" s="191"/>
      <c r="D591" s="191"/>
      <c r="E591" s="191"/>
      <c r="F591" s="191"/>
      <c r="G591" s="191"/>
      <c r="H591" s="191"/>
      <c r="I591" s="191"/>
      <c r="J591" s="191"/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</row>
    <row r="592" spans="2:22">
      <c r="B592" s="191"/>
      <c r="C592" s="191"/>
      <c r="D592" s="191"/>
      <c r="E592" s="191"/>
      <c r="F592" s="191"/>
      <c r="G592" s="191"/>
      <c r="H592" s="191"/>
      <c r="I592" s="191"/>
      <c r="J592" s="191"/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</row>
    <row r="593" spans="2:22">
      <c r="B593" s="191"/>
      <c r="C593" s="191"/>
      <c r="D593" s="191"/>
      <c r="E593" s="191"/>
      <c r="F593" s="191"/>
      <c r="G593" s="191"/>
      <c r="H593" s="191"/>
      <c r="I593" s="191"/>
      <c r="J593" s="191"/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</row>
    <row r="594" spans="2:22">
      <c r="B594" s="191"/>
      <c r="C594" s="191"/>
      <c r="D594" s="191"/>
      <c r="E594" s="191"/>
      <c r="F594" s="191"/>
      <c r="G594" s="191"/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</row>
    <row r="595" spans="2:22">
      <c r="B595" s="191"/>
      <c r="C595" s="191"/>
      <c r="D595" s="191"/>
      <c r="E595" s="191"/>
      <c r="F595" s="191"/>
      <c r="G595" s="191"/>
      <c r="H595" s="191"/>
      <c r="I595" s="191"/>
      <c r="J595" s="191"/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</row>
    <row r="596" spans="2:22">
      <c r="B596" s="191"/>
      <c r="C596" s="191"/>
      <c r="D596" s="191"/>
      <c r="E596" s="191"/>
      <c r="F596" s="191"/>
      <c r="G596" s="191"/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</row>
    <row r="597" spans="2:22">
      <c r="B597" s="191"/>
      <c r="C597" s="191"/>
      <c r="D597" s="191"/>
      <c r="E597" s="191"/>
      <c r="F597" s="191"/>
      <c r="G597" s="191"/>
      <c r="H597" s="191"/>
      <c r="I597" s="191"/>
      <c r="J597" s="191"/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</row>
    <row r="598" spans="2:22">
      <c r="B598" s="191"/>
      <c r="C598" s="191"/>
      <c r="D598" s="191"/>
      <c r="E598" s="191"/>
      <c r="F598" s="191"/>
      <c r="G598" s="191"/>
      <c r="H598" s="191"/>
      <c r="I598" s="191"/>
      <c r="J598" s="191"/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</row>
    <row r="599" spans="2:22">
      <c r="B599" s="191"/>
      <c r="C599" s="191"/>
      <c r="D599" s="191"/>
      <c r="E599" s="191"/>
      <c r="F599" s="191"/>
      <c r="G599" s="191"/>
      <c r="H599" s="191"/>
      <c r="I599" s="191"/>
      <c r="J599" s="191"/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</row>
    <row r="600" spans="2:22">
      <c r="B600" s="191"/>
      <c r="C600" s="191"/>
      <c r="D600" s="191"/>
      <c r="E600" s="191"/>
      <c r="F600" s="191"/>
      <c r="G600" s="191"/>
      <c r="H600" s="191"/>
      <c r="I600" s="191"/>
      <c r="J600" s="191"/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</row>
    <row r="601" spans="2:22">
      <c r="B601" s="191"/>
      <c r="C601" s="191"/>
      <c r="D601" s="191"/>
      <c r="E601" s="191"/>
      <c r="F601" s="191"/>
      <c r="G601" s="191"/>
      <c r="H601" s="191"/>
      <c r="I601" s="191"/>
      <c r="J601" s="191"/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</row>
    <row r="602" spans="2:22">
      <c r="B602" s="191"/>
      <c r="C602" s="191"/>
      <c r="D602" s="191"/>
      <c r="E602" s="191"/>
      <c r="F602" s="191"/>
      <c r="G602" s="191"/>
      <c r="H602" s="191"/>
      <c r="I602" s="191"/>
      <c r="J602" s="191"/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</row>
    <row r="603" spans="2:22">
      <c r="B603" s="191"/>
      <c r="C603" s="191"/>
      <c r="D603" s="191"/>
      <c r="E603" s="191"/>
      <c r="F603" s="191"/>
      <c r="G603" s="191"/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</row>
    <row r="604" spans="2:22">
      <c r="B604" s="191"/>
      <c r="C604" s="191"/>
      <c r="D604" s="191"/>
      <c r="E604" s="191"/>
      <c r="F604" s="191"/>
      <c r="G604" s="191"/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</row>
    <row r="605" spans="2:22">
      <c r="B605" s="191"/>
      <c r="C605" s="191"/>
      <c r="D605" s="191"/>
      <c r="E605" s="191"/>
      <c r="F605" s="191"/>
      <c r="G605" s="191"/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</row>
    <row r="606" spans="2:22">
      <c r="B606" s="191"/>
      <c r="C606" s="191"/>
      <c r="D606" s="191"/>
      <c r="E606" s="191"/>
      <c r="F606" s="191"/>
      <c r="G606" s="191"/>
      <c r="H606" s="191"/>
      <c r="I606" s="191"/>
      <c r="J606" s="191"/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</row>
    <row r="607" spans="2:22">
      <c r="B607" s="191"/>
      <c r="C607" s="191"/>
      <c r="D607" s="191"/>
      <c r="E607" s="191"/>
      <c r="F607" s="191"/>
      <c r="G607" s="191"/>
      <c r="H607" s="191"/>
      <c r="I607" s="191"/>
      <c r="J607" s="191"/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</row>
    <row r="608" spans="2:22">
      <c r="B608" s="191"/>
      <c r="C608" s="191"/>
      <c r="D608" s="191"/>
      <c r="E608" s="191"/>
      <c r="F608" s="191"/>
      <c r="G608" s="191"/>
      <c r="H608" s="191"/>
      <c r="I608" s="191"/>
      <c r="J608" s="191"/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</row>
    <row r="609" spans="2:22">
      <c r="B609" s="191"/>
      <c r="C609" s="191"/>
      <c r="D609" s="191"/>
      <c r="E609" s="191"/>
      <c r="F609" s="191"/>
      <c r="G609" s="191"/>
      <c r="H609" s="191"/>
      <c r="I609" s="191"/>
      <c r="J609" s="191"/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</row>
    <row r="610" spans="2:22">
      <c r="B610" s="191"/>
      <c r="C610" s="191"/>
      <c r="D610" s="191"/>
      <c r="E610" s="191"/>
      <c r="F610" s="191"/>
      <c r="G610" s="191"/>
      <c r="H610" s="191"/>
      <c r="I610" s="191"/>
      <c r="J610" s="191"/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</row>
    <row r="611" spans="2:22">
      <c r="B611" s="191"/>
      <c r="C611" s="191"/>
      <c r="D611" s="191"/>
      <c r="E611" s="191"/>
      <c r="F611" s="191"/>
      <c r="G611" s="191"/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</row>
    <row r="612" spans="2:22">
      <c r="B612" s="191"/>
      <c r="C612" s="191"/>
      <c r="D612" s="191"/>
      <c r="E612" s="191"/>
      <c r="F612" s="191"/>
      <c r="G612" s="191"/>
      <c r="H612" s="191"/>
      <c r="I612" s="191"/>
      <c r="J612" s="191"/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</row>
    <row r="613" spans="2:22">
      <c r="B613" s="191"/>
      <c r="C613" s="191"/>
      <c r="D613" s="191"/>
      <c r="E613" s="191"/>
      <c r="F613" s="191"/>
      <c r="G613" s="191"/>
      <c r="H613" s="191"/>
      <c r="I613" s="191"/>
      <c r="J613" s="191"/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</row>
    <row r="614" spans="2:22">
      <c r="B614" s="191"/>
      <c r="C614" s="191"/>
      <c r="D614" s="191"/>
      <c r="E614" s="191"/>
      <c r="F614" s="191"/>
      <c r="G614" s="191"/>
      <c r="H614" s="191"/>
      <c r="I614" s="191"/>
      <c r="J614" s="191"/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</row>
    <row r="615" spans="2:22">
      <c r="B615" s="191"/>
      <c r="C615" s="191"/>
      <c r="D615" s="191"/>
      <c r="E615" s="191"/>
      <c r="F615" s="191"/>
      <c r="G615" s="191"/>
      <c r="H615" s="191"/>
      <c r="I615" s="191"/>
      <c r="J615" s="191"/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</row>
    <row r="616" spans="2:22">
      <c r="B616" s="191"/>
      <c r="C616" s="191"/>
      <c r="D616" s="191"/>
      <c r="E616" s="191"/>
      <c r="F616" s="191"/>
      <c r="G616" s="191"/>
      <c r="H616" s="191"/>
      <c r="I616" s="191"/>
      <c r="J616" s="191"/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</row>
    <row r="617" spans="2:22">
      <c r="B617" s="191"/>
      <c r="C617" s="191"/>
      <c r="D617" s="191"/>
      <c r="E617" s="191"/>
      <c r="F617" s="191"/>
      <c r="G617" s="191"/>
      <c r="H617" s="191"/>
      <c r="I617" s="191"/>
      <c r="J617" s="191"/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</row>
    <row r="618" spans="2:22">
      <c r="B618" s="191"/>
      <c r="C618" s="191"/>
      <c r="D618" s="191"/>
      <c r="E618" s="191"/>
      <c r="F618" s="191"/>
      <c r="G618" s="191"/>
      <c r="H618" s="191"/>
      <c r="I618" s="191"/>
      <c r="J618" s="191"/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</row>
    <row r="619" spans="2:22">
      <c r="B619" s="191"/>
      <c r="C619" s="191"/>
      <c r="D619" s="191"/>
      <c r="E619" s="191"/>
      <c r="F619" s="191"/>
      <c r="G619" s="191"/>
      <c r="H619" s="191"/>
      <c r="I619" s="191"/>
      <c r="J619" s="191"/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</row>
    <row r="620" spans="2:22">
      <c r="B620" s="191"/>
      <c r="C620" s="191"/>
      <c r="D620" s="191"/>
      <c r="E620" s="191"/>
      <c r="F620" s="191"/>
      <c r="G620" s="191"/>
      <c r="H620" s="191"/>
      <c r="I620" s="191"/>
      <c r="J620" s="191"/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</row>
    <row r="621" spans="2:22">
      <c r="B621" s="191"/>
      <c r="C621" s="191"/>
      <c r="D621" s="191"/>
      <c r="E621" s="191"/>
      <c r="F621" s="191"/>
      <c r="G621" s="191"/>
      <c r="H621" s="191"/>
      <c r="I621" s="191"/>
      <c r="J621" s="191"/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</row>
    <row r="622" spans="2:22">
      <c r="B622" s="191"/>
      <c r="C622" s="191"/>
      <c r="D622" s="191"/>
      <c r="E622" s="191"/>
      <c r="F622" s="191"/>
      <c r="G622" s="191"/>
      <c r="H622" s="191"/>
      <c r="I622" s="191"/>
      <c r="J622" s="191"/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</row>
    <row r="623" spans="2:22">
      <c r="B623" s="191"/>
      <c r="C623" s="191"/>
      <c r="D623" s="191"/>
      <c r="E623" s="191"/>
      <c r="F623" s="191"/>
      <c r="G623" s="191"/>
      <c r="H623" s="191"/>
      <c r="I623" s="191"/>
      <c r="J623" s="191"/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</row>
    <row r="624" spans="2:22">
      <c r="B624" s="191"/>
      <c r="C624" s="191"/>
      <c r="D624" s="191"/>
      <c r="E624" s="191"/>
      <c r="F624" s="191"/>
      <c r="G624" s="191"/>
      <c r="H624" s="191"/>
      <c r="I624" s="191"/>
      <c r="J624" s="191"/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</row>
    <row r="625" spans="2:22">
      <c r="B625" s="191"/>
      <c r="C625" s="191"/>
      <c r="D625" s="191"/>
      <c r="E625" s="191"/>
      <c r="F625" s="191"/>
      <c r="G625" s="191"/>
      <c r="H625" s="191"/>
      <c r="I625" s="191"/>
      <c r="J625" s="191"/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</row>
    <row r="626" spans="2:22">
      <c r="B626" s="191"/>
      <c r="C626" s="191"/>
      <c r="D626" s="191"/>
      <c r="E626" s="191"/>
      <c r="F626" s="191"/>
      <c r="G626" s="191"/>
      <c r="H626" s="191"/>
      <c r="I626" s="191"/>
      <c r="J626" s="191"/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</row>
    <row r="627" spans="2:22">
      <c r="B627" s="191"/>
      <c r="C627" s="191"/>
      <c r="D627" s="191"/>
      <c r="E627" s="191"/>
      <c r="F627" s="191"/>
      <c r="G627" s="191"/>
      <c r="H627" s="191"/>
      <c r="I627" s="191"/>
      <c r="J627" s="191"/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</row>
    <row r="628" spans="2:22">
      <c r="B628" s="191"/>
      <c r="C628" s="191"/>
      <c r="D628" s="191"/>
      <c r="E628" s="191"/>
      <c r="F628" s="191"/>
      <c r="G628" s="191"/>
      <c r="H628" s="191"/>
      <c r="I628" s="191"/>
      <c r="J628" s="191"/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</row>
    <row r="629" spans="2:22">
      <c r="B629" s="191"/>
      <c r="C629" s="191"/>
      <c r="D629" s="191"/>
      <c r="E629" s="191"/>
      <c r="F629" s="191"/>
      <c r="G629" s="191"/>
      <c r="H629" s="191"/>
      <c r="I629" s="191"/>
      <c r="J629" s="191"/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</row>
    <row r="630" spans="2:22">
      <c r="B630" s="191"/>
      <c r="C630" s="191"/>
      <c r="D630" s="191"/>
      <c r="E630" s="191"/>
      <c r="F630" s="191"/>
      <c r="G630" s="191"/>
      <c r="H630" s="191"/>
      <c r="I630" s="191"/>
      <c r="J630" s="191"/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</row>
    <row r="631" spans="2:22">
      <c r="B631" s="191"/>
      <c r="C631" s="191"/>
      <c r="D631" s="191"/>
      <c r="E631" s="191"/>
      <c r="F631" s="191"/>
      <c r="G631" s="191"/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</row>
    <row r="632" spans="2:22">
      <c r="B632" s="191"/>
      <c r="C632" s="191"/>
      <c r="D632" s="191"/>
      <c r="E632" s="191"/>
      <c r="F632" s="191"/>
      <c r="G632" s="191"/>
      <c r="H632" s="191"/>
      <c r="I632" s="191"/>
      <c r="J632" s="191"/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</row>
    <row r="633" spans="2:22">
      <c r="B633" s="191"/>
      <c r="C633" s="191"/>
      <c r="D633" s="191"/>
      <c r="E633" s="191"/>
      <c r="F633" s="191"/>
      <c r="G633" s="191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</row>
    <row r="634" spans="2:22">
      <c r="B634" s="191"/>
      <c r="C634" s="191"/>
      <c r="D634" s="191"/>
      <c r="E634" s="191"/>
      <c r="F634" s="191"/>
      <c r="G634" s="191"/>
      <c r="H634" s="191"/>
      <c r="I634" s="191"/>
      <c r="J634" s="191"/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</row>
    <row r="635" spans="2:22">
      <c r="B635" s="191"/>
      <c r="C635" s="191"/>
      <c r="D635" s="191"/>
      <c r="E635" s="191"/>
      <c r="F635" s="191"/>
      <c r="G635" s="191"/>
      <c r="H635" s="191"/>
      <c r="I635" s="191"/>
      <c r="J635" s="191"/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</row>
    <row r="636" spans="2:22">
      <c r="B636" s="191"/>
      <c r="C636" s="191"/>
      <c r="D636" s="191"/>
      <c r="E636" s="191"/>
      <c r="F636" s="191"/>
      <c r="G636" s="191"/>
      <c r="H636" s="191"/>
      <c r="I636" s="191"/>
      <c r="J636" s="191"/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</row>
    <row r="637" spans="2:22">
      <c r="B637" s="191"/>
      <c r="C637" s="191"/>
      <c r="D637" s="191"/>
      <c r="E637" s="191"/>
      <c r="F637" s="191"/>
      <c r="G637" s="191"/>
      <c r="H637" s="191"/>
      <c r="I637" s="191"/>
      <c r="J637" s="191"/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</row>
    <row r="638" spans="2:22">
      <c r="B638" s="191"/>
      <c r="C638" s="191"/>
      <c r="D638" s="191"/>
      <c r="E638" s="191"/>
      <c r="F638" s="191"/>
      <c r="G638" s="191"/>
      <c r="H638" s="191"/>
      <c r="I638" s="191"/>
      <c r="J638" s="191"/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</row>
    <row r="639" spans="2:22">
      <c r="B639" s="191"/>
      <c r="C639" s="191"/>
      <c r="D639" s="191"/>
      <c r="E639" s="191"/>
      <c r="F639" s="191"/>
      <c r="G639" s="191"/>
      <c r="H639" s="191"/>
      <c r="I639" s="191"/>
      <c r="J639" s="191"/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</row>
    <row r="640" spans="2:22">
      <c r="B640" s="191"/>
      <c r="C640" s="191"/>
      <c r="D640" s="191"/>
      <c r="E640" s="191"/>
      <c r="F640" s="191"/>
      <c r="G640" s="191"/>
      <c r="H640" s="191"/>
      <c r="I640" s="191"/>
      <c r="J640" s="191"/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</row>
    <row r="641" spans="2:22">
      <c r="B641" s="191"/>
      <c r="C641" s="191"/>
      <c r="D641" s="191"/>
      <c r="E641" s="191"/>
      <c r="F641" s="191"/>
      <c r="G641" s="191"/>
      <c r="H641" s="191"/>
      <c r="I641" s="191"/>
      <c r="J641" s="191"/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</row>
    <row r="642" spans="2:22">
      <c r="B642" s="191"/>
      <c r="C642" s="191"/>
      <c r="D642" s="191"/>
      <c r="E642" s="191"/>
      <c r="F642" s="191"/>
      <c r="G642" s="191"/>
      <c r="H642" s="191"/>
      <c r="I642" s="191"/>
      <c r="J642" s="191"/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</row>
    <row r="643" spans="2:22">
      <c r="B643" s="191"/>
      <c r="C643" s="191"/>
      <c r="D643" s="191"/>
      <c r="E643" s="191"/>
      <c r="F643" s="191"/>
      <c r="G643" s="191"/>
      <c r="H643" s="191"/>
      <c r="I643" s="191"/>
      <c r="J643" s="191"/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</row>
    <row r="644" spans="2:22">
      <c r="B644" s="191"/>
      <c r="C644" s="191"/>
      <c r="D644" s="191"/>
      <c r="E644" s="191"/>
      <c r="F644" s="191"/>
      <c r="G644" s="191"/>
      <c r="H644" s="191"/>
      <c r="I644" s="191"/>
      <c r="J644" s="191"/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</row>
    <row r="645" spans="2:22">
      <c r="B645" s="191"/>
      <c r="C645" s="191"/>
      <c r="D645" s="191"/>
      <c r="E645" s="191"/>
      <c r="F645" s="191"/>
      <c r="G645" s="191"/>
      <c r="H645" s="191"/>
      <c r="I645" s="191"/>
      <c r="J645" s="191"/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</row>
    <row r="646" spans="2:22">
      <c r="B646" s="191"/>
      <c r="C646" s="191"/>
      <c r="D646" s="191"/>
      <c r="E646" s="191"/>
      <c r="F646" s="191"/>
      <c r="G646" s="191"/>
      <c r="H646" s="191"/>
      <c r="I646" s="191"/>
      <c r="J646" s="191"/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</row>
    <row r="647" spans="2:22">
      <c r="B647" s="191"/>
      <c r="C647" s="191"/>
      <c r="D647" s="191"/>
      <c r="E647" s="191"/>
      <c r="F647" s="191"/>
      <c r="G647" s="191"/>
      <c r="H647" s="191"/>
      <c r="I647" s="191"/>
      <c r="J647" s="191"/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</row>
    <row r="648" spans="2:22">
      <c r="B648" s="191"/>
      <c r="C648" s="191"/>
      <c r="D648" s="191"/>
      <c r="E648" s="191"/>
      <c r="F648" s="191"/>
      <c r="G648" s="191"/>
      <c r="H648" s="191"/>
      <c r="I648" s="191"/>
      <c r="J648" s="191"/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</row>
    <row r="649" spans="2:22">
      <c r="B649" s="191"/>
      <c r="C649" s="191"/>
      <c r="D649" s="191"/>
      <c r="E649" s="191"/>
      <c r="F649" s="191"/>
      <c r="G649" s="191"/>
      <c r="H649" s="191"/>
      <c r="I649" s="191"/>
      <c r="J649" s="191"/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</row>
    <row r="650" spans="2:22">
      <c r="B650" s="191"/>
      <c r="C650" s="191"/>
      <c r="D650" s="191"/>
      <c r="E650" s="191"/>
      <c r="F650" s="191"/>
      <c r="G650" s="191"/>
      <c r="H650" s="191"/>
      <c r="I650" s="191"/>
      <c r="J650" s="191"/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</row>
    <row r="651" spans="2:22">
      <c r="B651" s="191"/>
      <c r="C651" s="191"/>
      <c r="D651" s="191"/>
      <c r="E651" s="191"/>
      <c r="F651" s="191"/>
      <c r="G651" s="191"/>
      <c r="H651" s="191"/>
      <c r="I651" s="191"/>
      <c r="J651" s="191"/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</row>
    <row r="652" spans="2:22">
      <c r="B652" s="191"/>
      <c r="C652" s="191"/>
      <c r="D652" s="191"/>
      <c r="E652" s="191"/>
      <c r="F652" s="191"/>
      <c r="G652" s="191"/>
      <c r="H652" s="191"/>
      <c r="I652" s="191"/>
      <c r="J652" s="191"/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</row>
    <row r="653" spans="2:22">
      <c r="B653" s="191"/>
      <c r="C653" s="191"/>
      <c r="D653" s="191"/>
      <c r="E653" s="191"/>
      <c r="F653" s="191"/>
      <c r="G653" s="191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</row>
    <row r="654" spans="2:22">
      <c r="B654" s="191"/>
      <c r="C654" s="191"/>
      <c r="D654" s="191"/>
      <c r="E654" s="191"/>
      <c r="F654" s="191"/>
      <c r="G654" s="191"/>
      <c r="H654" s="191"/>
      <c r="I654" s="191"/>
      <c r="J654" s="191"/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</row>
    <row r="655" spans="2:22">
      <c r="B655" s="191"/>
      <c r="C655" s="191"/>
      <c r="D655" s="191"/>
      <c r="E655" s="191"/>
      <c r="F655" s="191"/>
      <c r="G655" s="191"/>
      <c r="H655" s="191"/>
      <c r="I655" s="191"/>
      <c r="J655" s="191"/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</row>
    <row r="656" spans="2:22">
      <c r="B656" s="191"/>
      <c r="C656" s="191"/>
      <c r="D656" s="191"/>
      <c r="E656" s="191"/>
      <c r="F656" s="191"/>
      <c r="G656" s="191"/>
      <c r="H656" s="191"/>
      <c r="I656" s="191"/>
      <c r="J656" s="191"/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</row>
    <row r="657" spans="2:22">
      <c r="B657" s="191"/>
      <c r="C657" s="191"/>
      <c r="D657" s="191"/>
      <c r="E657" s="191"/>
      <c r="F657" s="191"/>
      <c r="G657" s="191"/>
      <c r="H657" s="191"/>
      <c r="I657" s="191"/>
      <c r="J657" s="191"/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</row>
    <row r="658" spans="2:22">
      <c r="B658" s="191"/>
      <c r="C658" s="191"/>
      <c r="D658" s="191"/>
      <c r="E658" s="191"/>
      <c r="F658" s="191"/>
      <c r="G658" s="191"/>
      <c r="H658" s="191"/>
      <c r="I658" s="191"/>
      <c r="J658" s="191"/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</row>
    <row r="659" spans="2:22">
      <c r="B659" s="191"/>
      <c r="C659" s="191"/>
      <c r="D659" s="191"/>
      <c r="E659" s="191"/>
      <c r="F659" s="191"/>
      <c r="G659" s="191"/>
      <c r="H659" s="191"/>
      <c r="I659" s="191"/>
      <c r="J659" s="191"/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</row>
    <row r="660" spans="2:22">
      <c r="B660" s="191"/>
      <c r="C660" s="191"/>
      <c r="D660" s="191"/>
      <c r="E660" s="191"/>
      <c r="F660" s="191"/>
      <c r="G660" s="191"/>
      <c r="H660" s="191"/>
      <c r="I660" s="191"/>
      <c r="J660" s="191"/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</row>
    <row r="661" spans="2:22">
      <c r="B661" s="191"/>
      <c r="C661" s="191"/>
      <c r="D661" s="191"/>
      <c r="E661" s="191"/>
      <c r="F661" s="191"/>
      <c r="G661" s="191"/>
      <c r="H661" s="191"/>
      <c r="I661" s="191"/>
      <c r="J661" s="191"/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</row>
    <row r="662" spans="2:22">
      <c r="B662" s="191"/>
      <c r="C662" s="191"/>
      <c r="D662" s="191"/>
      <c r="E662" s="191"/>
      <c r="F662" s="191"/>
      <c r="G662" s="191"/>
      <c r="H662" s="191"/>
      <c r="I662" s="191"/>
      <c r="J662" s="191"/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</row>
    <row r="663" spans="2:22">
      <c r="B663" s="191"/>
      <c r="C663" s="191"/>
      <c r="D663" s="191"/>
      <c r="E663" s="191"/>
      <c r="F663" s="191"/>
      <c r="G663" s="191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</row>
    <row r="664" spans="2:22">
      <c r="B664" s="191"/>
      <c r="C664" s="191"/>
      <c r="D664" s="191"/>
      <c r="E664" s="191"/>
      <c r="F664" s="191"/>
      <c r="G664" s="191"/>
      <c r="H664" s="191"/>
      <c r="I664" s="191"/>
      <c r="J664" s="191"/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</row>
    <row r="665" spans="2:22">
      <c r="B665" s="191"/>
      <c r="C665" s="191"/>
      <c r="D665" s="191"/>
      <c r="E665" s="191"/>
      <c r="F665" s="191"/>
      <c r="G665" s="191"/>
      <c r="H665" s="191"/>
      <c r="I665" s="191"/>
      <c r="J665" s="191"/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</row>
    <row r="666" spans="2:22">
      <c r="B666" s="191"/>
      <c r="C666" s="191"/>
      <c r="D666" s="191"/>
      <c r="E666" s="191"/>
      <c r="F666" s="191"/>
      <c r="G666" s="191"/>
      <c r="H666" s="191"/>
      <c r="I666" s="191"/>
      <c r="J666" s="191"/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</row>
    <row r="667" spans="2:22">
      <c r="B667" s="191"/>
      <c r="C667" s="191"/>
      <c r="D667" s="191"/>
      <c r="E667" s="191"/>
      <c r="F667" s="191"/>
      <c r="G667" s="191"/>
      <c r="H667" s="191"/>
      <c r="I667" s="191"/>
      <c r="J667" s="191"/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</row>
    <row r="668" spans="2:22">
      <c r="B668" s="191"/>
      <c r="C668" s="191"/>
      <c r="D668" s="191"/>
      <c r="E668" s="191"/>
      <c r="F668" s="191"/>
      <c r="G668" s="191"/>
      <c r="H668" s="191"/>
      <c r="I668" s="191"/>
      <c r="J668" s="191"/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</row>
    <row r="669" spans="2:22">
      <c r="B669" s="191"/>
      <c r="C669" s="191"/>
      <c r="D669" s="191"/>
      <c r="E669" s="191"/>
      <c r="F669" s="191"/>
      <c r="G669" s="191"/>
      <c r="H669" s="191"/>
      <c r="I669" s="191"/>
      <c r="J669" s="191"/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</row>
    <row r="670" spans="2:22">
      <c r="B670" s="191"/>
      <c r="C670" s="191"/>
      <c r="D670" s="191"/>
      <c r="E670" s="191"/>
      <c r="F670" s="191"/>
      <c r="G670" s="191"/>
      <c r="H670" s="191"/>
      <c r="I670" s="191"/>
      <c r="J670" s="191"/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</row>
    <row r="671" spans="2:22">
      <c r="B671" s="191"/>
      <c r="C671" s="191"/>
      <c r="D671" s="191"/>
      <c r="E671" s="191"/>
      <c r="F671" s="191"/>
      <c r="G671" s="191"/>
      <c r="H671" s="191"/>
      <c r="I671" s="191"/>
      <c r="J671" s="191"/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</row>
    <row r="672" spans="2:22">
      <c r="B672" s="191"/>
      <c r="C672" s="191"/>
      <c r="D672" s="191"/>
      <c r="E672" s="191"/>
      <c r="F672" s="191"/>
      <c r="G672" s="191"/>
      <c r="H672" s="191"/>
      <c r="I672" s="191"/>
      <c r="J672" s="191"/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</row>
    <row r="673" spans="2:22">
      <c r="B673" s="191"/>
      <c r="C673" s="191"/>
      <c r="D673" s="191"/>
      <c r="E673" s="191"/>
      <c r="F673" s="191"/>
      <c r="G673" s="191"/>
      <c r="H673" s="191"/>
      <c r="I673" s="191"/>
      <c r="J673" s="191"/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</row>
    <row r="674" spans="2:22">
      <c r="B674" s="191"/>
      <c r="C674" s="191"/>
      <c r="D674" s="191"/>
      <c r="E674" s="191"/>
      <c r="F674" s="191"/>
      <c r="G674" s="191"/>
      <c r="H674" s="191"/>
      <c r="I674" s="191"/>
      <c r="J674" s="191"/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</row>
    <row r="675" spans="2:22">
      <c r="B675" s="191"/>
      <c r="C675" s="191"/>
      <c r="D675" s="191"/>
      <c r="E675" s="191"/>
      <c r="F675" s="191"/>
      <c r="G675" s="191"/>
      <c r="H675" s="191"/>
      <c r="I675" s="191"/>
      <c r="J675" s="191"/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</row>
    <row r="676" spans="2:22">
      <c r="B676" s="191"/>
      <c r="C676" s="191"/>
      <c r="D676" s="191"/>
      <c r="E676" s="191"/>
      <c r="F676" s="191"/>
      <c r="G676" s="191"/>
      <c r="H676" s="191"/>
      <c r="I676" s="191"/>
      <c r="J676" s="191"/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</row>
    <row r="677" spans="2:22">
      <c r="B677" s="191"/>
      <c r="C677" s="191"/>
      <c r="D677" s="191"/>
      <c r="E677" s="191"/>
      <c r="F677" s="191"/>
      <c r="G677" s="191"/>
      <c r="H677" s="191"/>
      <c r="I677" s="191"/>
      <c r="J677" s="191"/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</row>
    <row r="678" spans="2:22">
      <c r="B678" s="191"/>
      <c r="C678" s="191"/>
      <c r="D678" s="191"/>
      <c r="E678" s="191"/>
      <c r="F678" s="191"/>
      <c r="G678" s="191"/>
      <c r="H678" s="191"/>
      <c r="I678" s="191"/>
      <c r="J678" s="191"/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</row>
    <row r="679" spans="2:22">
      <c r="B679" s="191"/>
      <c r="C679" s="191"/>
      <c r="D679" s="191"/>
      <c r="E679" s="191"/>
      <c r="F679" s="191"/>
      <c r="G679" s="191"/>
      <c r="H679" s="191"/>
      <c r="I679" s="191"/>
      <c r="J679" s="191"/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</row>
    <row r="680" spans="2:22">
      <c r="B680" s="191"/>
      <c r="C680" s="191"/>
      <c r="D680" s="191"/>
      <c r="E680" s="191"/>
      <c r="F680" s="191"/>
      <c r="G680" s="191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</row>
    <row r="681" spans="2:22">
      <c r="B681" s="191"/>
      <c r="C681" s="191"/>
      <c r="D681" s="191"/>
      <c r="E681" s="191"/>
      <c r="F681" s="191"/>
      <c r="G681" s="191"/>
      <c r="H681" s="191"/>
      <c r="I681" s="191"/>
      <c r="J681" s="191"/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</row>
    <row r="682" spans="2:22">
      <c r="B682" s="191"/>
      <c r="C682" s="191"/>
      <c r="D682" s="191"/>
      <c r="E682" s="191"/>
      <c r="F682" s="191"/>
      <c r="G682" s="191"/>
      <c r="H682" s="191"/>
      <c r="I682" s="191"/>
      <c r="J682" s="191"/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</row>
    <row r="683" spans="2:22">
      <c r="B683" s="191"/>
      <c r="C683" s="191"/>
      <c r="D683" s="191"/>
      <c r="E683" s="191"/>
      <c r="F683" s="191"/>
      <c r="G683" s="191"/>
      <c r="H683" s="191"/>
      <c r="I683" s="191"/>
      <c r="J683" s="191"/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</row>
    <row r="684" spans="2:22">
      <c r="B684" s="191"/>
      <c r="C684" s="191"/>
      <c r="D684" s="191"/>
      <c r="E684" s="191"/>
      <c r="F684" s="191"/>
      <c r="G684" s="191"/>
      <c r="H684" s="191"/>
      <c r="I684" s="191"/>
      <c r="J684" s="191"/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</row>
    <row r="685" spans="2:22">
      <c r="B685" s="191"/>
      <c r="C685" s="191"/>
      <c r="D685" s="191"/>
      <c r="E685" s="191"/>
      <c r="F685" s="191"/>
      <c r="G685" s="191"/>
      <c r="H685" s="191"/>
      <c r="I685" s="191"/>
      <c r="J685" s="191"/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</row>
    <row r="686" spans="2:22">
      <c r="B686" s="191"/>
      <c r="C686" s="191"/>
      <c r="D686" s="191"/>
      <c r="E686" s="191"/>
      <c r="F686" s="191"/>
      <c r="G686" s="191"/>
      <c r="H686" s="191"/>
      <c r="I686" s="191"/>
      <c r="J686" s="191"/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</row>
    <row r="687" spans="2:22">
      <c r="B687" s="191"/>
      <c r="C687" s="191"/>
      <c r="D687" s="191"/>
      <c r="E687" s="191"/>
      <c r="F687" s="191"/>
      <c r="G687" s="191"/>
      <c r="H687" s="191"/>
      <c r="I687" s="191"/>
      <c r="J687" s="191"/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</row>
    <row r="688" spans="2:22">
      <c r="B688" s="191"/>
      <c r="C688" s="191"/>
      <c r="D688" s="191"/>
      <c r="E688" s="191"/>
      <c r="F688" s="191"/>
      <c r="G688" s="191"/>
      <c r="H688" s="191"/>
      <c r="I688" s="191"/>
      <c r="J688" s="191"/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</row>
    <row r="689" spans="2:22">
      <c r="B689" s="191"/>
      <c r="C689" s="191"/>
      <c r="D689" s="191"/>
      <c r="E689" s="191"/>
      <c r="F689" s="191"/>
      <c r="G689" s="191"/>
      <c r="H689" s="191"/>
      <c r="I689" s="191"/>
      <c r="J689" s="191"/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</row>
    <row r="690" spans="2:22">
      <c r="B690" s="191"/>
      <c r="C690" s="191"/>
      <c r="D690" s="191"/>
      <c r="E690" s="191"/>
      <c r="F690" s="191"/>
      <c r="G690" s="191"/>
      <c r="H690" s="191"/>
      <c r="I690" s="191"/>
      <c r="J690" s="191"/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</row>
    <row r="691" spans="2:22">
      <c r="B691" s="191"/>
      <c r="C691" s="191"/>
      <c r="D691" s="191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</row>
    <row r="692" spans="2:22">
      <c r="B692" s="191"/>
      <c r="C692" s="191"/>
      <c r="D692" s="191"/>
      <c r="E692" s="191"/>
      <c r="F692" s="191"/>
      <c r="G692" s="191"/>
      <c r="H692" s="191"/>
      <c r="I692" s="191"/>
      <c r="J692" s="191"/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</row>
    <row r="693" spans="2:22">
      <c r="B693" s="191"/>
      <c r="C693" s="191"/>
      <c r="D693" s="191"/>
      <c r="E693" s="191"/>
      <c r="F693" s="191"/>
      <c r="G693" s="191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</row>
    <row r="694" spans="2:22">
      <c r="B694" s="191"/>
      <c r="C694" s="191"/>
      <c r="D694" s="191"/>
      <c r="E694" s="191"/>
      <c r="F694" s="191"/>
      <c r="G694" s="191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</row>
    <row r="695" spans="2:22">
      <c r="B695" s="191"/>
      <c r="C695" s="191"/>
      <c r="D695" s="191"/>
      <c r="E695" s="191"/>
      <c r="F695" s="191"/>
      <c r="G695" s="191"/>
      <c r="H695" s="191"/>
      <c r="I695" s="191"/>
      <c r="J695" s="191"/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</row>
    <row r="696" spans="2:22">
      <c r="B696" s="191"/>
      <c r="C696" s="191"/>
      <c r="D696" s="191"/>
      <c r="E696" s="191"/>
      <c r="F696" s="191"/>
      <c r="G696" s="191"/>
      <c r="H696" s="191"/>
      <c r="I696" s="191"/>
      <c r="J696" s="191"/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</row>
    <row r="697" spans="2:22">
      <c r="B697" s="191"/>
      <c r="C697" s="191"/>
      <c r="D697" s="191"/>
      <c r="E697" s="191"/>
      <c r="F697" s="191"/>
      <c r="G697" s="191"/>
      <c r="H697" s="191"/>
      <c r="I697" s="191"/>
      <c r="J697" s="191"/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</row>
    <row r="698" spans="2:22">
      <c r="B698" s="191"/>
      <c r="C698" s="191"/>
      <c r="D698" s="191"/>
      <c r="E698" s="191"/>
      <c r="F698" s="191"/>
      <c r="G698" s="191"/>
      <c r="H698" s="191"/>
      <c r="I698" s="191"/>
      <c r="J698" s="191"/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</row>
    <row r="699" spans="2:22">
      <c r="B699" s="191"/>
      <c r="C699" s="191"/>
      <c r="D699" s="191"/>
      <c r="E699" s="191"/>
      <c r="F699" s="191"/>
      <c r="G699" s="191"/>
      <c r="H699" s="191"/>
      <c r="I699" s="191"/>
      <c r="J699" s="191"/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</row>
    <row r="700" spans="2:22">
      <c r="B700" s="191"/>
      <c r="C700" s="191"/>
      <c r="D700" s="191"/>
      <c r="E700" s="191"/>
      <c r="F700" s="191"/>
      <c r="G700" s="191"/>
      <c r="H700" s="191"/>
      <c r="I700" s="191"/>
      <c r="J700" s="191"/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</row>
    <row r="701" spans="2:22">
      <c r="B701" s="191"/>
      <c r="C701" s="191"/>
      <c r="D701" s="191"/>
      <c r="E701" s="191"/>
      <c r="F701" s="191"/>
      <c r="G701" s="191"/>
      <c r="H701" s="191"/>
      <c r="I701" s="191"/>
      <c r="J701" s="191"/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</row>
    <row r="702" spans="2:22">
      <c r="B702" s="191"/>
      <c r="C702" s="191"/>
      <c r="D702" s="191"/>
      <c r="E702" s="191"/>
      <c r="F702" s="191"/>
      <c r="G702" s="191"/>
      <c r="H702" s="191"/>
      <c r="I702" s="191"/>
      <c r="J702" s="191"/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</row>
    <row r="703" spans="2:22">
      <c r="B703" s="191"/>
      <c r="C703" s="191"/>
      <c r="D703" s="191"/>
      <c r="E703" s="191"/>
      <c r="F703" s="191"/>
      <c r="G703" s="191"/>
      <c r="H703" s="191"/>
      <c r="I703" s="191"/>
      <c r="J703" s="191"/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</row>
    <row r="704" spans="2:22">
      <c r="B704" s="191"/>
      <c r="C704" s="191"/>
      <c r="D704" s="191"/>
      <c r="E704" s="191"/>
      <c r="F704" s="191"/>
      <c r="G704" s="191"/>
      <c r="H704" s="191"/>
      <c r="I704" s="191"/>
      <c r="J704" s="191"/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</row>
    <row r="705" spans="2:22">
      <c r="B705" s="191"/>
      <c r="C705" s="191"/>
      <c r="D705" s="191"/>
      <c r="E705" s="191"/>
      <c r="F705" s="191"/>
      <c r="G705" s="191"/>
      <c r="H705" s="191"/>
      <c r="I705" s="191"/>
      <c r="J705" s="191"/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</row>
    <row r="706" spans="2:22">
      <c r="B706" s="191"/>
      <c r="C706" s="191"/>
      <c r="D706" s="191"/>
      <c r="E706" s="191"/>
      <c r="F706" s="191"/>
      <c r="G706" s="191"/>
      <c r="H706" s="191"/>
      <c r="I706" s="191"/>
      <c r="J706" s="191"/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</row>
    <row r="707" spans="2:22">
      <c r="B707" s="191"/>
      <c r="C707" s="191"/>
      <c r="D707" s="191"/>
      <c r="E707" s="191"/>
      <c r="F707" s="191"/>
      <c r="G707" s="191"/>
      <c r="H707" s="191"/>
      <c r="I707" s="191"/>
      <c r="J707" s="191"/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</row>
    <row r="708" spans="2:22">
      <c r="B708" s="191"/>
      <c r="C708" s="191"/>
      <c r="D708" s="191"/>
      <c r="E708" s="191"/>
      <c r="F708" s="191"/>
      <c r="G708" s="191"/>
      <c r="H708" s="191"/>
      <c r="I708" s="191"/>
      <c r="J708" s="191"/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</row>
    <row r="709" spans="2:22">
      <c r="B709" s="191"/>
      <c r="C709" s="191"/>
      <c r="D709" s="191"/>
      <c r="E709" s="191"/>
      <c r="F709" s="191"/>
      <c r="G709" s="191"/>
      <c r="H709" s="191"/>
      <c r="I709" s="191"/>
      <c r="J709" s="191"/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</row>
    <row r="710" spans="2:22">
      <c r="B710" s="191"/>
      <c r="C710" s="191"/>
      <c r="D710" s="191"/>
      <c r="E710" s="191"/>
      <c r="F710" s="191"/>
      <c r="G710" s="191"/>
      <c r="H710" s="191"/>
      <c r="I710" s="191"/>
      <c r="J710" s="191"/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</row>
    <row r="711" spans="2:22">
      <c r="B711" s="191"/>
      <c r="C711" s="191"/>
      <c r="D711" s="191"/>
      <c r="E711" s="191"/>
      <c r="F711" s="191"/>
      <c r="G711" s="191"/>
      <c r="H711" s="191"/>
      <c r="I711" s="191"/>
      <c r="J711" s="191"/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</row>
    <row r="712" spans="2:22">
      <c r="B712" s="191"/>
      <c r="C712" s="191"/>
      <c r="D712" s="191"/>
      <c r="E712" s="191"/>
      <c r="F712" s="191"/>
      <c r="G712" s="191"/>
      <c r="H712" s="191"/>
      <c r="I712" s="191"/>
      <c r="J712" s="191"/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</row>
    <row r="713" spans="2:22">
      <c r="B713" s="191"/>
      <c r="C713" s="191"/>
      <c r="D713" s="191"/>
      <c r="E713" s="191"/>
      <c r="F713" s="191"/>
      <c r="G713" s="191"/>
      <c r="H713" s="191"/>
      <c r="I713" s="191"/>
      <c r="J713" s="191"/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</row>
    <row r="714" spans="2:22">
      <c r="B714" s="191"/>
      <c r="C714" s="191"/>
      <c r="D714" s="191"/>
      <c r="E714" s="191"/>
      <c r="F714" s="191"/>
      <c r="G714" s="191"/>
      <c r="H714" s="191"/>
      <c r="I714" s="191"/>
      <c r="J714" s="191"/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</row>
    <row r="715" spans="2:22">
      <c r="B715" s="191"/>
      <c r="C715" s="191"/>
      <c r="D715" s="191"/>
      <c r="E715" s="191"/>
      <c r="F715" s="191"/>
      <c r="G715" s="191"/>
      <c r="H715" s="191"/>
      <c r="I715" s="191"/>
      <c r="J715" s="191"/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</row>
    <row r="716" spans="2:22">
      <c r="B716" s="191"/>
      <c r="C716" s="191"/>
      <c r="D716" s="191"/>
      <c r="E716" s="191"/>
      <c r="F716" s="191"/>
      <c r="G716" s="191"/>
      <c r="H716" s="191"/>
      <c r="I716" s="191"/>
      <c r="J716" s="191"/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</row>
    <row r="717" spans="2:22">
      <c r="B717" s="191"/>
      <c r="C717" s="191"/>
      <c r="D717" s="191"/>
      <c r="E717" s="191"/>
      <c r="F717" s="191"/>
      <c r="G717" s="191"/>
      <c r="H717" s="191"/>
      <c r="I717" s="191"/>
      <c r="J717" s="191"/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</row>
    <row r="718" spans="2:22">
      <c r="B718" s="191"/>
      <c r="C718" s="191"/>
      <c r="D718" s="191"/>
      <c r="E718" s="191"/>
      <c r="F718" s="191"/>
      <c r="G718" s="191"/>
      <c r="H718" s="191"/>
      <c r="I718" s="191"/>
      <c r="J718" s="191"/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</row>
    <row r="719" spans="2:22">
      <c r="B719" s="191"/>
      <c r="C719" s="191"/>
      <c r="D719" s="191"/>
      <c r="E719" s="191"/>
      <c r="F719" s="191"/>
      <c r="G719" s="191"/>
      <c r="H719" s="191"/>
      <c r="I719" s="191"/>
      <c r="J719" s="191"/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</row>
    <row r="720" spans="2:22">
      <c r="B720" s="191"/>
      <c r="C720" s="191"/>
      <c r="D720" s="191"/>
      <c r="E720" s="191"/>
      <c r="F720" s="191"/>
      <c r="G720" s="191"/>
      <c r="H720" s="191"/>
      <c r="I720" s="191"/>
      <c r="J720" s="191"/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</row>
    <row r="721" spans="2:22">
      <c r="B721" s="191"/>
      <c r="C721" s="191"/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</row>
    <row r="722" spans="2:22">
      <c r="B722" s="191"/>
      <c r="C722" s="191"/>
      <c r="D722" s="191"/>
      <c r="E722" s="191"/>
      <c r="F722" s="191"/>
      <c r="G722" s="191"/>
      <c r="H722" s="191"/>
      <c r="I722" s="191"/>
      <c r="J722" s="191"/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</row>
    <row r="723" spans="2:22">
      <c r="B723" s="191"/>
      <c r="C723" s="191"/>
      <c r="D723" s="191"/>
      <c r="E723" s="191"/>
      <c r="F723" s="191"/>
      <c r="G723" s="191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</row>
    <row r="724" spans="2:22">
      <c r="B724" s="191"/>
      <c r="C724" s="191"/>
      <c r="D724" s="191"/>
      <c r="E724" s="191"/>
      <c r="F724" s="191"/>
      <c r="G724" s="191"/>
      <c r="H724" s="191"/>
      <c r="I724" s="191"/>
      <c r="J724" s="191"/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</row>
    <row r="725" spans="2:22">
      <c r="B725" s="191"/>
      <c r="C725" s="191"/>
      <c r="D725" s="191"/>
      <c r="E725" s="191"/>
      <c r="F725" s="191"/>
      <c r="G725" s="191"/>
      <c r="H725" s="191"/>
      <c r="I725" s="191"/>
      <c r="J725" s="191"/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</row>
    <row r="726" spans="2:22">
      <c r="B726" s="191"/>
      <c r="C726" s="191"/>
      <c r="D726" s="191"/>
      <c r="E726" s="191"/>
      <c r="F726" s="191"/>
      <c r="G726" s="191"/>
      <c r="H726" s="191"/>
      <c r="I726" s="191"/>
      <c r="J726" s="191"/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</row>
    <row r="727" spans="2:22">
      <c r="B727" s="191"/>
      <c r="C727" s="191"/>
      <c r="D727" s="191"/>
      <c r="E727" s="191"/>
      <c r="F727" s="191"/>
      <c r="G727" s="191"/>
      <c r="H727" s="191"/>
      <c r="I727" s="191"/>
      <c r="J727" s="191"/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</row>
    <row r="728" spans="2:22">
      <c r="B728" s="191"/>
      <c r="C728" s="191"/>
      <c r="D728" s="191"/>
      <c r="E728" s="191"/>
      <c r="F728" s="191"/>
      <c r="G728" s="191"/>
      <c r="H728" s="191"/>
      <c r="I728" s="191"/>
      <c r="J728" s="191"/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</row>
    <row r="729" spans="2:22">
      <c r="B729" s="191"/>
      <c r="C729" s="191"/>
      <c r="D729" s="191"/>
      <c r="E729" s="191"/>
      <c r="F729" s="191"/>
      <c r="G729" s="191"/>
      <c r="H729" s="191"/>
      <c r="I729" s="191"/>
      <c r="J729" s="191"/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</row>
    <row r="730" spans="2:22">
      <c r="B730" s="191"/>
      <c r="C730" s="191"/>
      <c r="D730" s="191"/>
      <c r="E730" s="191"/>
      <c r="F730" s="191"/>
      <c r="G730" s="191"/>
      <c r="H730" s="191"/>
      <c r="I730" s="191"/>
      <c r="J730" s="191"/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</row>
    <row r="731" spans="2:22">
      <c r="B731" s="191"/>
      <c r="C731" s="191"/>
      <c r="D731" s="191"/>
      <c r="E731" s="191"/>
      <c r="F731" s="191"/>
      <c r="G731" s="191"/>
      <c r="H731" s="191"/>
      <c r="I731" s="191"/>
      <c r="J731" s="191"/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</row>
    <row r="732" spans="2:22">
      <c r="B732" s="191"/>
      <c r="C732" s="191"/>
      <c r="D732" s="191"/>
      <c r="E732" s="191"/>
      <c r="F732" s="191"/>
      <c r="G732" s="191"/>
      <c r="H732" s="191"/>
      <c r="I732" s="191"/>
      <c r="J732" s="191"/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</row>
    <row r="733" spans="2:22">
      <c r="B733" s="191"/>
      <c r="C733" s="191"/>
      <c r="D733" s="191"/>
      <c r="E733" s="191"/>
      <c r="F733" s="191"/>
      <c r="G733" s="191"/>
      <c r="H733" s="191"/>
      <c r="I733" s="191"/>
      <c r="J733" s="191"/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</row>
    <row r="734" spans="2:22">
      <c r="B734" s="191"/>
      <c r="C734" s="191"/>
      <c r="D734" s="191"/>
      <c r="E734" s="191"/>
      <c r="F734" s="191"/>
      <c r="G734" s="191"/>
      <c r="H734" s="191"/>
      <c r="I734" s="191"/>
      <c r="J734" s="191"/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</row>
    <row r="735" spans="2:22">
      <c r="B735" s="191"/>
      <c r="C735" s="191"/>
      <c r="D735" s="191"/>
      <c r="E735" s="191"/>
      <c r="F735" s="191"/>
      <c r="G735" s="191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</row>
    <row r="736" spans="2:22">
      <c r="B736" s="191"/>
      <c r="C736" s="191"/>
      <c r="D736" s="191"/>
      <c r="E736" s="191"/>
      <c r="F736" s="191"/>
      <c r="G736" s="191"/>
      <c r="H736" s="191"/>
      <c r="I736" s="191"/>
      <c r="J736" s="191"/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</row>
    <row r="737" spans="2:22">
      <c r="B737" s="191"/>
      <c r="C737" s="191"/>
      <c r="D737" s="191"/>
      <c r="E737" s="191"/>
      <c r="F737" s="191"/>
      <c r="G737" s="191"/>
      <c r="H737" s="191"/>
      <c r="I737" s="191"/>
      <c r="J737" s="191"/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</row>
    <row r="738" spans="2:22">
      <c r="B738" s="191"/>
      <c r="C738" s="191"/>
      <c r="D738" s="191"/>
      <c r="E738" s="191"/>
      <c r="F738" s="191"/>
      <c r="G738" s="191"/>
      <c r="H738" s="191"/>
      <c r="I738" s="191"/>
      <c r="J738" s="191"/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</row>
    <row r="739" spans="2:22">
      <c r="B739" s="191"/>
      <c r="C739" s="191"/>
      <c r="D739" s="191"/>
      <c r="E739" s="191"/>
      <c r="F739" s="191"/>
      <c r="G739" s="191"/>
      <c r="H739" s="191"/>
      <c r="I739" s="191"/>
      <c r="J739" s="191"/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</row>
    <row r="740" spans="2:22">
      <c r="B740" s="191"/>
      <c r="C740" s="191"/>
      <c r="D740" s="191"/>
      <c r="E740" s="191"/>
      <c r="F740" s="191"/>
      <c r="G740" s="191"/>
      <c r="H740" s="191"/>
      <c r="I740" s="191"/>
      <c r="J740" s="191"/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</row>
    <row r="741" spans="2:22">
      <c r="B741" s="191"/>
      <c r="C741" s="191"/>
      <c r="D741" s="191"/>
      <c r="E741" s="191"/>
      <c r="F741" s="191"/>
      <c r="G741" s="191"/>
      <c r="H741" s="191"/>
      <c r="I741" s="191"/>
      <c r="J741" s="191"/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</row>
    <row r="742" spans="2:22">
      <c r="B742" s="191"/>
      <c r="C742" s="191"/>
      <c r="D742" s="191"/>
      <c r="E742" s="191"/>
      <c r="F742" s="191"/>
      <c r="G742" s="191"/>
      <c r="H742" s="191"/>
      <c r="I742" s="191"/>
      <c r="J742" s="191"/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</row>
    <row r="743" spans="2:22">
      <c r="B743" s="191"/>
      <c r="C743" s="191"/>
      <c r="D743" s="191"/>
      <c r="E743" s="191"/>
      <c r="F743" s="191"/>
      <c r="G743" s="191"/>
      <c r="H743" s="191"/>
      <c r="I743" s="191"/>
      <c r="J743" s="191"/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</row>
    <row r="744" spans="2:22">
      <c r="B744" s="191"/>
      <c r="C744" s="191"/>
      <c r="D744" s="191"/>
      <c r="E744" s="191"/>
      <c r="F744" s="191"/>
      <c r="G744" s="191"/>
      <c r="H744" s="191"/>
      <c r="I744" s="191"/>
      <c r="J744" s="191"/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</row>
    <row r="745" spans="2:22">
      <c r="B745" s="191"/>
      <c r="C745" s="191"/>
      <c r="D745" s="191"/>
      <c r="E745" s="191"/>
      <c r="F745" s="191"/>
      <c r="G745" s="191"/>
      <c r="H745" s="191"/>
      <c r="I745" s="191"/>
      <c r="J745" s="191"/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</row>
    <row r="746" spans="2:22">
      <c r="B746" s="191"/>
      <c r="C746" s="191"/>
      <c r="D746" s="191"/>
      <c r="E746" s="191"/>
      <c r="F746" s="191"/>
      <c r="G746" s="191"/>
      <c r="H746" s="191"/>
      <c r="I746" s="191"/>
      <c r="J746" s="191"/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</row>
    <row r="747" spans="2:22">
      <c r="B747" s="191"/>
      <c r="C747" s="191"/>
      <c r="D747" s="191"/>
      <c r="E747" s="191"/>
      <c r="F747" s="191"/>
      <c r="G747" s="191"/>
      <c r="H747" s="191"/>
      <c r="I747" s="191"/>
      <c r="J747" s="191"/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</row>
    <row r="748" spans="2:22">
      <c r="B748" s="191"/>
      <c r="C748" s="191"/>
      <c r="D748" s="191"/>
      <c r="E748" s="191"/>
      <c r="F748" s="191"/>
      <c r="G748" s="191"/>
      <c r="H748" s="191"/>
      <c r="I748" s="191"/>
      <c r="J748" s="191"/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</row>
    <row r="749" spans="2:22">
      <c r="B749" s="191"/>
      <c r="C749" s="191"/>
      <c r="D749" s="191"/>
      <c r="E749" s="191"/>
      <c r="F749" s="191"/>
      <c r="G749" s="191"/>
      <c r="H749" s="191"/>
      <c r="I749" s="191"/>
      <c r="J749" s="191"/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</row>
    <row r="750" spans="2:22">
      <c r="B750" s="191"/>
      <c r="C750" s="191"/>
      <c r="D750" s="191"/>
      <c r="E750" s="191"/>
      <c r="F750" s="191"/>
      <c r="G750" s="191"/>
      <c r="H750" s="191"/>
      <c r="I750" s="191"/>
      <c r="J750" s="191"/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</row>
    <row r="751" spans="2:22">
      <c r="B751" s="191"/>
      <c r="C751" s="191"/>
      <c r="D751" s="191"/>
      <c r="E751" s="191"/>
      <c r="F751" s="191"/>
      <c r="G751" s="191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</row>
    <row r="752" spans="2:22">
      <c r="B752" s="191"/>
      <c r="C752" s="191"/>
      <c r="D752" s="191"/>
      <c r="E752" s="191"/>
      <c r="F752" s="191"/>
      <c r="G752" s="191"/>
      <c r="H752" s="191"/>
      <c r="I752" s="191"/>
      <c r="J752" s="191"/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</row>
    <row r="753" spans="2:22">
      <c r="B753" s="191"/>
      <c r="C753" s="191"/>
      <c r="D753" s="191"/>
      <c r="E753" s="191"/>
      <c r="F753" s="191"/>
      <c r="G753" s="191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</row>
    <row r="754" spans="2:22">
      <c r="B754" s="191"/>
      <c r="C754" s="191"/>
      <c r="D754" s="191"/>
      <c r="E754" s="191"/>
      <c r="F754" s="191"/>
      <c r="G754" s="191"/>
      <c r="H754" s="191"/>
      <c r="I754" s="191"/>
      <c r="J754" s="191"/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</row>
    <row r="755" spans="2:22">
      <c r="B755" s="191"/>
      <c r="C755" s="191"/>
      <c r="D755" s="191"/>
      <c r="E755" s="191"/>
      <c r="F755" s="191"/>
      <c r="G755" s="191"/>
      <c r="H755" s="191"/>
      <c r="I755" s="191"/>
      <c r="J755" s="191"/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</row>
    <row r="756" spans="2:22">
      <c r="B756" s="191"/>
      <c r="C756" s="191"/>
      <c r="D756" s="191"/>
      <c r="E756" s="191"/>
      <c r="F756" s="191"/>
      <c r="G756" s="191"/>
      <c r="H756" s="191"/>
      <c r="I756" s="191"/>
      <c r="J756" s="191"/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</row>
    <row r="757" spans="2:22">
      <c r="B757" s="191"/>
      <c r="C757" s="191"/>
      <c r="D757" s="191"/>
      <c r="E757" s="191"/>
      <c r="F757" s="191"/>
      <c r="G757" s="191"/>
      <c r="H757" s="191"/>
      <c r="I757" s="191"/>
      <c r="J757" s="191"/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</row>
    <row r="758" spans="2:22">
      <c r="B758" s="191"/>
      <c r="C758" s="191"/>
      <c r="D758" s="191"/>
      <c r="E758" s="191"/>
      <c r="F758" s="191"/>
      <c r="G758" s="191"/>
      <c r="H758" s="191"/>
      <c r="I758" s="191"/>
      <c r="J758" s="191"/>
      <c r="K758" s="191"/>
      <c r="L758" s="191"/>
      <c r="M758" s="191"/>
      <c r="N758" s="191"/>
      <c r="O758" s="191"/>
      <c r="P758" s="191"/>
      <c r="Q758" s="191"/>
      <c r="R758" s="191"/>
      <c r="S758" s="191"/>
      <c r="T758" s="191"/>
      <c r="U758" s="191"/>
      <c r="V758" s="191"/>
    </row>
    <row r="759" spans="2:22">
      <c r="B759" s="191"/>
      <c r="C759" s="191"/>
      <c r="D759" s="191"/>
      <c r="E759" s="191"/>
      <c r="F759" s="191"/>
      <c r="G759" s="191"/>
      <c r="H759" s="191"/>
      <c r="I759" s="191"/>
      <c r="J759" s="191"/>
      <c r="K759" s="191"/>
      <c r="L759" s="191"/>
      <c r="M759" s="191"/>
      <c r="N759" s="191"/>
      <c r="O759" s="191"/>
      <c r="P759" s="191"/>
      <c r="Q759" s="191"/>
      <c r="R759" s="191"/>
      <c r="S759" s="191"/>
      <c r="T759" s="191"/>
      <c r="U759" s="191"/>
      <c r="V759" s="191"/>
    </row>
    <row r="760" spans="2:22">
      <c r="B760" s="191"/>
      <c r="C760" s="191"/>
      <c r="D760" s="191"/>
      <c r="E760" s="191"/>
      <c r="F760" s="191"/>
      <c r="G760" s="191"/>
      <c r="H760" s="191"/>
      <c r="I760" s="191"/>
      <c r="J760" s="191"/>
      <c r="K760" s="191"/>
      <c r="L760" s="191"/>
      <c r="M760" s="191"/>
      <c r="N760" s="191"/>
      <c r="O760" s="191"/>
      <c r="P760" s="191"/>
      <c r="Q760" s="191"/>
      <c r="R760" s="191"/>
      <c r="S760" s="191"/>
      <c r="T760" s="191"/>
      <c r="U760" s="191"/>
      <c r="V760" s="191"/>
    </row>
    <row r="761" spans="2:22">
      <c r="B761" s="191"/>
      <c r="C761" s="191"/>
      <c r="D761" s="191"/>
      <c r="E761" s="191"/>
      <c r="F761" s="191"/>
      <c r="G761" s="191"/>
      <c r="H761" s="191"/>
      <c r="I761" s="191"/>
      <c r="J761" s="191"/>
      <c r="K761" s="191"/>
      <c r="L761" s="191"/>
      <c r="M761" s="191"/>
      <c r="N761" s="191"/>
      <c r="O761" s="191"/>
      <c r="P761" s="191"/>
      <c r="Q761" s="191"/>
      <c r="R761" s="191"/>
      <c r="S761" s="191"/>
      <c r="T761" s="191"/>
      <c r="U761" s="191"/>
      <c r="V761" s="191"/>
    </row>
    <row r="762" spans="2:22">
      <c r="B762" s="191"/>
      <c r="C762" s="191"/>
      <c r="D762" s="191"/>
      <c r="E762" s="191"/>
      <c r="F762" s="191"/>
      <c r="G762" s="191"/>
      <c r="H762" s="191"/>
      <c r="I762" s="191"/>
      <c r="J762" s="191"/>
      <c r="K762" s="191"/>
      <c r="L762" s="191"/>
      <c r="M762" s="191"/>
      <c r="N762" s="191"/>
      <c r="O762" s="191"/>
      <c r="P762" s="191"/>
      <c r="Q762" s="191"/>
      <c r="R762" s="191"/>
      <c r="S762" s="191"/>
      <c r="T762" s="191"/>
      <c r="U762" s="191"/>
      <c r="V762" s="191"/>
    </row>
    <row r="763" spans="2:22">
      <c r="B763" s="191"/>
      <c r="C763" s="191"/>
      <c r="D763" s="191"/>
      <c r="E763" s="191"/>
      <c r="F763" s="191"/>
      <c r="G763" s="191"/>
      <c r="H763" s="191"/>
      <c r="I763" s="191"/>
      <c r="J763" s="191"/>
      <c r="K763" s="191"/>
      <c r="L763" s="191"/>
      <c r="M763" s="191"/>
      <c r="N763" s="191"/>
      <c r="O763" s="191"/>
      <c r="P763" s="191"/>
      <c r="Q763" s="191"/>
      <c r="R763" s="191"/>
      <c r="S763" s="191"/>
      <c r="T763" s="191"/>
      <c r="U763" s="191"/>
      <c r="V763" s="191"/>
    </row>
    <row r="764" spans="2:22">
      <c r="B764" s="191"/>
      <c r="C764" s="191"/>
      <c r="D764" s="191"/>
      <c r="E764" s="191"/>
      <c r="F764" s="191"/>
      <c r="G764" s="191"/>
      <c r="H764" s="191"/>
      <c r="I764" s="191"/>
      <c r="J764" s="191"/>
      <c r="K764" s="191"/>
      <c r="L764" s="191"/>
      <c r="M764" s="191"/>
      <c r="N764" s="191"/>
      <c r="O764" s="191"/>
      <c r="P764" s="191"/>
      <c r="Q764" s="191"/>
      <c r="R764" s="191"/>
      <c r="S764" s="191"/>
      <c r="T764" s="191"/>
      <c r="U764" s="191"/>
      <c r="V764" s="191"/>
    </row>
    <row r="765" spans="2:22">
      <c r="B765" s="191"/>
      <c r="C765" s="191"/>
      <c r="D765" s="191"/>
      <c r="E765" s="191"/>
      <c r="F765" s="191"/>
      <c r="G765" s="191"/>
      <c r="H765" s="191"/>
      <c r="I765" s="191"/>
      <c r="J765" s="191"/>
      <c r="K765" s="191"/>
      <c r="L765" s="191"/>
      <c r="M765" s="191"/>
      <c r="N765" s="191"/>
      <c r="O765" s="191"/>
      <c r="P765" s="191"/>
      <c r="Q765" s="191"/>
      <c r="R765" s="191"/>
      <c r="S765" s="191"/>
      <c r="T765" s="191"/>
      <c r="U765" s="191"/>
      <c r="V765" s="191"/>
    </row>
    <row r="766" spans="2:22">
      <c r="B766" s="191"/>
      <c r="C766" s="191"/>
      <c r="D766" s="191"/>
      <c r="E766" s="191"/>
      <c r="F766" s="191"/>
      <c r="G766" s="191"/>
      <c r="H766" s="191"/>
      <c r="I766" s="191"/>
      <c r="J766" s="191"/>
      <c r="K766" s="191"/>
      <c r="L766" s="191"/>
      <c r="M766" s="191"/>
      <c r="N766" s="191"/>
      <c r="O766" s="191"/>
      <c r="P766" s="191"/>
      <c r="Q766" s="191"/>
      <c r="R766" s="191"/>
      <c r="S766" s="191"/>
      <c r="T766" s="191"/>
      <c r="U766" s="191"/>
      <c r="V766" s="191"/>
    </row>
    <row r="767" spans="2:22">
      <c r="B767" s="191"/>
      <c r="C767" s="191"/>
      <c r="D767" s="191"/>
      <c r="E767" s="191"/>
      <c r="F767" s="191"/>
      <c r="G767" s="191"/>
      <c r="H767" s="191"/>
      <c r="I767" s="191"/>
      <c r="J767" s="191"/>
      <c r="K767" s="191"/>
      <c r="L767" s="191"/>
      <c r="M767" s="191"/>
      <c r="N767" s="191"/>
      <c r="O767" s="191"/>
      <c r="P767" s="191"/>
      <c r="Q767" s="191"/>
      <c r="R767" s="191"/>
      <c r="S767" s="191"/>
      <c r="T767" s="191"/>
      <c r="U767" s="191"/>
      <c r="V767" s="191"/>
    </row>
    <row r="768" spans="2:22">
      <c r="B768" s="191"/>
      <c r="C768" s="191"/>
      <c r="D768" s="191"/>
      <c r="E768" s="191"/>
      <c r="F768" s="191"/>
      <c r="G768" s="191"/>
      <c r="H768" s="191"/>
      <c r="I768" s="191"/>
      <c r="J768" s="191"/>
      <c r="K768" s="191"/>
      <c r="L768" s="191"/>
      <c r="M768" s="191"/>
      <c r="N768" s="191"/>
      <c r="O768" s="191"/>
      <c r="P768" s="191"/>
      <c r="Q768" s="191"/>
      <c r="R768" s="191"/>
      <c r="S768" s="191"/>
      <c r="T768" s="191"/>
      <c r="U768" s="191"/>
      <c r="V768" s="191"/>
    </row>
    <row r="769" spans="2:22">
      <c r="B769" s="191"/>
      <c r="C769" s="191"/>
      <c r="D769" s="191"/>
      <c r="E769" s="191"/>
      <c r="F769" s="191"/>
      <c r="G769" s="191"/>
      <c r="H769" s="191"/>
      <c r="I769" s="191"/>
      <c r="J769" s="191"/>
      <c r="K769" s="191"/>
      <c r="L769" s="191"/>
      <c r="M769" s="191"/>
      <c r="N769" s="191"/>
      <c r="O769" s="191"/>
      <c r="P769" s="191"/>
      <c r="Q769" s="191"/>
      <c r="R769" s="191"/>
      <c r="S769" s="191"/>
      <c r="T769" s="191"/>
      <c r="U769" s="191"/>
      <c r="V769" s="191"/>
    </row>
    <row r="770" spans="2:22">
      <c r="B770" s="191"/>
      <c r="C770" s="191"/>
      <c r="D770" s="191"/>
      <c r="E770" s="191"/>
      <c r="F770" s="191"/>
      <c r="G770" s="191"/>
      <c r="H770" s="191"/>
      <c r="I770" s="191"/>
      <c r="J770" s="191"/>
      <c r="K770" s="191"/>
      <c r="L770" s="191"/>
      <c r="M770" s="191"/>
      <c r="N770" s="191"/>
      <c r="O770" s="191"/>
      <c r="P770" s="191"/>
      <c r="Q770" s="191"/>
      <c r="R770" s="191"/>
      <c r="S770" s="191"/>
      <c r="T770" s="191"/>
      <c r="U770" s="191"/>
      <c r="V770" s="191"/>
    </row>
    <row r="771" spans="2:22">
      <c r="B771" s="191"/>
      <c r="C771" s="191"/>
      <c r="D771" s="191"/>
      <c r="E771" s="191"/>
      <c r="F771" s="191"/>
      <c r="G771" s="191"/>
      <c r="H771" s="191"/>
      <c r="I771" s="191"/>
      <c r="J771" s="191"/>
      <c r="K771" s="191"/>
      <c r="L771" s="191"/>
      <c r="M771" s="191"/>
      <c r="N771" s="191"/>
      <c r="O771" s="191"/>
      <c r="P771" s="191"/>
      <c r="Q771" s="191"/>
      <c r="R771" s="191"/>
      <c r="S771" s="191"/>
      <c r="T771" s="191"/>
      <c r="U771" s="191"/>
      <c r="V771" s="191"/>
    </row>
    <row r="772" spans="2:22">
      <c r="B772" s="191"/>
      <c r="C772" s="191"/>
      <c r="D772" s="191"/>
      <c r="E772" s="191"/>
      <c r="F772" s="191"/>
      <c r="G772" s="191"/>
      <c r="H772" s="191"/>
      <c r="I772" s="191"/>
      <c r="J772" s="191"/>
      <c r="K772" s="191"/>
      <c r="L772" s="191"/>
      <c r="M772" s="191"/>
      <c r="N772" s="191"/>
      <c r="O772" s="191"/>
      <c r="P772" s="191"/>
      <c r="Q772" s="191"/>
      <c r="R772" s="191"/>
      <c r="S772" s="191"/>
      <c r="T772" s="191"/>
      <c r="U772" s="191"/>
      <c r="V772" s="191"/>
    </row>
    <row r="773" spans="2:22">
      <c r="B773" s="191"/>
      <c r="C773" s="191"/>
      <c r="D773" s="191"/>
      <c r="E773" s="191"/>
      <c r="F773" s="191"/>
      <c r="G773" s="191"/>
      <c r="H773" s="191"/>
      <c r="I773" s="191"/>
      <c r="J773" s="191"/>
      <c r="K773" s="191"/>
      <c r="L773" s="191"/>
      <c r="M773" s="191"/>
      <c r="N773" s="191"/>
      <c r="O773" s="191"/>
      <c r="P773" s="191"/>
      <c r="Q773" s="191"/>
      <c r="R773" s="191"/>
      <c r="S773" s="191"/>
      <c r="T773" s="191"/>
      <c r="U773" s="191"/>
      <c r="V773" s="191"/>
    </row>
    <row r="774" spans="2:22">
      <c r="B774" s="191"/>
      <c r="C774" s="191"/>
      <c r="D774" s="191"/>
      <c r="E774" s="191"/>
      <c r="F774" s="191"/>
      <c r="G774" s="191"/>
      <c r="H774" s="191"/>
      <c r="I774" s="191"/>
      <c r="J774" s="191"/>
      <c r="K774" s="191"/>
      <c r="L774" s="191"/>
      <c r="M774" s="191"/>
      <c r="N774" s="191"/>
      <c r="O774" s="191"/>
      <c r="P774" s="191"/>
      <c r="Q774" s="191"/>
      <c r="R774" s="191"/>
      <c r="S774" s="191"/>
      <c r="T774" s="191"/>
      <c r="U774" s="191"/>
      <c r="V774" s="191"/>
    </row>
    <row r="775" spans="2:22">
      <c r="B775" s="191"/>
      <c r="C775" s="191"/>
      <c r="D775" s="191"/>
      <c r="E775" s="191"/>
      <c r="F775" s="191"/>
      <c r="G775" s="191"/>
      <c r="H775" s="191"/>
      <c r="I775" s="191"/>
      <c r="J775" s="191"/>
      <c r="K775" s="191"/>
      <c r="L775" s="191"/>
      <c r="M775" s="191"/>
      <c r="N775" s="191"/>
      <c r="O775" s="191"/>
      <c r="P775" s="191"/>
      <c r="Q775" s="191"/>
      <c r="R775" s="191"/>
      <c r="S775" s="191"/>
      <c r="T775" s="191"/>
      <c r="U775" s="191"/>
      <c r="V775" s="191"/>
    </row>
    <row r="776" spans="2:22">
      <c r="B776" s="191"/>
      <c r="C776" s="191"/>
      <c r="D776" s="191"/>
      <c r="E776" s="191"/>
      <c r="F776" s="191"/>
      <c r="G776" s="191"/>
      <c r="H776" s="191"/>
      <c r="I776" s="191"/>
      <c r="J776" s="191"/>
      <c r="K776" s="191"/>
      <c r="L776" s="191"/>
      <c r="M776" s="191"/>
      <c r="N776" s="191"/>
      <c r="O776" s="191"/>
      <c r="P776" s="191"/>
      <c r="Q776" s="191"/>
      <c r="R776" s="191"/>
      <c r="S776" s="191"/>
      <c r="T776" s="191"/>
      <c r="U776" s="191"/>
      <c r="V776" s="191"/>
    </row>
    <row r="777" spans="2:22">
      <c r="B777" s="191"/>
      <c r="C777" s="191"/>
      <c r="D777" s="191"/>
      <c r="E777" s="191"/>
      <c r="F777" s="191"/>
      <c r="G777" s="191"/>
      <c r="H777" s="191"/>
      <c r="I777" s="191"/>
      <c r="J777" s="191"/>
      <c r="K777" s="191"/>
      <c r="L777" s="191"/>
      <c r="M777" s="191"/>
      <c r="N777" s="191"/>
      <c r="O777" s="191"/>
      <c r="P777" s="191"/>
      <c r="Q777" s="191"/>
      <c r="R777" s="191"/>
      <c r="S777" s="191"/>
      <c r="T777" s="191"/>
      <c r="U777" s="191"/>
      <c r="V777" s="191"/>
    </row>
    <row r="778" spans="2:22">
      <c r="B778" s="191"/>
      <c r="C778" s="191"/>
      <c r="D778" s="191"/>
      <c r="E778" s="191"/>
      <c r="F778" s="191"/>
      <c r="G778" s="191"/>
      <c r="H778" s="191"/>
      <c r="I778" s="191"/>
      <c r="J778" s="191"/>
      <c r="K778" s="191"/>
      <c r="L778" s="191"/>
      <c r="M778" s="191"/>
      <c r="N778" s="191"/>
      <c r="O778" s="191"/>
      <c r="P778" s="191"/>
      <c r="Q778" s="191"/>
      <c r="R778" s="191"/>
      <c r="S778" s="191"/>
      <c r="T778" s="191"/>
      <c r="U778" s="191"/>
      <c r="V778" s="191"/>
    </row>
    <row r="779" spans="2:22">
      <c r="B779" s="191"/>
      <c r="C779" s="191"/>
      <c r="D779" s="191"/>
      <c r="E779" s="191"/>
      <c r="F779" s="191"/>
      <c r="G779" s="191"/>
      <c r="H779" s="191"/>
      <c r="I779" s="191"/>
      <c r="J779" s="191"/>
      <c r="K779" s="191"/>
      <c r="L779" s="191"/>
      <c r="M779" s="191"/>
      <c r="N779" s="191"/>
      <c r="O779" s="191"/>
      <c r="P779" s="191"/>
      <c r="Q779" s="191"/>
      <c r="R779" s="191"/>
      <c r="S779" s="191"/>
      <c r="T779" s="191"/>
      <c r="U779" s="191"/>
      <c r="V779" s="191"/>
    </row>
    <row r="780" spans="2:22">
      <c r="B780" s="191"/>
      <c r="C780" s="191"/>
      <c r="D780" s="191"/>
      <c r="E780" s="191"/>
      <c r="F780" s="191"/>
      <c r="G780" s="191"/>
      <c r="H780" s="191"/>
      <c r="I780" s="191"/>
      <c r="J780" s="191"/>
      <c r="K780" s="191"/>
      <c r="L780" s="191"/>
      <c r="M780" s="191"/>
      <c r="N780" s="191"/>
      <c r="O780" s="191"/>
      <c r="P780" s="191"/>
      <c r="Q780" s="191"/>
      <c r="R780" s="191"/>
      <c r="S780" s="191"/>
      <c r="T780" s="191"/>
      <c r="U780" s="191"/>
      <c r="V780" s="191"/>
    </row>
    <row r="781" spans="2:22">
      <c r="B781" s="191"/>
      <c r="C781" s="191"/>
      <c r="D781" s="191"/>
      <c r="E781" s="191"/>
      <c r="F781" s="191"/>
      <c r="G781" s="191"/>
      <c r="H781" s="191"/>
      <c r="I781" s="191"/>
      <c r="J781" s="191"/>
      <c r="K781" s="191"/>
      <c r="L781" s="191"/>
      <c r="M781" s="191"/>
      <c r="N781" s="191"/>
      <c r="O781" s="191"/>
      <c r="P781" s="191"/>
      <c r="Q781" s="191"/>
      <c r="R781" s="191"/>
      <c r="S781" s="191"/>
      <c r="T781" s="191"/>
      <c r="U781" s="191"/>
      <c r="V781" s="191"/>
    </row>
    <row r="782" spans="2:22">
      <c r="B782" s="191"/>
      <c r="C782" s="191"/>
      <c r="D782" s="191"/>
      <c r="E782" s="191"/>
      <c r="F782" s="191"/>
      <c r="G782" s="191"/>
      <c r="H782" s="191"/>
      <c r="I782" s="191"/>
      <c r="J782" s="191"/>
      <c r="K782" s="191"/>
      <c r="L782" s="191"/>
      <c r="M782" s="191"/>
      <c r="N782" s="191"/>
      <c r="O782" s="191"/>
      <c r="P782" s="191"/>
      <c r="Q782" s="191"/>
      <c r="R782" s="191"/>
      <c r="S782" s="191"/>
      <c r="T782" s="191"/>
      <c r="U782" s="191"/>
      <c r="V782" s="191"/>
    </row>
    <row r="783" spans="2:22">
      <c r="B783" s="191"/>
      <c r="C783" s="191"/>
      <c r="D783" s="191"/>
      <c r="E783" s="191"/>
      <c r="F783" s="191"/>
      <c r="G783" s="191"/>
      <c r="H783" s="191"/>
      <c r="I783" s="191"/>
      <c r="J783" s="191"/>
      <c r="K783" s="191"/>
      <c r="L783" s="191"/>
      <c r="M783" s="191"/>
      <c r="N783" s="191"/>
      <c r="O783" s="191"/>
      <c r="P783" s="191"/>
      <c r="Q783" s="191"/>
      <c r="R783" s="191"/>
      <c r="S783" s="191"/>
      <c r="T783" s="191"/>
      <c r="U783" s="191"/>
      <c r="V783" s="191"/>
    </row>
    <row r="784" spans="2:22">
      <c r="B784" s="191"/>
      <c r="C784" s="191"/>
      <c r="D784" s="191"/>
      <c r="E784" s="191"/>
      <c r="F784" s="191"/>
      <c r="G784" s="191"/>
      <c r="H784" s="191"/>
      <c r="I784" s="191"/>
      <c r="J784" s="191"/>
      <c r="K784" s="191"/>
      <c r="L784" s="191"/>
      <c r="M784" s="191"/>
      <c r="N784" s="191"/>
      <c r="O784" s="191"/>
      <c r="P784" s="191"/>
      <c r="Q784" s="191"/>
      <c r="R784" s="191"/>
      <c r="S784" s="191"/>
      <c r="T784" s="191"/>
      <c r="U784" s="191"/>
      <c r="V784" s="191"/>
    </row>
    <row r="785" spans="2:22">
      <c r="B785" s="191"/>
      <c r="C785" s="191"/>
      <c r="D785" s="191"/>
      <c r="E785" s="191"/>
      <c r="F785" s="191"/>
      <c r="G785" s="191"/>
      <c r="H785" s="191"/>
      <c r="I785" s="191"/>
      <c r="J785" s="191"/>
      <c r="K785" s="191"/>
      <c r="L785" s="191"/>
      <c r="M785" s="191"/>
      <c r="N785" s="191"/>
      <c r="O785" s="191"/>
      <c r="P785" s="191"/>
      <c r="Q785" s="191"/>
      <c r="R785" s="191"/>
      <c r="S785" s="191"/>
      <c r="T785" s="191"/>
      <c r="U785" s="191"/>
      <c r="V785" s="191"/>
    </row>
    <row r="786" spans="2:22">
      <c r="B786" s="191"/>
      <c r="C786" s="191"/>
      <c r="D786" s="191"/>
      <c r="E786" s="191"/>
      <c r="F786" s="191"/>
      <c r="G786" s="191"/>
      <c r="H786" s="191"/>
      <c r="I786" s="191"/>
      <c r="J786" s="191"/>
      <c r="K786" s="191"/>
      <c r="L786" s="191"/>
      <c r="M786" s="191"/>
      <c r="N786" s="191"/>
      <c r="O786" s="191"/>
      <c r="P786" s="191"/>
      <c r="Q786" s="191"/>
      <c r="R786" s="191"/>
      <c r="S786" s="191"/>
      <c r="T786" s="191"/>
      <c r="U786" s="191"/>
      <c r="V786" s="191"/>
    </row>
    <row r="787" spans="2:22">
      <c r="B787" s="191"/>
      <c r="C787" s="191"/>
      <c r="D787" s="191"/>
      <c r="E787" s="191"/>
      <c r="F787" s="191"/>
      <c r="G787" s="191"/>
      <c r="H787" s="191"/>
      <c r="I787" s="191"/>
      <c r="J787" s="191"/>
      <c r="K787" s="191"/>
      <c r="L787" s="191"/>
      <c r="M787" s="191"/>
      <c r="N787" s="191"/>
      <c r="O787" s="191"/>
      <c r="P787" s="191"/>
      <c r="Q787" s="191"/>
      <c r="R787" s="191"/>
      <c r="S787" s="191"/>
      <c r="T787" s="191"/>
      <c r="U787" s="191"/>
      <c r="V787" s="191"/>
    </row>
    <row r="788" spans="2:22">
      <c r="B788" s="191"/>
      <c r="C788" s="191"/>
      <c r="D788" s="191"/>
      <c r="E788" s="191"/>
      <c r="F788" s="191"/>
      <c r="G788" s="191"/>
      <c r="H788" s="191"/>
      <c r="I788" s="191"/>
      <c r="J788" s="191"/>
      <c r="K788" s="191"/>
      <c r="L788" s="191"/>
      <c r="M788" s="191"/>
      <c r="N788" s="191"/>
      <c r="O788" s="191"/>
      <c r="P788" s="191"/>
      <c r="Q788" s="191"/>
      <c r="R788" s="191"/>
      <c r="S788" s="191"/>
      <c r="T788" s="191"/>
      <c r="U788" s="191"/>
      <c r="V788" s="191"/>
    </row>
    <row r="789" spans="2:22">
      <c r="B789" s="191"/>
      <c r="C789" s="191"/>
      <c r="D789" s="191"/>
      <c r="E789" s="191"/>
      <c r="F789" s="191"/>
      <c r="G789" s="191"/>
      <c r="H789" s="191"/>
      <c r="I789" s="191"/>
      <c r="J789" s="191"/>
      <c r="K789" s="191"/>
      <c r="L789" s="191"/>
      <c r="M789" s="191"/>
      <c r="N789" s="191"/>
      <c r="O789" s="191"/>
      <c r="P789" s="191"/>
      <c r="Q789" s="191"/>
      <c r="R789" s="191"/>
      <c r="S789" s="191"/>
      <c r="T789" s="191"/>
      <c r="U789" s="191"/>
      <c r="V789" s="191"/>
    </row>
    <row r="790" spans="2:22">
      <c r="B790" s="191"/>
      <c r="C790" s="191"/>
      <c r="D790" s="191"/>
      <c r="E790" s="191"/>
      <c r="F790" s="191"/>
      <c r="G790" s="191"/>
      <c r="H790" s="191"/>
      <c r="I790" s="191"/>
      <c r="J790" s="191"/>
      <c r="K790" s="191"/>
      <c r="L790" s="191"/>
      <c r="M790" s="191"/>
      <c r="N790" s="191"/>
      <c r="O790" s="191"/>
      <c r="P790" s="191"/>
      <c r="Q790" s="191"/>
      <c r="R790" s="191"/>
      <c r="S790" s="191"/>
      <c r="T790" s="191"/>
      <c r="U790" s="191"/>
      <c r="V790" s="191"/>
    </row>
    <row r="791" spans="2:22">
      <c r="B791" s="191"/>
      <c r="C791" s="191"/>
      <c r="D791" s="191"/>
      <c r="E791" s="191"/>
      <c r="F791" s="191"/>
      <c r="G791" s="191"/>
      <c r="H791" s="191"/>
      <c r="I791" s="191"/>
      <c r="J791" s="191"/>
      <c r="K791" s="191"/>
      <c r="L791" s="191"/>
      <c r="M791" s="191"/>
      <c r="N791" s="191"/>
      <c r="O791" s="191"/>
      <c r="P791" s="191"/>
      <c r="Q791" s="191"/>
      <c r="R791" s="191"/>
      <c r="S791" s="191"/>
      <c r="T791" s="191"/>
      <c r="U791" s="191"/>
      <c r="V791" s="191"/>
    </row>
    <row r="792" spans="2:22">
      <c r="B792" s="191"/>
      <c r="C792" s="191"/>
      <c r="D792" s="191"/>
      <c r="E792" s="191"/>
      <c r="F792" s="191"/>
      <c r="G792" s="191"/>
      <c r="H792" s="191"/>
      <c r="I792" s="191"/>
      <c r="J792" s="191"/>
      <c r="K792" s="191"/>
      <c r="L792" s="191"/>
      <c r="M792" s="191"/>
      <c r="N792" s="191"/>
      <c r="O792" s="191"/>
      <c r="P792" s="191"/>
      <c r="Q792" s="191"/>
      <c r="R792" s="191"/>
      <c r="S792" s="191"/>
      <c r="T792" s="191"/>
      <c r="U792" s="191"/>
      <c r="V792" s="191"/>
    </row>
    <row r="793" spans="2:22">
      <c r="B793" s="191"/>
      <c r="C793" s="191"/>
      <c r="D793" s="191"/>
      <c r="E793" s="191"/>
      <c r="F793" s="191"/>
      <c r="G793" s="191"/>
      <c r="H793" s="191"/>
      <c r="I793" s="191"/>
      <c r="J793" s="191"/>
      <c r="K793" s="191"/>
      <c r="L793" s="191"/>
      <c r="M793" s="191"/>
      <c r="N793" s="191"/>
      <c r="O793" s="191"/>
      <c r="P793" s="191"/>
      <c r="Q793" s="191"/>
      <c r="R793" s="191"/>
      <c r="S793" s="191"/>
      <c r="T793" s="191"/>
      <c r="U793" s="191"/>
      <c r="V793" s="191"/>
    </row>
    <row r="794" spans="2:22">
      <c r="B794" s="191"/>
      <c r="C794" s="191"/>
      <c r="D794" s="191"/>
      <c r="E794" s="191"/>
      <c r="F794" s="191"/>
      <c r="G794" s="191"/>
      <c r="H794" s="191"/>
      <c r="I794" s="191"/>
      <c r="J794" s="191"/>
      <c r="K794" s="191"/>
      <c r="L794" s="191"/>
      <c r="M794" s="191"/>
      <c r="N794" s="191"/>
      <c r="O794" s="191"/>
      <c r="P794" s="191"/>
      <c r="Q794" s="191"/>
      <c r="R794" s="191"/>
      <c r="S794" s="191"/>
      <c r="T794" s="191"/>
      <c r="U794" s="191"/>
      <c r="V794" s="191"/>
    </row>
    <row r="795" spans="2:22">
      <c r="B795" s="191"/>
      <c r="C795" s="191"/>
      <c r="D795" s="191"/>
      <c r="E795" s="191"/>
      <c r="F795" s="191"/>
      <c r="G795" s="191"/>
      <c r="H795" s="191"/>
      <c r="I795" s="191"/>
      <c r="J795" s="191"/>
      <c r="K795" s="191"/>
      <c r="L795" s="191"/>
      <c r="M795" s="191"/>
      <c r="N795" s="191"/>
      <c r="O795" s="191"/>
      <c r="P795" s="191"/>
      <c r="Q795" s="191"/>
      <c r="R795" s="191"/>
      <c r="S795" s="191"/>
      <c r="T795" s="191"/>
      <c r="U795" s="191"/>
      <c r="V795" s="191"/>
    </row>
    <row r="796" spans="2:22">
      <c r="B796" s="191"/>
      <c r="C796" s="191"/>
      <c r="D796" s="191"/>
      <c r="E796" s="191"/>
      <c r="F796" s="191"/>
      <c r="G796" s="191"/>
      <c r="H796" s="191"/>
      <c r="I796" s="191"/>
      <c r="J796" s="191"/>
      <c r="K796" s="191"/>
      <c r="L796" s="191"/>
      <c r="M796" s="191"/>
      <c r="N796" s="191"/>
      <c r="O796" s="191"/>
      <c r="P796" s="191"/>
      <c r="Q796" s="191"/>
      <c r="R796" s="191"/>
      <c r="S796" s="191"/>
      <c r="T796" s="191"/>
      <c r="U796" s="191"/>
      <c r="V796" s="191"/>
    </row>
    <row r="797" spans="2:22">
      <c r="B797" s="191"/>
      <c r="C797" s="191"/>
      <c r="D797" s="191"/>
      <c r="E797" s="191"/>
      <c r="F797" s="191"/>
      <c r="G797" s="191"/>
      <c r="H797" s="191"/>
      <c r="I797" s="191"/>
      <c r="J797" s="191"/>
      <c r="K797" s="191"/>
      <c r="L797" s="191"/>
      <c r="M797" s="191"/>
      <c r="N797" s="191"/>
      <c r="O797" s="191"/>
      <c r="P797" s="191"/>
      <c r="Q797" s="191"/>
      <c r="R797" s="191"/>
      <c r="S797" s="191"/>
      <c r="T797" s="191"/>
      <c r="U797" s="191"/>
      <c r="V797" s="191"/>
    </row>
    <row r="798" spans="2:22">
      <c r="B798" s="191"/>
      <c r="C798" s="191"/>
      <c r="D798" s="191"/>
      <c r="E798" s="191"/>
      <c r="F798" s="191"/>
      <c r="G798" s="191"/>
      <c r="H798" s="191"/>
      <c r="I798" s="191"/>
      <c r="J798" s="191"/>
      <c r="K798" s="191"/>
      <c r="L798" s="191"/>
      <c r="M798" s="191"/>
      <c r="N798" s="191"/>
      <c r="O798" s="191"/>
      <c r="P798" s="191"/>
      <c r="Q798" s="191"/>
      <c r="R798" s="191"/>
      <c r="S798" s="191"/>
      <c r="T798" s="191"/>
      <c r="U798" s="191"/>
      <c r="V798" s="191"/>
    </row>
    <row r="799" spans="2:22">
      <c r="B799" s="191"/>
      <c r="C799" s="191"/>
      <c r="D799" s="191"/>
      <c r="E799" s="191"/>
      <c r="F799" s="191"/>
      <c r="G799" s="191"/>
      <c r="H799" s="191"/>
      <c r="I799" s="191"/>
      <c r="J799" s="191"/>
      <c r="K799" s="191"/>
      <c r="L799" s="191"/>
      <c r="M799" s="191"/>
      <c r="N799" s="191"/>
      <c r="O799" s="191"/>
      <c r="P799" s="191"/>
      <c r="Q799" s="191"/>
      <c r="R799" s="191"/>
      <c r="S799" s="191"/>
      <c r="T799" s="191"/>
      <c r="U799" s="191"/>
      <c r="V799" s="191"/>
    </row>
    <row r="800" spans="2:22">
      <c r="B800" s="191"/>
      <c r="C800" s="191"/>
      <c r="D800" s="191"/>
      <c r="E800" s="191"/>
      <c r="F800" s="191"/>
      <c r="G800" s="191"/>
      <c r="H800" s="191"/>
      <c r="I800" s="191"/>
      <c r="J800" s="191"/>
      <c r="K800" s="191"/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</row>
    <row r="801" spans="2:22">
      <c r="B801" s="191"/>
      <c r="C801" s="191"/>
      <c r="D801" s="191"/>
      <c r="E801" s="191"/>
      <c r="F801" s="191"/>
      <c r="G801" s="191"/>
      <c r="H801" s="191"/>
      <c r="I801" s="191"/>
      <c r="J801" s="191"/>
      <c r="K801" s="191"/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</row>
    <row r="802" spans="2:22">
      <c r="B802" s="191"/>
      <c r="C802" s="191"/>
      <c r="D802" s="191"/>
      <c r="E802" s="191"/>
      <c r="F802" s="191"/>
      <c r="G802" s="191"/>
      <c r="H802" s="191"/>
      <c r="I802" s="191"/>
      <c r="J802" s="191"/>
      <c r="K802" s="191"/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</row>
    <row r="803" spans="2:22">
      <c r="B803" s="191"/>
      <c r="C803" s="191"/>
      <c r="D803" s="191"/>
      <c r="E803" s="191"/>
      <c r="F803" s="191"/>
      <c r="G803" s="191"/>
      <c r="H803" s="191"/>
      <c r="I803" s="191"/>
      <c r="J803" s="191"/>
      <c r="K803" s="191"/>
      <c r="L803" s="191"/>
      <c r="M803" s="191"/>
      <c r="N803" s="191"/>
      <c r="O803" s="191"/>
      <c r="P803" s="191"/>
      <c r="Q803" s="191"/>
      <c r="R803" s="191"/>
      <c r="S803" s="191"/>
      <c r="T803" s="191"/>
      <c r="U803" s="191"/>
      <c r="V803" s="191"/>
    </row>
    <row r="804" spans="2:22">
      <c r="B804" s="191"/>
      <c r="C804" s="191"/>
      <c r="D804" s="191"/>
      <c r="E804" s="191"/>
      <c r="F804" s="191"/>
      <c r="G804" s="191"/>
      <c r="H804" s="191"/>
      <c r="I804" s="191"/>
      <c r="J804" s="191"/>
      <c r="K804" s="191"/>
      <c r="L804" s="191"/>
      <c r="M804" s="191"/>
      <c r="N804" s="191"/>
      <c r="O804" s="191"/>
      <c r="P804" s="191"/>
      <c r="Q804" s="191"/>
      <c r="R804" s="191"/>
      <c r="S804" s="191"/>
      <c r="T804" s="191"/>
      <c r="U804" s="191"/>
      <c r="V804" s="191"/>
    </row>
    <row r="805" spans="2:22">
      <c r="B805" s="191"/>
      <c r="C805" s="191"/>
      <c r="D805" s="191"/>
      <c r="E805" s="191"/>
      <c r="F805" s="191"/>
      <c r="G805" s="191"/>
      <c r="H805" s="191"/>
      <c r="I805" s="191"/>
      <c r="J805" s="191"/>
      <c r="K805" s="191"/>
      <c r="L805" s="191"/>
      <c r="M805" s="191"/>
      <c r="N805" s="191"/>
      <c r="O805" s="191"/>
      <c r="P805" s="191"/>
      <c r="Q805" s="191"/>
      <c r="R805" s="191"/>
      <c r="S805" s="191"/>
      <c r="T805" s="191"/>
      <c r="U805" s="191"/>
      <c r="V805" s="191"/>
    </row>
    <row r="806" spans="2:22">
      <c r="B806" s="191"/>
      <c r="C806" s="191"/>
      <c r="D806" s="191"/>
      <c r="E806" s="191"/>
      <c r="F806" s="191"/>
      <c r="G806" s="191"/>
      <c r="H806" s="191"/>
      <c r="I806" s="191"/>
      <c r="J806" s="191"/>
      <c r="K806" s="191"/>
      <c r="L806" s="191"/>
      <c r="M806" s="191"/>
      <c r="N806" s="191"/>
      <c r="O806" s="191"/>
      <c r="P806" s="191"/>
      <c r="Q806" s="191"/>
      <c r="R806" s="191"/>
      <c r="S806" s="191"/>
      <c r="T806" s="191"/>
      <c r="U806" s="191"/>
      <c r="V806" s="191"/>
    </row>
    <row r="807" spans="2:22">
      <c r="B807" s="191"/>
      <c r="C807" s="191"/>
      <c r="D807" s="191"/>
      <c r="E807" s="191"/>
      <c r="F807" s="191"/>
      <c r="G807" s="191"/>
      <c r="H807" s="191"/>
      <c r="I807" s="191"/>
      <c r="J807" s="191"/>
      <c r="K807" s="191"/>
      <c r="L807" s="191"/>
      <c r="M807" s="191"/>
      <c r="N807" s="191"/>
      <c r="O807" s="191"/>
      <c r="P807" s="191"/>
      <c r="Q807" s="191"/>
      <c r="R807" s="191"/>
      <c r="S807" s="191"/>
      <c r="T807" s="191"/>
      <c r="U807" s="191"/>
      <c r="V807" s="191"/>
    </row>
    <row r="808" spans="2:22">
      <c r="B808" s="191"/>
      <c r="C808" s="191"/>
      <c r="D808" s="191"/>
      <c r="E808" s="191"/>
      <c r="F808" s="191"/>
      <c r="G808" s="191"/>
      <c r="H808" s="191"/>
      <c r="I808" s="191"/>
      <c r="J808" s="191"/>
      <c r="K808" s="191"/>
      <c r="L808" s="191"/>
      <c r="M808" s="191"/>
      <c r="N808" s="191"/>
      <c r="O808" s="191"/>
      <c r="P808" s="191"/>
      <c r="Q808" s="191"/>
      <c r="R808" s="191"/>
      <c r="S808" s="191"/>
      <c r="T808" s="191"/>
      <c r="U808" s="191"/>
      <c r="V808" s="191"/>
    </row>
    <row r="809" spans="2:22">
      <c r="B809" s="191"/>
      <c r="C809" s="191"/>
      <c r="D809" s="191"/>
      <c r="E809" s="191"/>
      <c r="F809" s="191"/>
      <c r="G809" s="191"/>
      <c r="H809" s="191"/>
      <c r="I809" s="191"/>
      <c r="J809" s="191"/>
      <c r="K809" s="191"/>
      <c r="L809" s="191"/>
      <c r="M809" s="191"/>
      <c r="N809" s="191"/>
      <c r="O809" s="191"/>
      <c r="P809" s="191"/>
      <c r="Q809" s="191"/>
      <c r="R809" s="191"/>
      <c r="S809" s="191"/>
      <c r="T809" s="191"/>
      <c r="U809" s="191"/>
      <c r="V809" s="191"/>
    </row>
    <row r="810" spans="2:22">
      <c r="B810" s="191"/>
      <c r="C810" s="191"/>
      <c r="D810" s="191"/>
      <c r="E810" s="191"/>
      <c r="F810" s="191"/>
      <c r="G810" s="191"/>
      <c r="H810" s="191"/>
      <c r="I810" s="191"/>
      <c r="J810" s="191"/>
      <c r="K810" s="191"/>
      <c r="L810" s="191"/>
      <c r="M810" s="191"/>
      <c r="N810" s="191"/>
      <c r="O810" s="191"/>
      <c r="P810" s="191"/>
      <c r="Q810" s="191"/>
      <c r="R810" s="191"/>
      <c r="S810" s="191"/>
      <c r="T810" s="191"/>
      <c r="U810" s="191"/>
      <c r="V810" s="191"/>
    </row>
    <row r="811" spans="2:22">
      <c r="B811" s="191"/>
      <c r="C811" s="191"/>
      <c r="D811" s="191"/>
      <c r="E811" s="191"/>
      <c r="F811" s="191"/>
      <c r="G811" s="191"/>
      <c r="H811" s="191"/>
      <c r="I811" s="191"/>
      <c r="J811" s="191"/>
      <c r="K811" s="191"/>
      <c r="L811" s="191"/>
      <c r="M811" s="191"/>
      <c r="N811" s="191"/>
      <c r="O811" s="191"/>
      <c r="P811" s="191"/>
      <c r="Q811" s="191"/>
      <c r="R811" s="191"/>
      <c r="S811" s="191"/>
      <c r="T811" s="191"/>
      <c r="U811" s="191"/>
      <c r="V811" s="191"/>
    </row>
    <row r="812" spans="2:22">
      <c r="B812" s="191"/>
      <c r="C812" s="191"/>
      <c r="D812" s="191"/>
      <c r="E812" s="191"/>
      <c r="F812" s="191"/>
      <c r="G812" s="191"/>
      <c r="H812" s="191"/>
      <c r="I812" s="191"/>
      <c r="J812" s="191"/>
      <c r="K812" s="191"/>
      <c r="L812" s="191"/>
      <c r="M812" s="191"/>
      <c r="N812" s="191"/>
      <c r="O812" s="191"/>
      <c r="P812" s="191"/>
      <c r="Q812" s="191"/>
      <c r="R812" s="191"/>
      <c r="S812" s="191"/>
      <c r="T812" s="191"/>
      <c r="U812" s="191"/>
      <c r="V812" s="191"/>
    </row>
    <row r="813" spans="2:22">
      <c r="B813" s="191"/>
      <c r="C813" s="191"/>
      <c r="D813" s="191"/>
      <c r="E813" s="191"/>
      <c r="F813" s="191"/>
      <c r="G813" s="191"/>
      <c r="H813" s="191"/>
      <c r="I813" s="191"/>
      <c r="J813" s="191"/>
      <c r="K813" s="191"/>
      <c r="L813" s="191"/>
      <c r="M813" s="191"/>
      <c r="N813" s="191"/>
      <c r="O813" s="191"/>
      <c r="P813" s="191"/>
      <c r="Q813" s="191"/>
      <c r="R813" s="191"/>
      <c r="S813" s="191"/>
      <c r="T813" s="191"/>
      <c r="U813" s="191"/>
      <c r="V813" s="191"/>
    </row>
    <row r="814" spans="2:22">
      <c r="B814" s="191"/>
      <c r="C814" s="191"/>
      <c r="D814" s="191"/>
      <c r="E814" s="191"/>
      <c r="F814" s="191"/>
      <c r="G814" s="191"/>
      <c r="H814" s="191"/>
      <c r="I814" s="191"/>
      <c r="J814" s="191"/>
      <c r="K814" s="191"/>
      <c r="L814" s="191"/>
      <c r="M814" s="191"/>
      <c r="N814" s="191"/>
      <c r="O814" s="191"/>
      <c r="P814" s="191"/>
      <c r="Q814" s="191"/>
      <c r="R814" s="191"/>
      <c r="S814" s="191"/>
      <c r="T814" s="191"/>
      <c r="U814" s="191"/>
      <c r="V814" s="191"/>
    </row>
    <row r="815" spans="2:22">
      <c r="B815" s="191"/>
      <c r="C815" s="191"/>
      <c r="D815" s="191"/>
      <c r="E815" s="191"/>
      <c r="F815" s="191"/>
      <c r="G815" s="191"/>
      <c r="H815" s="191"/>
      <c r="I815" s="191"/>
      <c r="J815" s="191"/>
      <c r="K815" s="191"/>
      <c r="L815" s="191"/>
      <c r="M815" s="191"/>
      <c r="N815" s="191"/>
      <c r="O815" s="191"/>
      <c r="P815" s="191"/>
      <c r="Q815" s="191"/>
      <c r="R815" s="191"/>
      <c r="S815" s="191"/>
      <c r="T815" s="191"/>
      <c r="U815" s="191"/>
      <c r="V815" s="191"/>
    </row>
    <row r="816" spans="2:22">
      <c r="B816" s="191"/>
      <c r="C816" s="191"/>
      <c r="D816" s="191"/>
      <c r="E816" s="191"/>
      <c r="F816" s="191"/>
      <c r="G816" s="191"/>
      <c r="H816" s="191"/>
      <c r="I816" s="191"/>
      <c r="J816" s="191"/>
      <c r="K816" s="191"/>
      <c r="L816" s="191"/>
      <c r="M816" s="191"/>
      <c r="N816" s="191"/>
      <c r="O816" s="191"/>
      <c r="P816" s="191"/>
      <c r="Q816" s="191"/>
      <c r="R816" s="191"/>
      <c r="S816" s="191"/>
      <c r="T816" s="191"/>
      <c r="U816" s="191"/>
      <c r="V816" s="191"/>
    </row>
    <row r="817" spans="2:22">
      <c r="B817" s="191"/>
      <c r="C817" s="191"/>
      <c r="D817" s="191"/>
      <c r="E817" s="191"/>
      <c r="F817" s="191"/>
      <c r="G817" s="191"/>
      <c r="H817" s="191"/>
      <c r="I817" s="191"/>
      <c r="J817" s="191"/>
      <c r="K817" s="191"/>
      <c r="L817" s="191"/>
      <c r="M817" s="191"/>
      <c r="N817" s="191"/>
      <c r="O817" s="191"/>
      <c r="P817" s="191"/>
      <c r="Q817" s="191"/>
      <c r="R817" s="191"/>
      <c r="S817" s="191"/>
      <c r="T817" s="191"/>
      <c r="U817" s="191"/>
      <c r="V817" s="191"/>
    </row>
    <row r="818" spans="2:22">
      <c r="B818" s="191"/>
      <c r="C818" s="191"/>
      <c r="D818" s="191"/>
      <c r="E818" s="191"/>
      <c r="F818" s="191"/>
      <c r="G818" s="191"/>
      <c r="H818" s="191"/>
      <c r="I818" s="191"/>
      <c r="J818" s="191"/>
      <c r="K818" s="191"/>
      <c r="L818" s="191"/>
      <c r="M818" s="191"/>
      <c r="N818" s="191"/>
      <c r="O818" s="191"/>
      <c r="P818" s="191"/>
      <c r="Q818" s="191"/>
      <c r="R818" s="191"/>
      <c r="S818" s="191"/>
      <c r="T818" s="191"/>
      <c r="U818" s="191"/>
      <c r="V818" s="191"/>
    </row>
    <row r="819" spans="2:22">
      <c r="B819" s="191"/>
      <c r="C819" s="191"/>
      <c r="D819" s="191"/>
      <c r="E819" s="191"/>
      <c r="F819" s="191"/>
      <c r="G819" s="191"/>
      <c r="H819" s="191"/>
      <c r="I819" s="191"/>
      <c r="J819" s="191"/>
      <c r="K819" s="191"/>
      <c r="L819" s="191"/>
      <c r="M819" s="191"/>
      <c r="N819" s="191"/>
      <c r="O819" s="191"/>
      <c r="P819" s="191"/>
      <c r="Q819" s="191"/>
      <c r="R819" s="191"/>
      <c r="S819" s="191"/>
      <c r="T819" s="191"/>
      <c r="U819" s="191"/>
      <c r="V819" s="191"/>
    </row>
    <row r="820" spans="2:22">
      <c r="B820" s="191"/>
      <c r="C820" s="191"/>
      <c r="D820" s="191"/>
      <c r="E820" s="191"/>
      <c r="F820" s="191"/>
      <c r="G820" s="191"/>
      <c r="H820" s="191"/>
      <c r="I820" s="191"/>
      <c r="J820" s="191"/>
      <c r="K820" s="191"/>
      <c r="L820" s="191"/>
      <c r="M820" s="191"/>
      <c r="N820" s="191"/>
      <c r="O820" s="191"/>
      <c r="P820" s="191"/>
      <c r="Q820" s="191"/>
      <c r="R820" s="191"/>
      <c r="S820" s="191"/>
      <c r="T820" s="191"/>
      <c r="U820" s="191"/>
      <c r="V820" s="191"/>
    </row>
    <row r="821" spans="2:22">
      <c r="B821" s="191"/>
      <c r="C821" s="191"/>
      <c r="D821" s="191"/>
      <c r="E821" s="191"/>
      <c r="F821" s="191"/>
      <c r="G821" s="191"/>
      <c r="H821" s="191"/>
      <c r="I821" s="191"/>
      <c r="J821" s="191"/>
      <c r="K821" s="191"/>
      <c r="L821" s="191"/>
      <c r="M821" s="191"/>
      <c r="N821" s="191"/>
      <c r="O821" s="191"/>
      <c r="P821" s="191"/>
      <c r="Q821" s="191"/>
      <c r="R821" s="191"/>
      <c r="S821" s="191"/>
      <c r="T821" s="191"/>
      <c r="U821" s="191"/>
      <c r="V821" s="191"/>
    </row>
    <row r="822" spans="2:22">
      <c r="B822" s="191"/>
      <c r="C822" s="191"/>
      <c r="D822" s="191"/>
      <c r="E822" s="191"/>
      <c r="F822" s="191"/>
      <c r="G822" s="191"/>
      <c r="H822" s="191"/>
      <c r="I822" s="191"/>
      <c r="J822" s="191"/>
      <c r="K822" s="191"/>
      <c r="L822" s="191"/>
      <c r="M822" s="191"/>
      <c r="N822" s="191"/>
      <c r="O822" s="191"/>
      <c r="P822" s="191"/>
      <c r="Q822" s="191"/>
      <c r="R822" s="191"/>
      <c r="S822" s="191"/>
      <c r="T822" s="191"/>
      <c r="U822" s="191"/>
      <c r="V822" s="191"/>
    </row>
    <row r="823" spans="2:22">
      <c r="B823" s="191"/>
      <c r="C823" s="191"/>
      <c r="D823" s="191"/>
      <c r="E823" s="191"/>
      <c r="F823" s="191"/>
      <c r="G823" s="191"/>
      <c r="H823" s="191"/>
      <c r="I823" s="191"/>
      <c r="J823" s="191"/>
      <c r="K823" s="191"/>
      <c r="L823" s="191"/>
      <c r="M823" s="191"/>
      <c r="N823" s="191"/>
      <c r="O823" s="191"/>
      <c r="P823" s="191"/>
      <c r="Q823" s="191"/>
      <c r="R823" s="191"/>
      <c r="S823" s="191"/>
      <c r="T823" s="191"/>
      <c r="U823" s="191"/>
      <c r="V823" s="191"/>
    </row>
    <row r="824" spans="2:22">
      <c r="B824" s="191"/>
      <c r="C824" s="191"/>
      <c r="D824" s="191"/>
      <c r="E824" s="191"/>
      <c r="F824" s="191"/>
      <c r="G824" s="191"/>
      <c r="H824" s="191"/>
      <c r="I824" s="191"/>
      <c r="J824" s="191"/>
      <c r="K824" s="191"/>
      <c r="L824" s="191"/>
      <c r="M824" s="191"/>
      <c r="N824" s="191"/>
      <c r="O824" s="191"/>
      <c r="P824" s="191"/>
      <c r="Q824" s="191"/>
      <c r="R824" s="191"/>
      <c r="S824" s="191"/>
      <c r="T824" s="191"/>
      <c r="U824" s="191"/>
      <c r="V824" s="191"/>
    </row>
    <row r="825" spans="2:22">
      <c r="B825" s="191"/>
      <c r="C825" s="191"/>
      <c r="D825" s="191"/>
      <c r="E825" s="191"/>
      <c r="F825" s="191"/>
      <c r="G825" s="191"/>
      <c r="H825" s="191"/>
      <c r="I825" s="191"/>
      <c r="J825" s="191"/>
      <c r="K825" s="191"/>
      <c r="L825" s="191"/>
      <c r="M825" s="191"/>
      <c r="N825" s="191"/>
      <c r="O825" s="191"/>
      <c r="P825" s="191"/>
      <c r="Q825" s="191"/>
      <c r="R825" s="191"/>
      <c r="S825" s="191"/>
      <c r="T825" s="191"/>
      <c r="U825" s="191"/>
      <c r="V825" s="191"/>
    </row>
    <row r="826" spans="2:22">
      <c r="B826" s="191"/>
      <c r="C826" s="191"/>
      <c r="D826" s="191"/>
      <c r="E826" s="191"/>
      <c r="F826" s="191"/>
      <c r="G826" s="191"/>
      <c r="H826" s="191"/>
      <c r="I826" s="191"/>
      <c r="J826" s="191"/>
      <c r="K826" s="191"/>
      <c r="L826" s="191"/>
      <c r="M826" s="191"/>
      <c r="N826" s="191"/>
      <c r="O826" s="191"/>
      <c r="P826" s="191"/>
      <c r="Q826" s="191"/>
      <c r="R826" s="191"/>
      <c r="S826" s="191"/>
      <c r="T826" s="191"/>
      <c r="U826" s="191"/>
      <c r="V826" s="191"/>
    </row>
    <row r="827" spans="2:22">
      <c r="B827" s="191"/>
      <c r="C827" s="191"/>
      <c r="D827" s="191"/>
      <c r="E827" s="191"/>
      <c r="F827" s="191"/>
      <c r="G827" s="191"/>
      <c r="H827" s="191"/>
      <c r="I827" s="191"/>
      <c r="J827" s="191"/>
      <c r="K827" s="191"/>
      <c r="L827" s="191"/>
      <c r="M827" s="191"/>
      <c r="N827" s="191"/>
      <c r="O827" s="191"/>
      <c r="P827" s="191"/>
      <c r="Q827" s="191"/>
      <c r="R827" s="191"/>
      <c r="S827" s="191"/>
      <c r="T827" s="191"/>
      <c r="U827" s="191"/>
      <c r="V827" s="191"/>
    </row>
    <row r="828" spans="2:22">
      <c r="B828" s="191"/>
      <c r="C828" s="191"/>
      <c r="D828" s="191"/>
      <c r="E828" s="191"/>
      <c r="F828" s="191"/>
      <c r="G828" s="191"/>
      <c r="H828" s="191"/>
      <c r="I828" s="191"/>
      <c r="J828" s="191"/>
      <c r="K828" s="191"/>
      <c r="L828" s="191"/>
      <c r="M828" s="191"/>
      <c r="N828" s="191"/>
      <c r="O828" s="191"/>
      <c r="P828" s="191"/>
      <c r="Q828" s="191"/>
      <c r="R828" s="191"/>
      <c r="S828" s="191"/>
      <c r="T828" s="191"/>
      <c r="U828" s="191"/>
      <c r="V828" s="191"/>
    </row>
    <row r="829" spans="2:22">
      <c r="B829" s="191"/>
      <c r="C829" s="191"/>
      <c r="D829" s="191"/>
      <c r="E829" s="191"/>
      <c r="F829" s="191"/>
      <c r="G829" s="191"/>
      <c r="H829" s="191"/>
      <c r="I829" s="191"/>
      <c r="J829" s="191"/>
      <c r="K829" s="191"/>
      <c r="L829" s="191"/>
      <c r="M829" s="191"/>
      <c r="N829" s="191"/>
      <c r="O829" s="191"/>
      <c r="P829" s="191"/>
      <c r="Q829" s="191"/>
      <c r="R829" s="191"/>
      <c r="S829" s="191"/>
      <c r="T829" s="191"/>
      <c r="U829" s="191"/>
      <c r="V829" s="191"/>
    </row>
    <row r="830" spans="2:22">
      <c r="B830" s="191"/>
      <c r="C830" s="191"/>
      <c r="D830" s="191"/>
      <c r="E830" s="191"/>
      <c r="F830" s="191"/>
      <c r="G830" s="191"/>
      <c r="H830" s="191"/>
      <c r="I830" s="191"/>
      <c r="J830" s="191"/>
      <c r="K830" s="191"/>
      <c r="L830" s="191"/>
      <c r="M830" s="191"/>
      <c r="N830" s="191"/>
      <c r="O830" s="191"/>
      <c r="P830" s="191"/>
      <c r="Q830" s="191"/>
      <c r="R830" s="191"/>
      <c r="S830" s="191"/>
      <c r="T830" s="191"/>
      <c r="U830" s="191"/>
      <c r="V830" s="191"/>
    </row>
    <row r="831" spans="2:22">
      <c r="B831" s="191"/>
      <c r="C831" s="191"/>
      <c r="D831" s="191"/>
      <c r="E831" s="191"/>
      <c r="F831" s="191"/>
      <c r="G831" s="191"/>
      <c r="H831" s="191"/>
      <c r="I831" s="191"/>
      <c r="J831" s="191"/>
      <c r="K831" s="191"/>
      <c r="L831" s="191"/>
      <c r="M831" s="191"/>
      <c r="N831" s="191"/>
      <c r="O831" s="191"/>
      <c r="P831" s="191"/>
      <c r="Q831" s="191"/>
      <c r="R831" s="191"/>
      <c r="S831" s="191"/>
      <c r="T831" s="191"/>
      <c r="U831" s="191"/>
      <c r="V831" s="191"/>
    </row>
    <row r="832" spans="2:22">
      <c r="B832" s="191"/>
      <c r="C832" s="191"/>
      <c r="D832" s="191"/>
      <c r="E832" s="191"/>
      <c r="F832" s="191"/>
      <c r="G832" s="191"/>
      <c r="H832" s="191"/>
      <c r="I832" s="191"/>
      <c r="J832" s="191"/>
      <c r="K832" s="191"/>
      <c r="L832" s="191"/>
      <c r="M832" s="191"/>
      <c r="N832" s="191"/>
      <c r="O832" s="191"/>
      <c r="P832" s="191"/>
      <c r="Q832" s="191"/>
      <c r="R832" s="191"/>
      <c r="S832" s="191"/>
      <c r="T832" s="191"/>
      <c r="U832" s="191"/>
      <c r="V832" s="191"/>
    </row>
    <row r="833" spans="2:22">
      <c r="B833" s="191"/>
      <c r="C833" s="191"/>
      <c r="D833" s="191"/>
      <c r="E833" s="191"/>
      <c r="F833" s="191"/>
      <c r="G833" s="191"/>
      <c r="H833" s="191"/>
      <c r="I833" s="191"/>
      <c r="J833" s="191"/>
      <c r="K833" s="191"/>
      <c r="L833" s="191"/>
      <c r="M833" s="191"/>
      <c r="N833" s="191"/>
      <c r="O833" s="191"/>
      <c r="P833" s="191"/>
      <c r="Q833" s="191"/>
      <c r="R833" s="191"/>
      <c r="S833" s="191"/>
      <c r="T833" s="191"/>
      <c r="U833" s="191"/>
      <c r="V833" s="191"/>
    </row>
    <row r="834" spans="2:22">
      <c r="B834" s="191"/>
      <c r="C834" s="191"/>
      <c r="D834" s="191"/>
      <c r="E834" s="191"/>
      <c r="F834" s="191"/>
      <c r="G834" s="191"/>
      <c r="H834" s="191"/>
      <c r="I834" s="191"/>
      <c r="J834" s="191"/>
      <c r="K834" s="191"/>
      <c r="L834" s="191"/>
      <c r="M834" s="191"/>
      <c r="N834" s="191"/>
      <c r="O834" s="191"/>
      <c r="P834" s="191"/>
      <c r="Q834" s="191"/>
      <c r="R834" s="191"/>
      <c r="S834" s="191"/>
      <c r="T834" s="191"/>
      <c r="U834" s="191"/>
      <c r="V834" s="191"/>
    </row>
    <row r="835" spans="2:22">
      <c r="B835" s="191"/>
      <c r="C835" s="191"/>
      <c r="D835" s="191"/>
      <c r="E835" s="191"/>
      <c r="F835" s="191"/>
      <c r="G835" s="191"/>
      <c r="H835" s="191"/>
      <c r="I835" s="191"/>
      <c r="J835" s="191"/>
      <c r="K835" s="191"/>
      <c r="L835" s="191"/>
      <c r="M835" s="191"/>
      <c r="N835" s="191"/>
      <c r="O835" s="191"/>
      <c r="P835" s="191"/>
      <c r="Q835" s="191"/>
      <c r="R835" s="191"/>
      <c r="S835" s="191"/>
      <c r="T835" s="191"/>
      <c r="U835" s="191"/>
      <c r="V835" s="191"/>
    </row>
    <row r="836" spans="2:22">
      <c r="B836" s="191"/>
      <c r="C836" s="191"/>
      <c r="D836" s="191"/>
      <c r="E836" s="191"/>
      <c r="F836" s="191"/>
      <c r="G836" s="191"/>
      <c r="H836" s="191"/>
      <c r="I836" s="191"/>
      <c r="J836" s="191"/>
      <c r="K836" s="191"/>
      <c r="L836" s="191"/>
      <c r="M836" s="191"/>
      <c r="N836" s="191"/>
      <c r="O836" s="191"/>
      <c r="P836" s="191"/>
      <c r="Q836" s="191"/>
      <c r="R836" s="191"/>
      <c r="S836" s="191"/>
      <c r="T836" s="191"/>
      <c r="U836" s="191"/>
      <c r="V836" s="191"/>
    </row>
    <row r="837" spans="2:22">
      <c r="B837" s="191"/>
      <c r="C837" s="191"/>
      <c r="D837" s="191"/>
      <c r="E837" s="191"/>
      <c r="F837" s="191"/>
      <c r="G837" s="191"/>
      <c r="H837" s="191"/>
      <c r="I837" s="191"/>
      <c r="J837" s="191"/>
      <c r="K837" s="191"/>
      <c r="L837" s="191"/>
      <c r="M837" s="191"/>
      <c r="N837" s="191"/>
      <c r="O837" s="191"/>
      <c r="P837" s="191"/>
      <c r="Q837" s="191"/>
      <c r="R837" s="191"/>
      <c r="S837" s="191"/>
      <c r="T837" s="191"/>
      <c r="U837" s="191"/>
      <c r="V837" s="191"/>
    </row>
    <row r="838" spans="2:22">
      <c r="B838" s="191"/>
      <c r="C838" s="191"/>
      <c r="D838" s="191"/>
      <c r="E838" s="191"/>
      <c r="F838" s="191"/>
      <c r="G838" s="191"/>
      <c r="H838" s="191"/>
      <c r="I838" s="191"/>
      <c r="J838" s="191"/>
      <c r="K838" s="191"/>
      <c r="L838" s="191"/>
      <c r="M838" s="191"/>
      <c r="N838" s="191"/>
      <c r="O838" s="191"/>
      <c r="P838" s="191"/>
      <c r="Q838" s="191"/>
      <c r="R838" s="191"/>
      <c r="S838" s="191"/>
      <c r="T838" s="191"/>
      <c r="U838" s="191"/>
      <c r="V838" s="191"/>
    </row>
    <row r="839" spans="2:22">
      <c r="B839" s="191"/>
      <c r="C839" s="191"/>
      <c r="D839" s="191"/>
      <c r="E839" s="191"/>
      <c r="F839" s="191"/>
      <c r="G839" s="191"/>
      <c r="H839" s="191"/>
      <c r="I839" s="191"/>
      <c r="J839" s="191"/>
      <c r="K839" s="191"/>
      <c r="L839" s="191"/>
      <c r="M839" s="191"/>
      <c r="N839" s="191"/>
      <c r="O839" s="191"/>
      <c r="P839" s="191"/>
      <c r="Q839" s="191"/>
      <c r="R839" s="191"/>
      <c r="S839" s="191"/>
      <c r="T839" s="191"/>
      <c r="U839" s="191"/>
      <c r="V839" s="191"/>
    </row>
    <row r="840" spans="2:22">
      <c r="B840" s="191"/>
      <c r="C840" s="191"/>
      <c r="D840" s="191"/>
      <c r="E840" s="191"/>
      <c r="F840" s="191"/>
      <c r="G840" s="191"/>
      <c r="H840" s="191"/>
      <c r="I840" s="191"/>
      <c r="J840" s="191"/>
      <c r="K840" s="191"/>
      <c r="L840" s="191"/>
      <c r="M840" s="191"/>
      <c r="N840" s="191"/>
      <c r="O840" s="191"/>
      <c r="P840" s="191"/>
      <c r="Q840" s="191"/>
      <c r="R840" s="191"/>
      <c r="S840" s="191"/>
      <c r="T840" s="191"/>
      <c r="U840" s="191"/>
      <c r="V840" s="191"/>
    </row>
    <row r="841" spans="2:22">
      <c r="B841" s="191"/>
      <c r="C841" s="191"/>
      <c r="D841" s="191"/>
      <c r="E841" s="191"/>
      <c r="F841" s="191"/>
      <c r="G841" s="191"/>
      <c r="H841" s="191"/>
      <c r="I841" s="191"/>
      <c r="J841" s="191"/>
      <c r="K841" s="191"/>
      <c r="L841" s="191"/>
      <c r="M841" s="191"/>
      <c r="N841" s="191"/>
      <c r="O841" s="191"/>
      <c r="P841" s="191"/>
      <c r="Q841" s="191"/>
      <c r="R841" s="191"/>
      <c r="S841" s="191"/>
      <c r="T841" s="191"/>
      <c r="U841" s="191"/>
      <c r="V841" s="191"/>
    </row>
    <row r="842" spans="2:22">
      <c r="B842" s="191"/>
      <c r="C842" s="191"/>
      <c r="D842" s="191"/>
      <c r="E842" s="191"/>
      <c r="F842" s="191"/>
      <c r="G842" s="191"/>
      <c r="H842" s="191"/>
      <c r="I842" s="191"/>
      <c r="J842" s="191"/>
      <c r="K842" s="191"/>
      <c r="L842" s="191"/>
      <c r="M842" s="191"/>
      <c r="N842" s="191"/>
      <c r="O842" s="191"/>
      <c r="P842" s="191"/>
      <c r="Q842" s="191"/>
      <c r="R842" s="191"/>
      <c r="S842" s="191"/>
      <c r="T842" s="191"/>
      <c r="U842" s="191"/>
      <c r="V842" s="191"/>
    </row>
    <row r="843" spans="2:22">
      <c r="B843" s="191"/>
      <c r="C843" s="191"/>
      <c r="D843" s="191"/>
      <c r="E843" s="191"/>
      <c r="F843" s="191"/>
      <c r="G843" s="191"/>
      <c r="H843" s="191"/>
      <c r="I843" s="191"/>
      <c r="J843" s="191"/>
      <c r="K843" s="191"/>
      <c r="L843" s="191"/>
      <c r="M843" s="191"/>
      <c r="N843" s="191"/>
      <c r="O843" s="191"/>
      <c r="P843" s="191"/>
      <c r="Q843" s="191"/>
      <c r="R843" s="191"/>
      <c r="S843" s="191"/>
      <c r="T843" s="191"/>
      <c r="U843" s="191"/>
      <c r="V843" s="191"/>
    </row>
    <row r="844" spans="2:22">
      <c r="B844" s="191"/>
      <c r="C844" s="191"/>
      <c r="D844" s="191"/>
      <c r="E844" s="191"/>
      <c r="F844" s="191"/>
      <c r="G844" s="191"/>
      <c r="H844" s="191"/>
      <c r="I844" s="191"/>
      <c r="J844" s="191"/>
      <c r="K844" s="191"/>
      <c r="L844" s="191"/>
      <c r="M844" s="191"/>
      <c r="N844" s="191"/>
      <c r="O844" s="191"/>
      <c r="P844" s="191"/>
      <c r="Q844" s="191"/>
      <c r="R844" s="191"/>
      <c r="S844" s="191"/>
      <c r="T844" s="191"/>
      <c r="U844" s="191"/>
      <c r="V844" s="191"/>
    </row>
    <row r="845" spans="2:22">
      <c r="B845" s="191"/>
      <c r="C845" s="191"/>
      <c r="D845" s="191"/>
      <c r="E845" s="191"/>
      <c r="F845" s="191"/>
      <c r="G845" s="191"/>
      <c r="H845" s="191"/>
      <c r="I845" s="191"/>
      <c r="J845" s="191"/>
      <c r="K845" s="191"/>
      <c r="L845" s="191"/>
      <c r="M845" s="191"/>
      <c r="N845" s="191"/>
      <c r="O845" s="191"/>
      <c r="P845" s="191"/>
      <c r="Q845" s="191"/>
      <c r="R845" s="191"/>
      <c r="S845" s="191"/>
      <c r="T845" s="191"/>
      <c r="U845" s="191"/>
      <c r="V845" s="191"/>
    </row>
    <row r="846" spans="2:22">
      <c r="B846" s="191"/>
      <c r="C846" s="191"/>
      <c r="D846" s="191"/>
      <c r="E846" s="191"/>
      <c r="F846" s="191"/>
      <c r="G846" s="191"/>
      <c r="H846" s="191"/>
      <c r="I846" s="191"/>
      <c r="J846" s="191"/>
      <c r="K846" s="191"/>
      <c r="L846" s="191"/>
      <c r="M846" s="191"/>
      <c r="N846" s="191"/>
      <c r="O846" s="191"/>
      <c r="P846" s="191"/>
      <c r="Q846" s="191"/>
      <c r="R846" s="191"/>
      <c r="S846" s="191"/>
      <c r="T846" s="191"/>
      <c r="U846" s="191"/>
      <c r="V846" s="191"/>
    </row>
    <row r="847" spans="2:22">
      <c r="B847" s="191"/>
      <c r="C847" s="191"/>
      <c r="D847" s="191"/>
      <c r="E847" s="191"/>
      <c r="F847" s="191"/>
      <c r="G847" s="191"/>
      <c r="H847" s="191"/>
      <c r="I847" s="191"/>
      <c r="J847" s="191"/>
      <c r="K847" s="191"/>
      <c r="L847" s="191"/>
      <c r="M847" s="191"/>
      <c r="N847" s="191"/>
      <c r="O847" s="191"/>
      <c r="P847" s="191"/>
      <c r="Q847" s="191"/>
      <c r="R847" s="191"/>
      <c r="S847" s="191"/>
      <c r="T847" s="191"/>
      <c r="U847" s="191"/>
      <c r="V847" s="191"/>
    </row>
    <row r="848" spans="2:22">
      <c r="B848" s="191"/>
      <c r="C848" s="191"/>
      <c r="D848" s="191"/>
      <c r="E848" s="191"/>
      <c r="F848" s="191"/>
      <c r="G848" s="191"/>
      <c r="H848" s="191"/>
      <c r="I848" s="191"/>
      <c r="J848" s="191"/>
      <c r="K848" s="191"/>
      <c r="L848" s="191"/>
      <c r="M848" s="191"/>
      <c r="N848" s="191"/>
      <c r="O848" s="191"/>
      <c r="P848" s="191"/>
      <c r="Q848" s="191"/>
      <c r="R848" s="191"/>
      <c r="S848" s="191"/>
      <c r="T848" s="191"/>
      <c r="U848" s="191"/>
      <c r="V848" s="191"/>
    </row>
    <row r="849" spans="2:22">
      <c r="B849" s="191"/>
      <c r="C849" s="191"/>
      <c r="D849" s="191"/>
      <c r="E849" s="191"/>
      <c r="F849" s="191"/>
      <c r="G849" s="191"/>
      <c r="H849" s="191"/>
      <c r="I849" s="191"/>
      <c r="J849" s="191"/>
      <c r="K849" s="191"/>
      <c r="L849" s="191"/>
      <c r="M849" s="191"/>
      <c r="N849" s="191"/>
      <c r="O849" s="191"/>
      <c r="P849" s="191"/>
      <c r="Q849" s="191"/>
      <c r="R849" s="191"/>
      <c r="S849" s="191"/>
      <c r="T849" s="191"/>
      <c r="U849" s="191"/>
      <c r="V849" s="191"/>
    </row>
    <row r="850" spans="2:22">
      <c r="B850" s="191"/>
      <c r="C850" s="191"/>
      <c r="D850" s="191"/>
      <c r="E850" s="191"/>
      <c r="F850" s="191"/>
      <c r="G850" s="191"/>
      <c r="H850" s="191"/>
      <c r="I850" s="191"/>
      <c r="J850" s="191"/>
      <c r="K850" s="191"/>
      <c r="L850" s="191"/>
      <c r="M850" s="191"/>
      <c r="N850" s="191"/>
      <c r="O850" s="191"/>
      <c r="P850" s="191"/>
      <c r="Q850" s="191"/>
      <c r="R850" s="191"/>
      <c r="S850" s="191"/>
      <c r="T850" s="191"/>
      <c r="U850" s="191"/>
      <c r="V850" s="191"/>
    </row>
    <row r="851" spans="2:22">
      <c r="B851" s="191"/>
      <c r="C851" s="191"/>
      <c r="D851" s="191"/>
      <c r="E851" s="191"/>
      <c r="F851" s="191"/>
      <c r="G851" s="191"/>
      <c r="H851" s="191"/>
      <c r="I851" s="191"/>
      <c r="J851" s="191"/>
      <c r="K851" s="191"/>
      <c r="L851" s="191"/>
      <c r="M851" s="191"/>
      <c r="N851" s="191"/>
      <c r="O851" s="191"/>
      <c r="P851" s="191"/>
      <c r="Q851" s="191"/>
      <c r="R851" s="191"/>
      <c r="S851" s="191"/>
      <c r="T851" s="191"/>
      <c r="U851" s="191"/>
      <c r="V851" s="191"/>
    </row>
    <row r="852" spans="2:22">
      <c r="B852" s="191"/>
      <c r="C852" s="191"/>
      <c r="D852" s="191"/>
      <c r="E852" s="191"/>
      <c r="F852" s="191"/>
      <c r="G852" s="191"/>
      <c r="H852" s="191"/>
      <c r="I852" s="191"/>
      <c r="J852" s="191"/>
      <c r="K852" s="191"/>
      <c r="L852" s="191"/>
      <c r="M852" s="191"/>
      <c r="N852" s="191"/>
      <c r="O852" s="191"/>
      <c r="P852" s="191"/>
      <c r="Q852" s="191"/>
      <c r="R852" s="191"/>
      <c r="S852" s="191"/>
      <c r="T852" s="191"/>
      <c r="U852" s="191"/>
      <c r="V852" s="191"/>
    </row>
    <row r="853" spans="2:22">
      <c r="B853" s="191"/>
      <c r="C853" s="191"/>
      <c r="D853" s="191"/>
      <c r="E853" s="191"/>
      <c r="F853" s="191"/>
      <c r="G853" s="191"/>
      <c r="H853" s="191"/>
      <c r="I853" s="191"/>
      <c r="J853" s="191"/>
      <c r="K853" s="191"/>
      <c r="L853" s="191"/>
      <c r="M853" s="191"/>
      <c r="N853" s="191"/>
      <c r="O853" s="191"/>
      <c r="P853" s="191"/>
      <c r="Q853" s="191"/>
      <c r="R853" s="191"/>
      <c r="S853" s="191"/>
      <c r="T853" s="191"/>
      <c r="U853" s="191"/>
      <c r="V853" s="191"/>
    </row>
    <row r="854" spans="2:22">
      <c r="B854" s="191"/>
      <c r="C854" s="191"/>
      <c r="D854" s="191"/>
      <c r="E854" s="191"/>
      <c r="F854" s="191"/>
      <c r="G854" s="191"/>
      <c r="H854" s="191"/>
      <c r="I854" s="191"/>
      <c r="J854" s="191"/>
      <c r="K854" s="191"/>
      <c r="L854" s="191"/>
      <c r="M854" s="191"/>
      <c r="N854" s="191"/>
      <c r="O854" s="191"/>
      <c r="P854" s="191"/>
      <c r="Q854" s="191"/>
      <c r="R854" s="191"/>
      <c r="S854" s="191"/>
      <c r="T854" s="191"/>
      <c r="U854" s="191"/>
      <c r="V854" s="191"/>
    </row>
    <row r="855" spans="2:22">
      <c r="B855" s="191"/>
      <c r="C855" s="191"/>
      <c r="D855" s="191"/>
      <c r="E855" s="191"/>
      <c r="F855" s="191"/>
      <c r="G855" s="191"/>
      <c r="H855" s="191"/>
      <c r="I855" s="191"/>
      <c r="J855" s="191"/>
      <c r="K855" s="191"/>
      <c r="L855" s="191"/>
      <c r="M855" s="191"/>
      <c r="N855" s="191"/>
      <c r="O855" s="191"/>
      <c r="P855" s="191"/>
      <c r="Q855" s="191"/>
      <c r="R855" s="191"/>
      <c r="S855" s="191"/>
      <c r="T855" s="191"/>
      <c r="U855" s="191"/>
      <c r="V855" s="191"/>
    </row>
    <row r="856" spans="2:22">
      <c r="B856" s="191"/>
      <c r="C856" s="191"/>
      <c r="D856" s="191"/>
      <c r="E856" s="191"/>
      <c r="F856" s="191"/>
      <c r="G856" s="191"/>
      <c r="H856" s="191"/>
      <c r="I856" s="191"/>
      <c r="J856" s="191"/>
      <c r="K856" s="191"/>
      <c r="L856" s="191"/>
      <c r="M856" s="191"/>
      <c r="N856" s="191"/>
      <c r="O856" s="191"/>
      <c r="P856" s="191"/>
      <c r="Q856" s="191"/>
      <c r="R856" s="191"/>
      <c r="S856" s="191"/>
      <c r="T856" s="191"/>
      <c r="U856" s="191"/>
      <c r="V856" s="191"/>
    </row>
    <row r="857" spans="2:22">
      <c r="B857" s="191"/>
      <c r="C857" s="191"/>
      <c r="D857" s="191"/>
      <c r="E857" s="191"/>
      <c r="F857" s="191"/>
      <c r="G857" s="191"/>
      <c r="H857" s="191"/>
      <c r="I857" s="191"/>
      <c r="J857" s="191"/>
      <c r="K857" s="191"/>
      <c r="L857" s="191"/>
      <c r="M857" s="191"/>
      <c r="N857" s="191"/>
      <c r="O857" s="191"/>
      <c r="P857" s="191"/>
      <c r="Q857" s="191"/>
      <c r="R857" s="191"/>
      <c r="S857" s="191"/>
      <c r="T857" s="191"/>
      <c r="U857" s="191"/>
      <c r="V857" s="191"/>
    </row>
    <row r="858" spans="2:22">
      <c r="B858" s="191"/>
      <c r="C858" s="191"/>
      <c r="D858" s="191"/>
      <c r="E858" s="191"/>
      <c r="F858" s="191"/>
      <c r="G858" s="191"/>
      <c r="H858" s="191"/>
      <c r="I858" s="191"/>
      <c r="J858" s="191"/>
      <c r="K858" s="191"/>
      <c r="L858" s="191"/>
      <c r="M858" s="191"/>
      <c r="N858" s="191"/>
      <c r="O858" s="191"/>
      <c r="P858" s="191"/>
      <c r="Q858" s="191"/>
      <c r="R858" s="191"/>
      <c r="S858" s="191"/>
      <c r="T858" s="191"/>
      <c r="U858" s="191"/>
      <c r="V858" s="191"/>
    </row>
    <row r="859" spans="2:22">
      <c r="B859" s="191"/>
      <c r="C859" s="191"/>
      <c r="D859" s="191"/>
      <c r="E859" s="191"/>
      <c r="F859" s="191"/>
      <c r="G859" s="191"/>
      <c r="H859" s="191"/>
      <c r="I859" s="191"/>
      <c r="J859" s="191"/>
      <c r="K859" s="191"/>
      <c r="L859" s="191"/>
      <c r="M859" s="191"/>
      <c r="N859" s="191"/>
      <c r="O859" s="191"/>
      <c r="P859" s="191"/>
      <c r="Q859" s="191"/>
      <c r="R859" s="191"/>
      <c r="S859" s="191"/>
      <c r="T859" s="191"/>
      <c r="U859" s="191"/>
      <c r="V859" s="191"/>
    </row>
    <row r="860" spans="2:22">
      <c r="B860" s="191"/>
      <c r="C860" s="191"/>
      <c r="D860" s="191"/>
      <c r="E860" s="191"/>
      <c r="F860" s="191"/>
      <c r="G860" s="191"/>
      <c r="H860" s="191"/>
      <c r="I860" s="191"/>
      <c r="J860" s="191"/>
      <c r="K860" s="191"/>
      <c r="L860" s="191"/>
      <c r="M860" s="191"/>
      <c r="N860" s="191"/>
      <c r="O860" s="191"/>
      <c r="P860" s="191"/>
      <c r="Q860" s="191"/>
      <c r="R860" s="191"/>
      <c r="S860" s="191"/>
      <c r="T860" s="191"/>
      <c r="U860" s="191"/>
      <c r="V860" s="191"/>
    </row>
    <row r="861" spans="2:22">
      <c r="B861" s="191"/>
      <c r="C861" s="191"/>
      <c r="D861" s="191"/>
      <c r="E861" s="191"/>
      <c r="F861" s="191"/>
      <c r="G861" s="191"/>
      <c r="H861" s="191"/>
      <c r="I861" s="191"/>
      <c r="J861" s="191"/>
      <c r="K861" s="191"/>
      <c r="L861" s="191"/>
      <c r="M861" s="191"/>
      <c r="N861" s="191"/>
      <c r="O861" s="191"/>
      <c r="P861" s="191"/>
      <c r="Q861" s="191"/>
      <c r="R861" s="191"/>
      <c r="S861" s="191"/>
      <c r="T861" s="191"/>
      <c r="U861" s="191"/>
      <c r="V861" s="191"/>
    </row>
    <row r="862" spans="2:22">
      <c r="B862" s="191"/>
      <c r="C862" s="191"/>
      <c r="D862" s="191"/>
      <c r="E862" s="191"/>
      <c r="F862" s="191"/>
      <c r="G862" s="191"/>
      <c r="H862" s="191"/>
      <c r="I862" s="191"/>
      <c r="J862" s="191"/>
      <c r="K862" s="191"/>
      <c r="L862" s="191"/>
      <c r="M862" s="191"/>
      <c r="N862" s="191"/>
      <c r="O862" s="191"/>
      <c r="P862" s="191"/>
      <c r="Q862" s="191"/>
      <c r="R862" s="191"/>
      <c r="S862" s="191"/>
      <c r="T862" s="191"/>
      <c r="U862" s="191"/>
      <c r="V862" s="191"/>
    </row>
    <row r="863" spans="2:22">
      <c r="B863" s="191"/>
      <c r="C863" s="191"/>
      <c r="D863" s="191"/>
      <c r="E863" s="191"/>
      <c r="F863" s="191"/>
      <c r="G863" s="191"/>
      <c r="H863" s="191"/>
      <c r="I863" s="191"/>
      <c r="J863" s="191"/>
      <c r="K863" s="191"/>
      <c r="L863" s="191"/>
      <c r="M863" s="191"/>
      <c r="N863" s="191"/>
      <c r="O863" s="191"/>
      <c r="P863" s="191"/>
      <c r="Q863" s="191"/>
      <c r="R863" s="191"/>
      <c r="S863" s="191"/>
      <c r="T863" s="191"/>
      <c r="U863" s="191"/>
      <c r="V863" s="191"/>
    </row>
    <row r="864" spans="2:22">
      <c r="B864" s="191"/>
      <c r="C864" s="191"/>
      <c r="D864" s="191"/>
      <c r="E864" s="191"/>
      <c r="F864" s="191"/>
      <c r="G864" s="191"/>
      <c r="H864" s="191"/>
      <c r="I864" s="191"/>
      <c r="J864" s="191"/>
      <c r="K864" s="191"/>
      <c r="L864" s="191"/>
      <c r="M864" s="191"/>
      <c r="N864" s="191"/>
      <c r="O864" s="191"/>
      <c r="P864" s="191"/>
      <c r="Q864" s="191"/>
      <c r="R864" s="191"/>
      <c r="S864" s="191"/>
      <c r="T864" s="191"/>
      <c r="U864" s="191"/>
      <c r="V864" s="191"/>
    </row>
    <row r="865" spans="2:22">
      <c r="B865" s="191"/>
      <c r="C865" s="191"/>
      <c r="D865" s="191"/>
      <c r="E865" s="191"/>
      <c r="F865" s="191"/>
      <c r="G865" s="191"/>
      <c r="H865" s="191"/>
      <c r="I865" s="191"/>
      <c r="J865" s="191"/>
      <c r="K865" s="191"/>
      <c r="L865" s="191"/>
      <c r="M865" s="191"/>
      <c r="N865" s="191"/>
      <c r="O865" s="191"/>
      <c r="P865" s="191"/>
      <c r="Q865" s="191"/>
      <c r="R865" s="191"/>
      <c r="S865" s="191"/>
      <c r="T865" s="191"/>
      <c r="U865" s="191"/>
      <c r="V865" s="191"/>
    </row>
    <row r="866" spans="2:22">
      <c r="B866" s="191"/>
      <c r="C866" s="191"/>
      <c r="D866" s="191"/>
      <c r="E866" s="191"/>
      <c r="F866" s="191"/>
      <c r="G866" s="191"/>
      <c r="H866" s="191"/>
      <c r="I866" s="191"/>
      <c r="J866" s="191"/>
      <c r="K866" s="191"/>
      <c r="L866" s="191"/>
      <c r="M866" s="191"/>
      <c r="N866" s="191"/>
      <c r="O866" s="191"/>
      <c r="P866" s="191"/>
      <c r="Q866" s="191"/>
      <c r="R866" s="191"/>
      <c r="S866" s="191"/>
      <c r="T866" s="191"/>
      <c r="U866" s="191"/>
      <c r="V866" s="191"/>
    </row>
    <row r="867" spans="2:22">
      <c r="B867" s="191"/>
      <c r="C867" s="191"/>
      <c r="D867" s="191"/>
      <c r="E867" s="191"/>
      <c r="F867" s="191"/>
      <c r="G867" s="191"/>
      <c r="H867" s="191"/>
      <c r="I867" s="191"/>
      <c r="J867" s="191"/>
      <c r="K867" s="191"/>
      <c r="L867" s="191"/>
      <c r="M867" s="191"/>
      <c r="N867" s="191"/>
      <c r="O867" s="191"/>
      <c r="P867" s="191"/>
      <c r="Q867" s="191"/>
      <c r="R867" s="191"/>
      <c r="S867" s="191"/>
      <c r="T867" s="191"/>
      <c r="U867" s="191"/>
      <c r="V867" s="191"/>
    </row>
    <row r="868" spans="2:22">
      <c r="B868" s="191"/>
      <c r="C868" s="191"/>
      <c r="D868" s="191"/>
      <c r="E868" s="191"/>
      <c r="F868" s="191"/>
      <c r="G868" s="191"/>
      <c r="H868" s="191"/>
      <c r="I868" s="191"/>
      <c r="J868" s="191"/>
      <c r="K868" s="191"/>
      <c r="L868" s="191"/>
      <c r="M868" s="191"/>
      <c r="N868" s="191"/>
      <c r="O868" s="191"/>
      <c r="P868" s="191"/>
      <c r="Q868" s="191"/>
      <c r="R868" s="191"/>
      <c r="S868" s="191"/>
      <c r="T868" s="191"/>
      <c r="U868" s="191"/>
      <c r="V868" s="191"/>
    </row>
    <row r="869" spans="2:22">
      <c r="B869" s="191"/>
      <c r="C869" s="191"/>
      <c r="D869" s="191"/>
      <c r="E869" s="191"/>
      <c r="F869" s="191"/>
      <c r="G869" s="191"/>
      <c r="H869" s="191"/>
      <c r="I869" s="191"/>
      <c r="J869" s="191"/>
      <c r="K869" s="191"/>
      <c r="L869" s="191"/>
      <c r="M869" s="191"/>
      <c r="N869" s="191"/>
      <c r="O869" s="191"/>
      <c r="P869" s="191"/>
      <c r="Q869" s="191"/>
      <c r="R869" s="191"/>
      <c r="S869" s="191"/>
      <c r="T869" s="191"/>
      <c r="U869" s="191"/>
      <c r="V869" s="191"/>
    </row>
    <row r="870" spans="2:22">
      <c r="B870" s="191"/>
      <c r="C870" s="191"/>
      <c r="D870" s="191"/>
      <c r="E870" s="191"/>
      <c r="F870" s="191"/>
      <c r="G870" s="191"/>
      <c r="H870" s="191"/>
      <c r="I870" s="191"/>
      <c r="J870" s="191"/>
      <c r="K870" s="191"/>
      <c r="L870" s="191"/>
      <c r="M870" s="191"/>
      <c r="N870" s="191"/>
      <c r="O870" s="191"/>
      <c r="P870" s="191"/>
      <c r="Q870" s="191"/>
      <c r="R870" s="191"/>
      <c r="S870" s="191"/>
      <c r="T870" s="191"/>
      <c r="U870" s="191"/>
      <c r="V870" s="191"/>
    </row>
    <row r="871" spans="2:22">
      <c r="B871" s="191"/>
      <c r="C871" s="191"/>
      <c r="D871" s="191"/>
      <c r="E871" s="191"/>
      <c r="F871" s="191"/>
      <c r="G871" s="191"/>
      <c r="H871" s="191"/>
      <c r="I871" s="191"/>
      <c r="J871" s="191"/>
      <c r="K871" s="191"/>
      <c r="L871" s="191"/>
      <c r="M871" s="191"/>
      <c r="N871" s="191"/>
      <c r="O871" s="191"/>
      <c r="P871" s="191"/>
      <c r="Q871" s="191"/>
      <c r="R871" s="191"/>
      <c r="S871" s="191"/>
      <c r="T871" s="191"/>
      <c r="U871" s="191"/>
      <c r="V871" s="191"/>
    </row>
    <row r="872" spans="2:22">
      <c r="B872" s="191"/>
      <c r="C872" s="191"/>
      <c r="D872" s="191"/>
      <c r="E872" s="191"/>
      <c r="F872" s="191"/>
      <c r="G872" s="191"/>
      <c r="H872" s="191"/>
      <c r="I872" s="191"/>
      <c r="J872" s="191"/>
      <c r="K872" s="191"/>
      <c r="L872" s="191"/>
      <c r="M872" s="191"/>
      <c r="N872" s="191"/>
      <c r="O872" s="191"/>
      <c r="P872" s="191"/>
      <c r="Q872" s="191"/>
      <c r="R872" s="191"/>
      <c r="S872" s="191"/>
      <c r="T872" s="191"/>
      <c r="U872" s="191"/>
      <c r="V872" s="191"/>
    </row>
    <row r="873" spans="2:22">
      <c r="B873" s="191"/>
      <c r="C873" s="191"/>
      <c r="D873" s="191"/>
      <c r="E873" s="191"/>
      <c r="F873" s="191"/>
      <c r="G873" s="191"/>
      <c r="H873" s="191"/>
      <c r="I873" s="191"/>
      <c r="J873" s="191"/>
      <c r="K873" s="191"/>
      <c r="L873" s="191"/>
      <c r="M873" s="191"/>
      <c r="N873" s="191"/>
      <c r="O873" s="191"/>
      <c r="P873" s="191"/>
      <c r="Q873" s="191"/>
      <c r="R873" s="191"/>
      <c r="S873" s="191"/>
      <c r="T873" s="191"/>
      <c r="U873" s="191"/>
      <c r="V873" s="191"/>
    </row>
    <row r="874" spans="2:22">
      <c r="B874" s="191"/>
      <c r="C874" s="191"/>
      <c r="D874" s="191"/>
      <c r="E874" s="191"/>
      <c r="F874" s="191"/>
      <c r="G874" s="191"/>
      <c r="H874" s="191"/>
      <c r="I874" s="191"/>
      <c r="J874" s="191"/>
      <c r="K874" s="191"/>
      <c r="L874" s="191"/>
      <c r="M874" s="191"/>
      <c r="N874" s="191"/>
      <c r="O874" s="191"/>
      <c r="P874" s="191"/>
      <c r="Q874" s="191"/>
      <c r="R874" s="191"/>
      <c r="S874" s="191"/>
      <c r="T874" s="191"/>
      <c r="U874" s="191"/>
      <c r="V874" s="191"/>
    </row>
    <row r="875" spans="2:22">
      <c r="B875" s="191"/>
      <c r="C875" s="191"/>
      <c r="D875" s="191"/>
      <c r="E875" s="191"/>
      <c r="F875" s="191"/>
      <c r="G875" s="191"/>
      <c r="H875" s="191"/>
      <c r="I875" s="191"/>
      <c r="J875" s="191"/>
      <c r="K875" s="191"/>
      <c r="L875" s="191"/>
      <c r="M875" s="191"/>
      <c r="N875" s="191"/>
      <c r="O875" s="191"/>
      <c r="P875" s="191"/>
      <c r="Q875" s="191"/>
      <c r="R875" s="191"/>
      <c r="S875" s="191"/>
      <c r="T875" s="191"/>
      <c r="U875" s="191"/>
      <c r="V875" s="191"/>
    </row>
    <row r="876" spans="2:22">
      <c r="B876" s="191"/>
      <c r="C876" s="191"/>
      <c r="D876" s="191"/>
      <c r="E876" s="191"/>
      <c r="F876" s="191"/>
      <c r="G876" s="191"/>
      <c r="H876" s="191"/>
      <c r="I876" s="191"/>
      <c r="J876" s="191"/>
      <c r="K876" s="191"/>
      <c r="L876" s="191"/>
      <c r="M876" s="191"/>
      <c r="N876" s="191"/>
      <c r="O876" s="191"/>
      <c r="P876" s="191"/>
      <c r="Q876" s="191"/>
      <c r="R876" s="191"/>
      <c r="S876" s="191"/>
      <c r="T876" s="191"/>
      <c r="U876" s="191"/>
      <c r="V876" s="191"/>
    </row>
    <row r="877" spans="2:22">
      <c r="B877" s="191"/>
      <c r="C877" s="191"/>
      <c r="D877" s="191"/>
      <c r="E877" s="191"/>
      <c r="F877" s="191"/>
      <c r="G877" s="191"/>
      <c r="H877" s="191"/>
      <c r="I877" s="191"/>
      <c r="J877" s="191"/>
      <c r="K877" s="191"/>
      <c r="L877" s="191"/>
      <c r="M877" s="191"/>
      <c r="N877" s="191"/>
      <c r="O877" s="191"/>
      <c r="P877" s="191"/>
      <c r="Q877" s="191"/>
      <c r="R877" s="191"/>
      <c r="S877" s="191"/>
      <c r="T877" s="191"/>
      <c r="U877" s="191"/>
      <c r="V877" s="191"/>
    </row>
    <row r="878" spans="2:22">
      <c r="B878" s="191"/>
      <c r="C878" s="191"/>
      <c r="D878" s="191"/>
      <c r="E878" s="191"/>
      <c r="F878" s="191"/>
      <c r="G878" s="191"/>
      <c r="H878" s="191"/>
      <c r="I878" s="191"/>
      <c r="J878" s="191"/>
      <c r="K878" s="191"/>
      <c r="L878" s="191"/>
      <c r="M878" s="191"/>
      <c r="N878" s="191"/>
      <c r="O878" s="191"/>
      <c r="P878" s="191"/>
      <c r="Q878" s="191"/>
      <c r="R878" s="191"/>
      <c r="S878" s="191"/>
      <c r="T878" s="191"/>
      <c r="U878" s="191"/>
      <c r="V878" s="191"/>
    </row>
    <row r="879" spans="2:22">
      <c r="B879" s="191"/>
      <c r="C879" s="191"/>
      <c r="D879" s="191"/>
      <c r="E879" s="191"/>
      <c r="F879" s="191"/>
      <c r="G879" s="191"/>
      <c r="H879" s="191"/>
      <c r="I879" s="191"/>
      <c r="J879" s="191"/>
      <c r="K879" s="191"/>
      <c r="L879" s="191"/>
      <c r="M879" s="191"/>
      <c r="N879" s="191"/>
      <c r="O879" s="191"/>
      <c r="P879" s="191"/>
      <c r="Q879" s="191"/>
      <c r="R879" s="191"/>
      <c r="S879" s="191"/>
      <c r="T879" s="191"/>
      <c r="U879" s="191"/>
      <c r="V879" s="191"/>
    </row>
    <row r="880" spans="2:22">
      <c r="B880" s="191"/>
      <c r="C880" s="191"/>
      <c r="D880" s="191"/>
      <c r="E880" s="191"/>
      <c r="F880" s="191"/>
      <c r="G880" s="191"/>
      <c r="H880" s="191"/>
      <c r="I880" s="191"/>
      <c r="J880" s="191"/>
      <c r="K880" s="191"/>
      <c r="L880" s="191"/>
      <c r="M880" s="191"/>
      <c r="N880" s="191"/>
      <c r="O880" s="191"/>
      <c r="P880" s="191"/>
      <c r="Q880" s="191"/>
      <c r="R880" s="191"/>
      <c r="S880" s="191"/>
      <c r="T880" s="191"/>
      <c r="U880" s="191"/>
      <c r="V880" s="191"/>
    </row>
    <row r="881" spans="2:22">
      <c r="B881" s="191"/>
      <c r="C881" s="191"/>
      <c r="D881" s="191"/>
      <c r="E881" s="191"/>
      <c r="F881" s="191"/>
      <c r="G881" s="191"/>
      <c r="H881" s="191"/>
      <c r="I881" s="191"/>
      <c r="J881" s="191"/>
      <c r="K881" s="191"/>
      <c r="L881" s="191"/>
      <c r="M881" s="191"/>
      <c r="N881" s="191"/>
      <c r="O881" s="191"/>
      <c r="P881" s="191"/>
      <c r="Q881" s="191"/>
      <c r="R881" s="191"/>
      <c r="S881" s="191"/>
      <c r="T881" s="191"/>
      <c r="U881" s="191"/>
      <c r="V881" s="191"/>
    </row>
    <row r="882" spans="2:22">
      <c r="B882" s="191"/>
      <c r="C882" s="191"/>
      <c r="D882" s="191"/>
      <c r="E882" s="191"/>
      <c r="F882" s="191"/>
      <c r="G882" s="191"/>
      <c r="H882" s="191"/>
      <c r="I882" s="191"/>
      <c r="J882" s="191"/>
      <c r="K882" s="191"/>
      <c r="L882" s="191"/>
      <c r="M882" s="191"/>
      <c r="N882" s="191"/>
      <c r="O882" s="191"/>
      <c r="P882" s="191"/>
      <c r="Q882" s="191"/>
      <c r="R882" s="191"/>
      <c r="S882" s="191"/>
      <c r="T882" s="191"/>
      <c r="U882" s="191"/>
      <c r="V882" s="191"/>
    </row>
    <row r="883" spans="2:22">
      <c r="B883" s="191"/>
      <c r="C883" s="191"/>
      <c r="D883" s="191"/>
      <c r="E883" s="191"/>
      <c r="F883" s="191"/>
      <c r="G883" s="191"/>
      <c r="H883" s="191"/>
      <c r="I883" s="191"/>
      <c r="J883" s="191"/>
      <c r="K883" s="191"/>
      <c r="L883" s="191"/>
      <c r="M883" s="191"/>
      <c r="N883" s="191"/>
      <c r="O883" s="191"/>
      <c r="P883" s="191"/>
      <c r="Q883" s="191"/>
      <c r="R883" s="191"/>
      <c r="S883" s="191"/>
      <c r="T883" s="191"/>
      <c r="U883" s="191"/>
      <c r="V883" s="191"/>
    </row>
    <row r="884" spans="2:22">
      <c r="B884" s="191"/>
      <c r="C884" s="191"/>
      <c r="D884" s="191"/>
      <c r="E884" s="191"/>
      <c r="F884" s="191"/>
      <c r="G884" s="191"/>
      <c r="H884" s="191"/>
      <c r="I884" s="191"/>
      <c r="J884" s="191"/>
      <c r="K884" s="191"/>
      <c r="L884" s="191"/>
      <c r="M884" s="191"/>
      <c r="N884" s="191"/>
      <c r="O884" s="191"/>
      <c r="P884" s="191"/>
      <c r="Q884" s="191"/>
      <c r="R884" s="191"/>
      <c r="S884" s="191"/>
      <c r="T884" s="191"/>
      <c r="U884" s="191"/>
      <c r="V884" s="191"/>
    </row>
    <row r="885" spans="2:22">
      <c r="B885" s="191"/>
      <c r="C885" s="191"/>
      <c r="D885" s="191"/>
      <c r="E885" s="191"/>
      <c r="F885" s="191"/>
      <c r="G885" s="191"/>
      <c r="H885" s="191"/>
      <c r="I885" s="191"/>
      <c r="J885" s="191"/>
      <c r="K885" s="191"/>
      <c r="L885" s="191"/>
      <c r="M885" s="191"/>
      <c r="N885" s="191"/>
      <c r="O885" s="191"/>
      <c r="P885" s="191"/>
      <c r="Q885" s="191"/>
      <c r="R885" s="191"/>
      <c r="S885" s="191"/>
      <c r="T885" s="191"/>
      <c r="U885" s="191"/>
      <c r="V885" s="191"/>
    </row>
    <row r="886" spans="2:22">
      <c r="B886" s="191"/>
      <c r="C886" s="191"/>
      <c r="D886" s="191"/>
      <c r="E886" s="191"/>
      <c r="F886" s="191"/>
      <c r="G886" s="191"/>
      <c r="H886" s="191"/>
      <c r="I886" s="191"/>
      <c r="J886" s="191"/>
      <c r="K886" s="191"/>
      <c r="L886" s="191"/>
      <c r="M886" s="191"/>
      <c r="N886" s="191"/>
      <c r="O886" s="191"/>
      <c r="P886" s="191"/>
      <c r="Q886" s="191"/>
      <c r="R886" s="191"/>
      <c r="S886" s="191"/>
      <c r="T886" s="191"/>
      <c r="U886" s="191"/>
      <c r="V886" s="191"/>
    </row>
    <row r="887" spans="2:22">
      <c r="B887" s="191"/>
      <c r="C887" s="191"/>
      <c r="D887" s="191"/>
      <c r="E887" s="191"/>
      <c r="F887" s="191"/>
      <c r="G887" s="191"/>
      <c r="H887" s="191"/>
      <c r="I887" s="191"/>
      <c r="J887" s="191"/>
      <c r="K887" s="191"/>
      <c r="L887" s="191"/>
      <c r="M887" s="191"/>
      <c r="N887" s="191"/>
      <c r="O887" s="191"/>
      <c r="P887" s="191"/>
      <c r="Q887" s="191"/>
      <c r="R887" s="191"/>
      <c r="S887" s="191"/>
      <c r="T887" s="191"/>
      <c r="U887" s="191"/>
      <c r="V887" s="191"/>
    </row>
    <row r="888" spans="2:22">
      <c r="B888" s="191"/>
      <c r="C888" s="191"/>
      <c r="D888" s="191"/>
      <c r="E888" s="191"/>
      <c r="F888" s="191"/>
      <c r="G888" s="191"/>
      <c r="H888" s="191"/>
      <c r="I888" s="191"/>
      <c r="J888" s="191"/>
      <c r="K888" s="191"/>
      <c r="L888" s="191"/>
      <c r="M888" s="191"/>
      <c r="N888" s="191"/>
      <c r="O888" s="191"/>
      <c r="P888" s="191"/>
      <c r="Q888" s="191"/>
      <c r="R888" s="191"/>
      <c r="S888" s="191"/>
      <c r="T888" s="191"/>
      <c r="U888" s="191"/>
      <c r="V888" s="191"/>
    </row>
    <row r="889" spans="2:22">
      <c r="B889" s="191"/>
      <c r="C889" s="191"/>
      <c r="D889" s="191"/>
      <c r="E889" s="191"/>
      <c r="F889" s="191"/>
      <c r="G889" s="191"/>
      <c r="H889" s="191"/>
      <c r="I889" s="191"/>
      <c r="J889" s="191"/>
      <c r="K889" s="191"/>
      <c r="L889" s="191"/>
      <c r="M889" s="191"/>
      <c r="N889" s="191"/>
      <c r="O889" s="191"/>
      <c r="P889" s="191"/>
      <c r="Q889" s="191"/>
      <c r="R889" s="191"/>
      <c r="S889" s="191"/>
      <c r="T889" s="191"/>
      <c r="U889" s="191"/>
      <c r="V889" s="191"/>
    </row>
    <row r="890" spans="2:22">
      <c r="B890" s="191"/>
      <c r="C890" s="191"/>
      <c r="D890" s="191"/>
      <c r="E890" s="191"/>
      <c r="F890" s="191"/>
      <c r="G890" s="191"/>
      <c r="H890" s="191"/>
      <c r="I890" s="191"/>
      <c r="J890" s="191"/>
      <c r="K890" s="191"/>
      <c r="L890" s="191"/>
      <c r="M890" s="191"/>
      <c r="N890" s="191"/>
      <c r="O890" s="191"/>
      <c r="P890" s="191"/>
      <c r="Q890" s="191"/>
      <c r="R890" s="191"/>
      <c r="S890" s="191"/>
      <c r="T890" s="191"/>
      <c r="U890" s="191"/>
      <c r="V890" s="191"/>
    </row>
    <row r="891" spans="2:22">
      <c r="B891" s="191"/>
      <c r="C891" s="191"/>
      <c r="D891" s="191"/>
      <c r="E891" s="191"/>
      <c r="F891" s="191"/>
      <c r="G891" s="191"/>
      <c r="H891" s="191"/>
      <c r="I891" s="191"/>
      <c r="J891" s="191"/>
      <c r="K891" s="191"/>
      <c r="L891" s="191"/>
      <c r="M891" s="191"/>
      <c r="N891" s="191"/>
      <c r="O891" s="191"/>
      <c r="P891" s="191"/>
      <c r="Q891" s="191"/>
      <c r="R891" s="191"/>
      <c r="S891" s="191"/>
      <c r="T891" s="191"/>
      <c r="U891" s="191"/>
      <c r="V891" s="191"/>
    </row>
    <row r="892" spans="2:22">
      <c r="B892" s="191"/>
      <c r="C892" s="191"/>
      <c r="D892" s="191"/>
      <c r="E892" s="191"/>
      <c r="F892" s="191"/>
      <c r="G892" s="191"/>
      <c r="H892" s="191"/>
      <c r="I892" s="191"/>
      <c r="J892" s="191"/>
      <c r="K892" s="191"/>
      <c r="L892" s="191"/>
      <c r="M892" s="191"/>
      <c r="N892" s="191"/>
      <c r="O892" s="191"/>
      <c r="P892" s="191"/>
      <c r="Q892" s="191"/>
      <c r="R892" s="191"/>
      <c r="S892" s="191"/>
      <c r="T892" s="191"/>
      <c r="U892" s="191"/>
      <c r="V892" s="191"/>
    </row>
    <row r="893" spans="2:22">
      <c r="B893" s="191"/>
      <c r="C893" s="191"/>
      <c r="D893" s="191"/>
      <c r="E893" s="191"/>
      <c r="F893" s="191"/>
      <c r="G893" s="191"/>
      <c r="H893" s="191"/>
      <c r="I893" s="191"/>
      <c r="J893" s="191"/>
      <c r="K893" s="191"/>
      <c r="L893" s="191"/>
      <c r="M893" s="191"/>
      <c r="N893" s="191"/>
      <c r="O893" s="191"/>
      <c r="P893" s="191"/>
      <c r="Q893" s="191"/>
      <c r="R893" s="191"/>
      <c r="S893" s="191"/>
      <c r="T893" s="191"/>
      <c r="U893" s="191"/>
      <c r="V893" s="191"/>
    </row>
    <row r="894" spans="2:22">
      <c r="B894" s="191"/>
      <c r="C894" s="191"/>
      <c r="D894" s="191"/>
      <c r="E894" s="191"/>
      <c r="F894" s="191"/>
      <c r="G894" s="191"/>
      <c r="H894" s="191"/>
      <c r="I894" s="191"/>
      <c r="J894" s="191"/>
      <c r="K894" s="191"/>
      <c r="L894" s="191"/>
      <c r="M894" s="191"/>
      <c r="N894" s="191"/>
      <c r="O894" s="191"/>
      <c r="P894" s="191"/>
      <c r="Q894" s="191"/>
      <c r="R894" s="191"/>
      <c r="S894" s="191"/>
      <c r="T894" s="191"/>
      <c r="U894" s="191"/>
      <c r="V894" s="191"/>
    </row>
    <row r="895" spans="2:22">
      <c r="B895" s="191"/>
      <c r="C895" s="191"/>
      <c r="D895" s="191"/>
      <c r="E895" s="191"/>
      <c r="F895" s="191"/>
      <c r="G895" s="191"/>
      <c r="H895" s="191"/>
      <c r="I895" s="191"/>
      <c r="J895" s="191"/>
      <c r="K895" s="191"/>
      <c r="L895" s="191"/>
      <c r="M895" s="191"/>
      <c r="N895" s="191"/>
      <c r="O895" s="191"/>
      <c r="P895" s="191"/>
      <c r="Q895" s="191"/>
      <c r="R895" s="191"/>
      <c r="S895" s="191"/>
      <c r="T895" s="191"/>
      <c r="U895" s="191"/>
      <c r="V895" s="191"/>
    </row>
    <row r="896" spans="2:22">
      <c r="B896" s="191"/>
      <c r="C896" s="191"/>
      <c r="D896" s="191"/>
      <c r="E896" s="191"/>
      <c r="F896" s="191"/>
      <c r="G896" s="191"/>
      <c r="H896" s="191"/>
      <c r="I896" s="191"/>
      <c r="J896" s="191"/>
      <c r="K896" s="191"/>
      <c r="L896" s="191"/>
      <c r="M896" s="191"/>
      <c r="N896" s="191"/>
      <c r="O896" s="191"/>
      <c r="P896" s="191"/>
      <c r="Q896" s="191"/>
      <c r="R896" s="191"/>
      <c r="S896" s="191"/>
      <c r="T896" s="191"/>
      <c r="U896" s="191"/>
      <c r="V896" s="191"/>
    </row>
    <row r="897" spans="2:22">
      <c r="B897" s="191"/>
      <c r="C897" s="191"/>
      <c r="D897" s="191"/>
      <c r="E897" s="191"/>
      <c r="F897" s="191"/>
      <c r="G897" s="191"/>
      <c r="H897" s="191"/>
      <c r="I897" s="191"/>
      <c r="J897" s="191"/>
      <c r="K897" s="191"/>
      <c r="L897" s="191"/>
      <c r="M897" s="191"/>
      <c r="N897" s="191"/>
      <c r="O897" s="191"/>
      <c r="P897" s="191"/>
      <c r="Q897" s="191"/>
      <c r="R897" s="191"/>
      <c r="S897" s="191"/>
      <c r="T897" s="191"/>
      <c r="U897" s="191"/>
      <c r="V897" s="191"/>
    </row>
    <row r="898" spans="2:22">
      <c r="B898" s="191"/>
      <c r="C898" s="191"/>
      <c r="D898" s="191"/>
      <c r="E898" s="191"/>
      <c r="F898" s="191"/>
      <c r="G898" s="191"/>
      <c r="H898" s="191"/>
      <c r="I898" s="191"/>
      <c r="J898" s="191"/>
      <c r="K898" s="191"/>
      <c r="L898" s="191"/>
      <c r="M898" s="191"/>
      <c r="N898" s="191"/>
      <c r="O898" s="191"/>
      <c r="P898" s="191"/>
      <c r="Q898" s="191"/>
      <c r="R898" s="191"/>
      <c r="S898" s="191"/>
      <c r="T898" s="191"/>
      <c r="U898" s="191"/>
      <c r="V898" s="191"/>
    </row>
    <row r="899" spans="2:22">
      <c r="B899" s="191"/>
      <c r="C899" s="191"/>
      <c r="D899" s="191"/>
      <c r="E899" s="191"/>
      <c r="F899" s="191"/>
      <c r="G899" s="191"/>
      <c r="H899" s="191"/>
      <c r="I899" s="191"/>
      <c r="J899" s="191"/>
      <c r="K899" s="191"/>
      <c r="L899" s="191"/>
      <c r="M899" s="191"/>
      <c r="N899" s="191"/>
      <c r="O899" s="191"/>
      <c r="P899" s="191"/>
      <c r="Q899" s="191"/>
      <c r="R899" s="191"/>
      <c r="S899" s="191"/>
      <c r="T899" s="191"/>
      <c r="U899" s="191"/>
      <c r="V899" s="191"/>
    </row>
    <row r="900" spans="2:22">
      <c r="B900" s="191"/>
      <c r="C900" s="191"/>
      <c r="D900" s="191"/>
      <c r="E900" s="191"/>
      <c r="F900" s="191"/>
      <c r="G900" s="191"/>
      <c r="H900" s="191"/>
      <c r="I900" s="191"/>
      <c r="J900" s="191"/>
      <c r="K900" s="191"/>
      <c r="L900" s="191"/>
      <c r="M900" s="191"/>
      <c r="N900" s="191"/>
      <c r="O900" s="191"/>
      <c r="P900" s="191"/>
      <c r="Q900" s="191"/>
      <c r="R900" s="191"/>
      <c r="S900" s="191"/>
      <c r="T900" s="191"/>
      <c r="U900" s="191"/>
      <c r="V900" s="191"/>
    </row>
    <row r="901" spans="2:22">
      <c r="B901" s="191"/>
      <c r="C901" s="191"/>
      <c r="D901" s="191"/>
      <c r="E901" s="191"/>
      <c r="F901" s="191"/>
      <c r="G901" s="191"/>
      <c r="H901" s="191"/>
      <c r="I901" s="191"/>
      <c r="J901" s="191"/>
      <c r="K901" s="191"/>
      <c r="L901" s="191"/>
      <c r="M901" s="191"/>
      <c r="N901" s="191"/>
      <c r="O901" s="191"/>
      <c r="P901" s="191"/>
      <c r="Q901" s="191"/>
      <c r="R901" s="191"/>
      <c r="S901" s="191"/>
      <c r="T901" s="191"/>
      <c r="U901" s="191"/>
      <c r="V901" s="191"/>
    </row>
    <row r="902" spans="2:22">
      <c r="B902" s="191"/>
      <c r="C902" s="191"/>
      <c r="D902" s="191"/>
      <c r="E902" s="191"/>
      <c r="F902" s="191"/>
      <c r="G902" s="191"/>
      <c r="H902" s="191"/>
      <c r="I902" s="191"/>
      <c r="J902" s="191"/>
      <c r="K902" s="191"/>
      <c r="L902" s="191"/>
      <c r="M902" s="191"/>
      <c r="N902" s="191"/>
      <c r="O902" s="191"/>
      <c r="P902" s="191"/>
      <c r="Q902" s="191"/>
      <c r="R902" s="191"/>
      <c r="S902" s="191"/>
      <c r="T902" s="191"/>
      <c r="U902" s="191"/>
      <c r="V902" s="191"/>
    </row>
    <row r="903" spans="2:22">
      <c r="B903" s="191"/>
      <c r="C903" s="191"/>
      <c r="D903" s="191"/>
      <c r="E903" s="191"/>
      <c r="F903" s="191"/>
      <c r="G903" s="191"/>
      <c r="H903" s="191"/>
      <c r="I903" s="191"/>
      <c r="J903" s="191"/>
      <c r="K903" s="191"/>
      <c r="L903" s="191"/>
      <c r="M903" s="191"/>
      <c r="N903" s="191"/>
      <c r="O903" s="191"/>
      <c r="P903" s="191"/>
      <c r="Q903" s="191"/>
      <c r="R903" s="191"/>
      <c r="S903" s="191"/>
      <c r="T903" s="191"/>
      <c r="U903" s="191"/>
      <c r="V903" s="191"/>
    </row>
    <row r="904" spans="2:22">
      <c r="B904" s="191"/>
      <c r="C904" s="191"/>
      <c r="D904" s="191"/>
      <c r="E904" s="191"/>
      <c r="F904" s="191"/>
      <c r="G904" s="191"/>
      <c r="H904" s="191"/>
      <c r="I904" s="191"/>
      <c r="J904" s="191"/>
      <c r="K904" s="191"/>
      <c r="L904" s="191"/>
      <c r="M904" s="191"/>
      <c r="N904" s="191"/>
      <c r="O904" s="191"/>
      <c r="P904" s="191"/>
      <c r="Q904" s="191"/>
      <c r="R904" s="191"/>
      <c r="S904" s="191"/>
      <c r="T904" s="191"/>
      <c r="U904" s="191"/>
      <c r="V904" s="191"/>
    </row>
    <row r="905" spans="2:22">
      <c r="B905" s="191"/>
      <c r="C905" s="191"/>
      <c r="D905" s="191"/>
      <c r="E905" s="191"/>
      <c r="F905" s="191"/>
      <c r="G905" s="191"/>
      <c r="H905" s="191"/>
      <c r="I905" s="191"/>
      <c r="J905" s="191"/>
      <c r="K905" s="191"/>
      <c r="L905" s="191"/>
      <c r="M905" s="191"/>
      <c r="N905" s="191"/>
      <c r="O905" s="191"/>
      <c r="P905" s="191"/>
      <c r="Q905" s="191"/>
      <c r="R905" s="191"/>
      <c r="S905" s="191"/>
      <c r="T905" s="191"/>
      <c r="U905" s="191"/>
      <c r="V905" s="191"/>
    </row>
    <row r="906" spans="2:22">
      <c r="B906" s="191"/>
      <c r="C906" s="191"/>
      <c r="D906" s="191"/>
      <c r="E906" s="191"/>
      <c r="F906" s="191"/>
      <c r="G906" s="191"/>
      <c r="H906" s="191"/>
      <c r="I906" s="191"/>
      <c r="J906" s="191"/>
      <c r="K906" s="191"/>
      <c r="L906" s="191"/>
      <c r="M906" s="191"/>
      <c r="N906" s="191"/>
      <c r="O906" s="191"/>
      <c r="P906" s="191"/>
      <c r="Q906" s="191"/>
      <c r="R906" s="191"/>
      <c r="S906" s="191"/>
      <c r="T906" s="191"/>
      <c r="U906" s="191"/>
      <c r="V906" s="191"/>
    </row>
    <row r="907" spans="2:22">
      <c r="B907" s="191"/>
      <c r="C907" s="191"/>
      <c r="D907" s="191"/>
      <c r="E907" s="191"/>
      <c r="F907" s="191"/>
      <c r="G907" s="191"/>
      <c r="H907" s="191"/>
      <c r="I907" s="191"/>
      <c r="J907" s="191"/>
      <c r="K907" s="191"/>
      <c r="L907" s="191"/>
      <c r="M907" s="191"/>
      <c r="N907" s="191"/>
      <c r="O907" s="191"/>
      <c r="P907" s="191"/>
      <c r="Q907" s="191"/>
      <c r="R907" s="191"/>
      <c r="S907" s="191"/>
      <c r="T907" s="191"/>
      <c r="U907" s="191"/>
      <c r="V907" s="191"/>
    </row>
    <row r="908" spans="2:22">
      <c r="B908" s="191"/>
      <c r="C908" s="191"/>
      <c r="D908" s="191"/>
      <c r="E908" s="191"/>
      <c r="F908" s="191"/>
      <c r="G908" s="191"/>
      <c r="H908" s="191"/>
      <c r="I908" s="191"/>
      <c r="J908" s="191"/>
      <c r="K908" s="191"/>
      <c r="L908" s="191"/>
      <c r="M908" s="191"/>
      <c r="N908" s="191"/>
      <c r="O908" s="191"/>
      <c r="P908" s="191"/>
      <c r="Q908" s="191"/>
      <c r="R908" s="191"/>
      <c r="S908" s="191"/>
      <c r="T908" s="191"/>
      <c r="U908" s="191"/>
      <c r="V908" s="191"/>
    </row>
    <row r="909" spans="2:22">
      <c r="B909" s="191"/>
      <c r="C909" s="191"/>
      <c r="D909" s="191"/>
      <c r="E909" s="191"/>
      <c r="F909" s="191"/>
      <c r="G909" s="191"/>
      <c r="H909" s="191"/>
      <c r="I909" s="191"/>
      <c r="J909" s="191"/>
      <c r="K909" s="191"/>
      <c r="L909" s="191"/>
      <c r="M909" s="191"/>
      <c r="N909" s="191"/>
      <c r="O909" s="191"/>
      <c r="P909" s="191"/>
      <c r="Q909" s="191"/>
      <c r="R909" s="191"/>
      <c r="S909" s="191"/>
      <c r="T909" s="191"/>
      <c r="U909" s="191"/>
      <c r="V909" s="191"/>
    </row>
    <row r="910" spans="2:22">
      <c r="B910" s="191"/>
      <c r="C910" s="191"/>
      <c r="D910" s="191"/>
      <c r="E910" s="191"/>
      <c r="F910" s="191"/>
      <c r="G910" s="191"/>
      <c r="H910" s="191"/>
      <c r="I910" s="191"/>
      <c r="J910" s="191"/>
      <c r="K910" s="191"/>
      <c r="L910" s="191"/>
      <c r="M910" s="191"/>
      <c r="N910" s="191"/>
      <c r="O910" s="191"/>
      <c r="P910" s="191"/>
      <c r="Q910" s="191"/>
      <c r="R910" s="191"/>
      <c r="S910" s="191"/>
      <c r="T910" s="191"/>
      <c r="U910" s="191"/>
      <c r="V910" s="191"/>
    </row>
    <row r="911" spans="2:22">
      <c r="B911" s="191"/>
      <c r="C911" s="191"/>
      <c r="D911" s="191"/>
      <c r="E911" s="191"/>
      <c r="F911" s="191"/>
      <c r="G911" s="191"/>
      <c r="H911" s="191"/>
      <c r="I911" s="191"/>
      <c r="J911" s="191"/>
      <c r="K911" s="191"/>
      <c r="L911" s="191"/>
      <c r="M911" s="191"/>
      <c r="N911" s="191"/>
      <c r="O911" s="191"/>
      <c r="P911" s="191"/>
      <c r="Q911" s="191"/>
      <c r="R911" s="191"/>
      <c r="S911" s="191"/>
      <c r="T911" s="191"/>
      <c r="U911" s="191"/>
      <c r="V911" s="191"/>
    </row>
    <row r="912" spans="2:22">
      <c r="B912" s="191"/>
      <c r="C912" s="191"/>
      <c r="D912" s="191"/>
      <c r="E912" s="191"/>
      <c r="F912" s="191"/>
      <c r="G912" s="191"/>
      <c r="H912" s="191"/>
      <c r="I912" s="191"/>
      <c r="J912" s="191"/>
      <c r="K912" s="191"/>
      <c r="L912" s="191"/>
      <c r="M912" s="191"/>
      <c r="N912" s="191"/>
      <c r="O912" s="191"/>
      <c r="P912" s="191"/>
      <c r="Q912" s="191"/>
      <c r="R912" s="191"/>
      <c r="S912" s="191"/>
      <c r="T912" s="191"/>
      <c r="U912" s="191"/>
      <c r="V912" s="191"/>
    </row>
    <row r="913" spans="2:22">
      <c r="B913" s="191"/>
      <c r="C913" s="191"/>
      <c r="D913" s="191"/>
      <c r="E913" s="191"/>
      <c r="F913" s="191"/>
      <c r="G913" s="191"/>
      <c r="H913" s="191"/>
      <c r="I913" s="191"/>
      <c r="J913" s="191"/>
      <c r="K913" s="191"/>
      <c r="L913" s="191"/>
      <c r="M913" s="191"/>
      <c r="N913" s="191"/>
      <c r="O913" s="191"/>
      <c r="P913" s="191"/>
      <c r="Q913" s="191"/>
      <c r="R913" s="191"/>
      <c r="S913" s="191"/>
      <c r="T913" s="191"/>
      <c r="U913" s="191"/>
      <c r="V913" s="191"/>
    </row>
    <row r="914" spans="2:22">
      <c r="B914" s="191"/>
      <c r="C914" s="191"/>
      <c r="D914" s="191"/>
      <c r="E914" s="191"/>
      <c r="F914" s="191"/>
      <c r="G914" s="191"/>
      <c r="H914" s="191"/>
      <c r="I914" s="191"/>
      <c r="J914" s="191"/>
      <c r="K914" s="191"/>
      <c r="L914" s="191"/>
      <c r="M914" s="191"/>
      <c r="N914" s="191"/>
      <c r="O914" s="191"/>
      <c r="P914" s="191"/>
      <c r="Q914" s="191"/>
      <c r="R914" s="191"/>
      <c r="S914" s="191"/>
      <c r="T914" s="191"/>
      <c r="U914" s="191"/>
      <c r="V914" s="191"/>
    </row>
    <row r="915" spans="2:22">
      <c r="B915" s="191"/>
      <c r="C915" s="191"/>
      <c r="D915" s="191"/>
      <c r="E915" s="191"/>
      <c r="F915" s="191"/>
      <c r="G915" s="191"/>
      <c r="H915" s="191"/>
      <c r="I915" s="191"/>
      <c r="J915" s="191"/>
      <c r="K915" s="191"/>
      <c r="L915" s="191"/>
      <c r="M915" s="191"/>
      <c r="N915" s="191"/>
      <c r="O915" s="191"/>
      <c r="P915" s="191"/>
      <c r="Q915" s="191"/>
      <c r="R915" s="191"/>
      <c r="S915" s="191"/>
      <c r="T915" s="191"/>
      <c r="U915" s="191"/>
      <c r="V915" s="191"/>
    </row>
    <row r="916" spans="2:22">
      <c r="B916" s="191"/>
      <c r="C916" s="191"/>
      <c r="D916" s="191"/>
      <c r="E916" s="191"/>
      <c r="F916" s="191"/>
      <c r="G916" s="191"/>
      <c r="H916" s="191"/>
      <c r="I916" s="191"/>
      <c r="J916" s="191"/>
      <c r="K916" s="191"/>
      <c r="L916" s="191"/>
      <c r="M916" s="191"/>
      <c r="N916" s="191"/>
      <c r="O916" s="191"/>
      <c r="P916" s="191"/>
      <c r="Q916" s="191"/>
      <c r="R916" s="191"/>
      <c r="S916" s="191"/>
      <c r="T916" s="191"/>
      <c r="U916" s="191"/>
      <c r="V916" s="191"/>
    </row>
    <row r="917" spans="2:22">
      <c r="B917" s="191"/>
      <c r="C917" s="191"/>
      <c r="D917" s="191"/>
      <c r="E917" s="191"/>
      <c r="F917" s="191"/>
      <c r="G917" s="191"/>
      <c r="H917" s="191"/>
      <c r="I917" s="191"/>
      <c r="J917" s="191"/>
      <c r="K917" s="191"/>
      <c r="L917" s="191"/>
      <c r="M917" s="191"/>
      <c r="N917" s="191"/>
      <c r="O917" s="191"/>
      <c r="P917" s="191"/>
      <c r="Q917" s="191"/>
      <c r="R917" s="191"/>
      <c r="S917" s="191"/>
      <c r="T917" s="191"/>
      <c r="U917" s="191"/>
      <c r="V917" s="191"/>
    </row>
    <row r="918" spans="2:22">
      <c r="B918" s="191"/>
      <c r="C918" s="191"/>
      <c r="D918" s="191"/>
      <c r="E918" s="191"/>
      <c r="F918" s="191"/>
      <c r="G918" s="191"/>
      <c r="H918" s="191"/>
      <c r="I918" s="191"/>
      <c r="J918" s="191"/>
      <c r="K918" s="191"/>
      <c r="L918" s="191"/>
      <c r="M918" s="191"/>
      <c r="N918" s="191"/>
      <c r="O918" s="191"/>
      <c r="P918" s="191"/>
      <c r="Q918" s="191"/>
      <c r="R918" s="191"/>
      <c r="S918" s="191"/>
      <c r="T918" s="191"/>
      <c r="U918" s="191"/>
      <c r="V918" s="191"/>
    </row>
    <row r="919" spans="2:22">
      <c r="B919" s="191"/>
      <c r="C919" s="191"/>
      <c r="D919" s="191"/>
      <c r="E919" s="191"/>
      <c r="F919" s="191"/>
      <c r="G919" s="191"/>
      <c r="H919" s="191"/>
      <c r="I919" s="191"/>
      <c r="J919" s="191"/>
      <c r="K919" s="191"/>
      <c r="L919" s="191"/>
      <c r="M919" s="191"/>
      <c r="N919" s="191"/>
      <c r="O919" s="191"/>
      <c r="P919" s="191"/>
      <c r="Q919" s="191"/>
      <c r="R919" s="191"/>
      <c r="S919" s="191"/>
      <c r="T919" s="191"/>
      <c r="U919" s="191"/>
      <c r="V919" s="191"/>
    </row>
    <row r="920" spans="2:22">
      <c r="B920" s="191"/>
      <c r="C920" s="191"/>
      <c r="D920" s="191"/>
      <c r="E920" s="191"/>
      <c r="F920" s="191"/>
      <c r="G920" s="191"/>
      <c r="H920" s="191"/>
      <c r="I920" s="191"/>
      <c r="J920" s="191"/>
      <c r="K920" s="191"/>
      <c r="L920" s="191"/>
      <c r="M920" s="191"/>
      <c r="N920" s="191"/>
      <c r="O920" s="191"/>
      <c r="P920" s="191"/>
      <c r="Q920" s="191"/>
      <c r="R920" s="191"/>
      <c r="S920" s="191"/>
      <c r="T920" s="191"/>
      <c r="U920" s="191"/>
      <c r="V920" s="191"/>
    </row>
    <row r="921" spans="2:22">
      <c r="B921" s="191"/>
      <c r="C921" s="191"/>
      <c r="D921" s="191"/>
      <c r="E921" s="191"/>
      <c r="F921" s="191"/>
      <c r="G921" s="191"/>
      <c r="H921" s="191"/>
      <c r="I921" s="191"/>
      <c r="J921" s="191"/>
      <c r="K921" s="191"/>
      <c r="L921" s="191"/>
      <c r="M921" s="191"/>
      <c r="N921" s="191"/>
      <c r="O921" s="191"/>
      <c r="P921" s="191"/>
      <c r="Q921" s="191"/>
      <c r="R921" s="191"/>
      <c r="S921" s="191"/>
      <c r="T921" s="191"/>
      <c r="U921" s="191"/>
      <c r="V921" s="191"/>
    </row>
    <row r="922" spans="2:22">
      <c r="B922" s="191"/>
      <c r="C922" s="191"/>
      <c r="D922" s="191"/>
      <c r="E922" s="191"/>
      <c r="F922" s="191"/>
      <c r="G922" s="191"/>
      <c r="H922" s="191"/>
      <c r="I922" s="191"/>
      <c r="J922" s="191"/>
      <c r="K922" s="191"/>
      <c r="L922" s="191"/>
      <c r="M922" s="191"/>
      <c r="N922" s="191"/>
      <c r="O922" s="191"/>
      <c r="P922" s="191"/>
      <c r="Q922" s="191"/>
      <c r="R922" s="191"/>
      <c r="S922" s="191"/>
      <c r="T922" s="191"/>
      <c r="U922" s="191"/>
      <c r="V922" s="191"/>
    </row>
    <row r="923" spans="2:22">
      <c r="B923" s="191"/>
      <c r="C923" s="191"/>
      <c r="D923" s="191"/>
      <c r="E923" s="191"/>
      <c r="F923" s="191"/>
      <c r="G923" s="191"/>
      <c r="H923" s="191"/>
      <c r="I923" s="191"/>
      <c r="J923" s="191"/>
      <c r="K923" s="191"/>
      <c r="L923" s="191"/>
      <c r="M923" s="191"/>
      <c r="N923" s="191"/>
      <c r="O923" s="191"/>
      <c r="P923" s="191"/>
      <c r="Q923" s="191"/>
      <c r="R923" s="191"/>
      <c r="S923" s="191"/>
      <c r="T923" s="191"/>
      <c r="U923" s="191"/>
      <c r="V923" s="191"/>
    </row>
    <row r="924" spans="2:22">
      <c r="B924" s="191"/>
      <c r="C924" s="191"/>
      <c r="D924" s="191"/>
      <c r="E924" s="191"/>
      <c r="F924" s="191"/>
      <c r="G924" s="191"/>
      <c r="H924" s="191"/>
      <c r="I924" s="191"/>
      <c r="J924" s="191"/>
      <c r="K924" s="191"/>
      <c r="L924" s="191"/>
      <c r="M924" s="191"/>
      <c r="N924" s="191"/>
      <c r="O924" s="191"/>
      <c r="P924" s="191"/>
      <c r="Q924" s="191"/>
      <c r="R924" s="191"/>
      <c r="S924" s="191"/>
      <c r="T924" s="191"/>
      <c r="U924" s="191"/>
      <c r="V924" s="191"/>
    </row>
    <row r="925" spans="2:22">
      <c r="B925" s="191"/>
      <c r="C925" s="191"/>
      <c r="D925" s="191"/>
      <c r="E925" s="191"/>
      <c r="F925" s="191"/>
      <c r="G925" s="191"/>
      <c r="H925" s="191"/>
      <c r="I925" s="191"/>
      <c r="J925" s="191"/>
      <c r="K925" s="191"/>
      <c r="L925" s="191"/>
      <c r="M925" s="191"/>
      <c r="N925" s="191"/>
      <c r="O925" s="191"/>
      <c r="P925" s="191"/>
      <c r="Q925" s="191"/>
      <c r="R925" s="191"/>
      <c r="S925" s="191"/>
      <c r="T925" s="191"/>
      <c r="U925" s="191"/>
      <c r="V925" s="191"/>
    </row>
    <row r="926" spans="2:22">
      <c r="B926" s="191"/>
      <c r="C926" s="191"/>
      <c r="D926" s="191"/>
      <c r="E926" s="191"/>
      <c r="F926" s="191"/>
      <c r="G926" s="191"/>
      <c r="H926" s="191"/>
      <c r="I926" s="191"/>
      <c r="J926" s="191"/>
      <c r="K926" s="191"/>
      <c r="L926" s="191"/>
      <c r="M926" s="191"/>
      <c r="N926" s="191"/>
      <c r="O926" s="191"/>
      <c r="P926" s="191"/>
      <c r="Q926" s="191"/>
      <c r="R926" s="191"/>
      <c r="S926" s="191"/>
      <c r="T926" s="191"/>
      <c r="U926" s="191"/>
      <c r="V926" s="191"/>
    </row>
    <row r="927" spans="2:22">
      <c r="B927" s="191"/>
      <c r="C927" s="191"/>
      <c r="D927" s="191"/>
      <c r="E927" s="191"/>
      <c r="F927" s="191"/>
      <c r="G927" s="191"/>
      <c r="H927" s="191"/>
      <c r="I927" s="191"/>
      <c r="J927" s="191"/>
      <c r="K927" s="191"/>
      <c r="L927" s="191"/>
      <c r="M927" s="191"/>
      <c r="N927" s="191"/>
      <c r="O927" s="191"/>
      <c r="P927" s="191"/>
      <c r="Q927" s="191"/>
      <c r="R927" s="191"/>
      <c r="S927" s="191"/>
      <c r="T927" s="191"/>
      <c r="U927" s="191"/>
      <c r="V927" s="191"/>
    </row>
    <row r="928" spans="2:22">
      <c r="B928" s="191"/>
      <c r="C928" s="191"/>
      <c r="D928" s="191"/>
      <c r="E928" s="191"/>
      <c r="F928" s="191"/>
      <c r="G928" s="191"/>
      <c r="H928" s="191"/>
      <c r="I928" s="191"/>
      <c r="J928" s="191"/>
      <c r="K928" s="191"/>
      <c r="L928" s="191"/>
      <c r="M928" s="191"/>
      <c r="N928" s="191"/>
      <c r="O928" s="191"/>
      <c r="P928" s="191"/>
      <c r="Q928" s="191"/>
      <c r="R928" s="191"/>
      <c r="S928" s="191"/>
      <c r="T928" s="191"/>
      <c r="U928" s="191"/>
      <c r="V928" s="191"/>
    </row>
    <row r="929" spans="2:22">
      <c r="B929" s="191"/>
      <c r="C929" s="191"/>
      <c r="D929" s="191"/>
      <c r="E929" s="191"/>
      <c r="F929" s="191"/>
      <c r="G929" s="191"/>
      <c r="H929" s="191"/>
      <c r="I929" s="191"/>
      <c r="J929" s="191"/>
      <c r="K929" s="191"/>
      <c r="L929" s="191"/>
      <c r="M929" s="191"/>
      <c r="N929" s="191"/>
      <c r="O929" s="191"/>
      <c r="P929" s="191"/>
      <c r="Q929" s="191"/>
      <c r="R929" s="191"/>
      <c r="S929" s="191"/>
      <c r="T929" s="191"/>
      <c r="U929" s="191"/>
      <c r="V929" s="191"/>
    </row>
    <row r="930" spans="2:22">
      <c r="B930" s="191"/>
      <c r="C930" s="191"/>
      <c r="D930" s="191"/>
      <c r="E930" s="191"/>
      <c r="F930" s="191"/>
      <c r="G930" s="191"/>
      <c r="H930" s="191"/>
      <c r="I930" s="191"/>
      <c r="J930" s="191"/>
      <c r="K930" s="191"/>
      <c r="L930" s="191"/>
      <c r="M930" s="191"/>
      <c r="N930" s="191"/>
      <c r="O930" s="191"/>
      <c r="P930" s="191"/>
      <c r="Q930" s="191"/>
      <c r="R930" s="191"/>
      <c r="S930" s="191"/>
      <c r="T930" s="191"/>
      <c r="U930" s="191"/>
      <c r="V930" s="191"/>
    </row>
    <row r="931" spans="2:22">
      <c r="B931" s="191"/>
      <c r="C931" s="191"/>
      <c r="D931" s="191"/>
      <c r="E931" s="191"/>
      <c r="F931" s="191"/>
      <c r="G931" s="191"/>
      <c r="H931" s="191"/>
      <c r="I931" s="191"/>
      <c r="J931" s="191"/>
      <c r="K931" s="191"/>
      <c r="L931" s="191"/>
      <c r="M931" s="191"/>
      <c r="N931" s="191"/>
      <c r="O931" s="191"/>
      <c r="P931" s="191"/>
      <c r="Q931" s="191"/>
      <c r="R931" s="191"/>
      <c r="S931" s="191"/>
      <c r="T931" s="191"/>
      <c r="U931" s="191"/>
      <c r="V931" s="191"/>
    </row>
    <row r="932" spans="2:22">
      <c r="B932" s="191"/>
      <c r="C932" s="191"/>
      <c r="D932" s="191"/>
      <c r="E932" s="191"/>
      <c r="F932" s="191"/>
      <c r="G932" s="191"/>
      <c r="H932" s="191"/>
      <c r="I932" s="191"/>
      <c r="J932" s="191"/>
      <c r="K932" s="191"/>
      <c r="L932" s="191"/>
      <c r="M932" s="191"/>
      <c r="N932" s="191"/>
      <c r="O932" s="191"/>
      <c r="P932" s="191"/>
      <c r="Q932" s="191"/>
      <c r="R932" s="191"/>
      <c r="S932" s="191"/>
      <c r="T932" s="191"/>
      <c r="U932" s="191"/>
      <c r="V932" s="191"/>
    </row>
    <row r="933" spans="2:22">
      <c r="B933" s="191"/>
      <c r="C933" s="191"/>
      <c r="D933" s="191"/>
      <c r="E933" s="191"/>
      <c r="F933" s="191"/>
      <c r="G933" s="191"/>
      <c r="H933" s="191"/>
      <c r="I933" s="191"/>
      <c r="J933" s="191"/>
      <c r="K933" s="191"/>
      <c r="L933" s="191"/>
      <c r="M933" s="191"/>
      <c r="N933" s="191"/>
      <c r="O933" s="191"/>
      <c r="P933" s="191"/>
      <c r="Q933" s="191"/>
      <c r="R933" s="191"/>
      <c r="S933" s="191"/>
      <c r="T933" s="191"/>
      <c r="U933" s="191"/>
      <c r="V933" s="191"/>
    </row>
    <row r="934" spans="2:22">
      <c r="B934" s="191"/>
      <c r="C934" s="191"/>
      <c r="D934" s="191"/>
      <c r="E934" s="191"/>
      <c r="F934" s="191"/>
      <c r="G934" s="191"/>
      <c r="H934" s="191"/>
      <c r="I934" s="191"/>
      <c r="J934" s="191"/>
      <c r="K934" s="191"/>
      <c r="L934" s="191"/>
      <c r="M934" s="191"/>
      <c r="N934" s="191"/>
      <c r="O934" s="191"/>
      <c r="P934" s="191"/>
      <c r="Q934" s="191"/>
      <c r="R934" s="191"/>
      <c r="S934" s="191"/>
      <c r="T934" s="191"/>
      <c r="U934" s="191"/>
      <c r="V934" s="191"/>
    </row>
    <row r="935" spans="2:22">
      <c r="B935" s="191"/>
      <c r="C935" s="191"/>
      <c r="D935" s="191"/>
      <c r="E935" s="191"/>
      <c r="F935" s="191"/>
      <c r="G935" s="191"/>
      <c r="H935" s="191"/>
      <c r="I935" s="191"/>
      <c r="J935" s="191"/>
      <c r="K935" s="191"/>
      <c r="L935" s="191"/>
      <c r="M935" s="191"/>
      <c r="N935" s="191"/>
      <c r="O935" s="191"/>
      <c r="P935" s="191"/>
      <c r="Q935" s="191"/>
      <c r="R935" s="191"/>
      <c r="S935" s="191"/>
      <c r="T935" s="191"/>
      <c r="U935" s="191"/>
      <c r="V935" s="191"/>
    </row>
    <row r="936" spans="2:22">
      <c r="B936" s="191"/>
      <c r="C936" s="191"/>
      <c r="D936" s="191"/>
      <c r="E936" s="191"/>
      <c r="F936" s="191"/>
      <c r="G936" s="191"/>
      <c r="H936" s="191"/>
      <c r="I936" s="191"/>
      <c r="J936" s="191"/>
      <c r="K936" s="191"/>
      <c r="L936" s="191"/>
      <c r="M936" s="191"/>
      <c r="N936" s="191"/>
      <c r="O936" s="191"/>
      <c r="P936" s="191"/>
      <c r="Q936" s="191"/>
      <c r="R936" s="191"/>
      <c r="S936" s="191"/>
      <c r="T936" s="191"/>
      <c r="U936" s="191"/>
      <c r="V936" s="191"/>
    </row>
    <row r="937" spans="2:22">
      <c r="B937" s="191"/>
      <c r="C937" s="191"/>
      <c r="D937" s="191"/>
      <c r="E937" s="191"/>
      <c r="F937" s="191"/>
      <c r="G937" s="191"/>
      <c r="H937" s="191"/>
      <c r="I937" s="191"/>
      <c r="J937" s="191"/>
      <c r="K937" s="191"/>
      <c r="L937" s="191"/>
      <c r="M937" s="191"/>
      <c r="N937" s="191"/>
      <c r="O937" s="191"/>
      <c r="P937" s="191"/>
      <c r="Q937" s="191"/>
      <c r="R937" s="191"/>
      <c r="S937" s="191"/>
      <c r="T937" s="191"/>
      <c r="U937" s="191"/>
      <c r="V937" s="191"/>
    </row>
    <row r="938" spans="2:22">
      <c r="B938" s="191"/>
      <c r="C938" s="191"/>
      <c r="D938" s="191"/>
      <c r="E938" s="191"/>
      <c r="F938" s="191"/>
      <c r="G938" s="191"/>
      <c r="H938" s="191"/>
      <c r="I938" s="191"/>
      <c r="J938" s="191"/>
      <c r="K938" s="191"/>
      <c r="L938" s="191"/>
      <c r="M938" s="191"/>
      <c r="N938" s="191"/>
      <c r="O938" s="191"/>
      <c r="P938" s="191"/>
      <c r="Q938" s="191"/>
      <c r="R938" s="191"/>
      <c r="S938" s="191"/>
      <c r="T938" s="191"/>
      <c r="U938" s="191"/>
      <c r="V938" s="191"/>
    </row>
    <row r="939" spans="2:22">
      <c r="B939" s="191"/>
      <c r="C939" s="191"/>
      <c r="D939" s="191"/>
      <c r="E939" s="191"/>
      <c r="F939" s="191"/>
      <c r="G939" s="191"/>
      <c r="H939" s="191"/>
      <c r="I939" s="191"/>
      <c r="J939" s="191"/>
      <c r="K939" s="191"/>
      <c r="L939" s="191"/>
      <c r="M939" s="191"/>
      <c r="N939" s="191"/>
      <c r="O939" s="191"/>
      <c r="P939" s="191"/>
      <c r="Q939" s="191"/>
      <c r="R939" s="191"/>
      <c r="S939" s="191"/>
      <c r="T939" s="191"/>
      <c r="U939" s="191"/>
      <c r="V939" s="191"/>
    </row>
    <row r="940" spans="2:22">
      <c r="B940" s="191"/>
      <c r="C940" s="191"/>
      <c r="D940" s="191"/>
      <c r="E940" s="191"/>
      <c r="F940" s="191"/>
      <c r="G940" s="191"/>
      <c r="H940" s="191"/>
      <c r="I940" s="191"/>
      <c r="J940" s="191"/>
      <c r="K940" s="191"/>
      <c r="L940" s="191"/>
      <c r="M940" s="191"/>
      <c r="N940" s="191"/>
      <c r="O940" s="191"/>
      <c r="P940" s="191"/>
      <c r="Q940" s="191"/>
      <c r="R940" s="191"/>
      <c r="S940" s="191"/>
      <c r="T940" s="191"/>
      <c r="U940" s="191"/>
      <c r="V940" s="191"/>
    </row>
    <row r="941" spans="2:22">
      <c r="B941" s="191"/>
      <c r="C941" s="191"/>
      <c r="D941" s="191"/>
      <c r="E941" s="191"/>
      <c r="F941" s="191"/>
      <c r="G941" s="191"/>
      <c r="H941" s="191"/>
      <c r="I941" s="191"/>
      <c r="J941" s="191"/>
      <c r="K941" s="191"/>
      <c r="L941" s="191"/>
      <c r="M941" s="191"/>
      <c r="N941" s="191"/>
      <c r="O941" s="191"/>
      <c r="P941" s="191"/>
      <c r="Q941" s="191"/>
      <c r="R941" s="191"/>
      <c r="S941" s="191"/>
      <c r="T941" s="191"/>
      <c r="U941" s="191"/>
      <c r="V941" s="191"/>
    </row>
    <row r="942" spans="2:22">
      <c r="B942" s="191"/>
      <c r="C942" s="191"/>
      <c r="D942" s="191"/>
      <c r="E942" s="191"/>
      <c r="F942" s="191"/>
      <c r="G942" s="191"/>
      <c r="H942" s="191"/>
      <c r="I942" s="191"/>
      <c r="J942" s="191"/>
      <c r="K942" s="191"/>
      <c r="L942" s="191"/>
      <c r="M942" s="191"/>
      <c r="N942" s="191"/>
      <c r="O942" s="191"/>
      <c r="P942" s="191"/>
      <c r="Q942" s="191"/>
      <c r="R942" s="191"/>
      <c r="S942" s="191"/>
      <c r="T942" s="191"/>
      <c r="U942" s="191"/>
      <c r="V942" s="191"/>
    </row>
    <row r="943" spans="2:22">
      <c r="B943" s="191"/>
      <c r="C943" s="191"/>
      <c r="D943" s="191"/>
      <c r="E943" s="191"/>
      <c r="F943" s="191"/>
      <c r="G943" s="191"/>
      <c r="H943" s="191"/>
      <c r="I943" s="191"/>
      <c r="J943" s="191"/>
      <c r="K943" s="191"/>
      <c r="L943" s="191"/>
      <c r="M943" s="191"/>
      <c r="N943" s="191"/>
      <c r="O943" s="191"/>
      <c r="P943" s="191"/>
      <c r="Q943" s="191"/>
      <c r="R943" s="191"/>
      <c r="S943" s="191"/>
      <c r="T943" s="191"/>
      <c r="U943" s="191"/>
      <c r="V943" s="191"/>
    </row>
    <row r="944" spans="2:22">
      <c r="B944" s="191"/>
      <c r="C944" s="191"/>
      <c r="D944" s="191"/>
      <c r="E944" s="191"/>
      <c r="F944" s="191"/>
      <c r="G944" s="191"/>
      <c r="H944" s="191"/>
      <c r="I944" s="191"/>
      <c r="J944" s="191"/>
      <c r="K944" s="191"/>
      <c r="L944" s="191"/>
      <c r="M944" s="191"/>
      <c r="N944" s="191"/>
      <c r="O944" s="191"/>
      <c r="P944" s="191"/>
      <c r="Q944" s="191"/>
      <c r="R944" s="191"/>
      <c r="S944" s="191"/>
      <c r="T944" s="191"/>
      <c r="U944" s="191"/>
      <c r="V944" s="191"/>
    </row>
    <row r="945" spans="2:22">
      <c r="B945" s="191"/>
      <c r="C945" s="191"/>
      <c r="D945" s="191"/>
      <c r="E945" s="191"/>
      <c r="F945" s="191"/>
      <c r="G945" s="191"/>
      <c r="H945" s="191"/>
      <c r="I945" s="191"/>
      <c r="J945" s="191"/>
      <c r="K945" s="191"/>
      <c r="L945" s="191"/>
      <c r="M945" s="191"/>
      <c r="N945" s="191"/>
      <c r="O945" s="191"/>
      <c r="P945" s="191"/>
      <c r="Q945" s="191"/>
      <c r="R945" s="191"/>
      <c r="S945" s="191"/>
      <c r="T945" s="191"/>
      <c r="U945" s="191"/>
      <c r="V945" s="191"/>
    </row>
    <row r="946" spans="2:22">
      <c r="B946" s="191"/>
      <c r="C946" s="191"/>
      <c r="D946" s="191"/>
      <c r="E946" s="191"/>
      <c r="F946" s="191"/>
      <c r="G946" s="191"/>
      <c r="H946" s="191"/>
      <c r="I946" s="191"/>
      <c r="J946" s="191"/>
      <c r="K946" s="191"/>
      <c r="L946" s="191"/>
      <c r="M946" s="191"/>
      <c r="N946" s="191"/>
      <c r="O946" s="191"/>
      <c r="P946" s="191"/>
      <c r="Q946" s="191"/>
      <c r="R946" s="191"/>
      <c r="S946" s="191"/>
      <c r="T946" s="191"/>
      <c r="U946" s="191"/>
      <c r="V946" s="191"/>
    </row>
    <row r="947" spans="2:22">
      <c r="B947" s="191"/>
      <c r="C947" s="191"/>
      <c r="D947" s="191"/>
      <c r="E947" s="191"/>
      <c r="F947" s="191"/>
      <c r="G947" s="191"/>
      <c r="H947" s="191"/>
      <c r="I947" s="191"/>
      <c r="J947" s="191"/>
      <c r="K947" s="191"/>
      <c r="L947" s="191"/>
      <c r="M947" s="191"/>
      <c r="N947" s="191"/>
      <c r="O947" s="191"/>
      <c r="P947" s="191"/>
      <c r="Q947" s="191"/>
      <c r="R947" s="191"/>
      <c r="S947" s="191"/>
      <c r="T947" s="191"/>
      <c r="U947" s="191"/>
      <c r="V947" s="191"/>
    </row>
    <row r="948" spans="2:22">
      <c r="B948" s="191"/>
      <c r="C948" s="191"/>
      <c r="D948" s="191"/>
      <c r="E948" s="191"/>
      <c r="F948" s="191"/>
      <c r="G948" s="191"/>
      <c r="H948" s="191"/>
      <c r="I948" s="191"/>
      <c r="J948" s="191"/>
      <c r="K948" s="191"/>
      <c r="L948" s="191"/>
      <c r="M948" s="191"/>
      <c r="N948" s="191"/>
      <c r="O948" s="191"/>
      <c r="P948" s="191"/>
      <c r="Q948" s="191"/>
      <c r="R948" s="191"/>
      <c r="S948" s="191"/>
      <c r="T948" s="191"/>
      <c r="U948" s="191"/>
      <c r="V948" s="191"/>
    </row>
    <row r="949" spans="2:22">
      <c r="B949" s="191"/>
      <c r="C949" s="191"/>
      <c r="D949" s="191"/>
      <c r="E949" s="191"/>
      <c r="F949" s="191"/>
      <c r="G949" s="191"/>
      <c r="H949" s="191"/>
      <c r="I949" s="191"/>
      <c r="J949" s="191"/>
      <c r="K949" s="191"/>
      <c r="L949" s="191"/>
      <c r="M949" s="191"/>
      <c r="N949" s="191"/>
      <c r="O949" s="191"/>
      <c r="P949" s="191"/>
      <c r="Q949" s="191"/>
      <c r="R949" s="191"/>
      <c r="S949" s="191"/>
      <c r="T949" s="191"/>
      <c r="U949" s="191"/>
      <c r="V949" s="191"/>
    </row>
    <row r="950" spans="2:22">
      <c r="B950" s="191"/>
      <c r="C950" s="191"/>
      <c r="D950" s="191"/>
      <c r="E950" s="191"/>
      <c r="F950" s="191"/>
      <c r="G950" s="191"/>
      <c r="H950" s="191"/>
      <c r="I950" s="191"/>
      <c r="J950" s="191"/>
      <c r="K950" s="191"/>
      <c r="L950" s="191"/>
      <c r="M950" s="191"/>
      <c r="N950" s="191"/>
      <c r="O950" s="191"/>
      <c r="P950" s="191"/>
      <c r="Q950" s="191"/>
      <c r="R950" s="191"/>
      <c r="S950" s="191"/>
      <c r="T950" s="191"/>
      <c r="U950" s="191"/>
      <c r="V950" s="191"/>
    </row>
    <row r="951" spans="2:22">
      <c r="B951" s="191"/>
      <c r="C951" s="191"/>
      <c r="D951" s="191"/>
      <c r="E951" s="191"/>
      <c r="F951" s="191"/>
      <c r="G951" s="191"/>
      <c r="H951" s="191"/>
      <c r="I951" s="191"/>
      <c r="J951" s="191"/>
      <c r="K951" s="191"/>
      <c r="L951" s="191"/>
      <c r="M951" s="191"/>
      <c r="N951" s="191"/>
      <c r="O951" s="191"/>
      <c r="P951" s="191"/>
      <c r="Q951" s="191"/>
      <c r="R951" s="191"/>
      <c r="S951" s="191"/>
      <c r="T951" s="191"/>
      <c r="U951" s="191"/>
      <c r="V951" s="191"/>
    </row>
    <row r="952" spans="2:22">
      <c r="B952" s="191"/>
      <c r="C952" s="191"/>
      <c r="D952" s="191"/>
      <c r="E952" s="191"/>
      <c r="F952" s="191"/>
      <c r="G952" s="191"/>
      <c r="H952" s="191"/>
      <c r="I952" s="191"/>
      <c r="J952" s="191"/>
      <c r="K952" s="191"/>
      <c r="L952" s="191"/>
      <c r="M952" s="191"/>
      <c r="N952" s="191"/>
      <c r="O952" s="191"/>
      <c r="P952" s="191"/>
      <c r="Q952" s="191"/>
      <c r="R952" s="191"/>
      <c r="S952" s="191"/>
      <c r="T952" s="191"/>
      <c r="U952" s="191"/>
      <c r="V952" s="191"/>
    </row>
    <row r="953" spans="2:22">
      <c r="B953" s="191"/>
      <c r="C953" s="191"/>
      <c r="D953" s="191"/>
      <c r="E953" s="191"/>
      <c r="F953" s="191"/>
      <c r="G953" s="191"/>
      <c r="H953" s="191"/>
      <c r="I953" s="191"/>
      <c r="J953" s="191"/>
      <c r="K953" s="191"/>
      <c r="L953" s="191"/>
      <c r="M953" s="191"/>
      <c r="N953" s="191"/>
      <c r="O953" s="191"/>
      <c r="P953" s="191"/>
      <c r="Q953" s="191"/>
      <c r="R953" s="191"/>
      <c r="S953" s="191"/>
      <c r="T953" s="191"/>
      <c r="U953" s="191"/>
      <c r="V953" s="191"/>
    </row>
    <row r="954" spans="2:22">
      <c r="B954" s="191"/>
      <c r="C954" s="191"/>
      <c r="D954" s="191"/>
      <c r="E954" s="191"/>
      <c r="F954" s="191"/>
      <c r="G954" s="191"/>
      <c r="H954" s="191"/>
      <c r="I954" s="191"/>
      <c r="J954" s="191"/>
      <c r="K954" s="191"/>
      <c r="L954" s="191"/>
      <c r="M954" s="191"/>
      <c r="N954" s="191"/>
      <c r="O954" s="191"/>
      <c r="P954" s="191"/>
      <c r="Q954" s="191"/>
      <c r="R954" s="191"/>
      <c r="S954" s="191"/>
      <c r="T954" s="191"/>
      <c r="U954" s="191"/>
      <c r="V954" s="191"/>
    </row>
    <row r="955" spans="2:22">
      <c r="B955" s="191"/>
      <c r="C955" s="191"/>
      <c r="D955" s="191"/>
      <c r="E955" s="191"/>
      <c r="F955" s="191"/>
      <c r="G955" s="191"/>
      <c r="H955" s="191"/>
      <c r="I955" s="191"/>
      <c r="J955" s="191"/>
      <c r="K955" s="191"/>
      <c r="L955" s="191"/>
      <c r="M955" s="191"/>
      <c r="N955" s="191"/>
      <c r="O955" s="191"/>
      <c r="P955" s="191"/>
      <c r="Q955" s="191"/>
      <c r="R955" s="191"/>
      <c r="S955" s="191"/>
      <c r="T955" s="191"/>
      <c r="U955" s="191"/>
      <c r="V955" s="191"/>
    </row>
    <row r="956" spans="2:22">
      <c r="B956" s="191"/>
      <c r="C956" s="191"/>
      <c r="D956" s="191"/>
      <c r="E956" s="191"/>
      <c r="F956" s="191"/>
      <c r="G956" s="191"/>
      <c r="H956" s="191"/>
      <c r="I956" s="191"/>
      <c r="J956" s="191"/>
      <c r="K956" s="191"/>
      <c r="L956" s="191"/>
      <c r="M956" s="191"/>
      <c r="N956" s="191"/>
      <c r="O956" s="191"/>
      <c r="P956" s="191"/>
      <c r="Q956" s="191"/>
      <c r="R956" s="191"/>
      <c r="S956" s="191"/>
      <c r="T956" s="191"/>
      <c r="U956" s="191"/>
      <c r="V956" s="191"/>
    </row>
    <row r="957" spans="2:22">
      <c r="B957" s="191"/>
      <c r="C957" s="191"/>
      <c r="D957" s="191"/>
      <c r="E957" s="191"/>
      <c r="F957" s="191"/>
      <c r="G957" s="191"/>
      <c r="H957" s="191"/>
      <c r="I957" s="191"/>
      <c r="J957" s="191"/>
      <c r="K957" s="191"/>
      <c r="L957" s="191"/>
      <c r="M957" s="191"/>
      <c r="N957" s="191"/>
      <c r="O957" s="191"/>
      <c r="P957" s="191"/>
      <c r="Q957" s="191"/>
      <c r="R957" s="191"/>
      <c r="S957" s="191"/>
      <c r="T957" s="191"/>
      <c r="U957" s="191"/>
      <c r="V957" s="191"/>
    </row>
    <row r="958" spans="2:22">
      <c r="B958" s="191"/>
      <c r="C958" s="191"/>
      <c r="D958" s="191"/>
      <c r="E958" s="191"/>
      <c r="F958" s="191"/>
      <c r="G958" s="191"/>
      <c r="H958" s="191"/>
      <c r="I958" s="191"/>
      <c r="J958" s="191"/>
      <c r="K958" s="191"/>
      <c r="L958" s="191"/>
      <c r="M958" s="191"/>
      <c r="N958" s="191"/>
      <c r="O958" s="191"/>
      <c r="P958" s="191"/>
      <c r="Q958" s="191"/>
      <c r="R958" s="191"/>
      <c r="S958" s="191"/>
      <c r="T958" s="191"/>
      <c r="U958" s="191"/>
      <c r="V958" s="191"/>
    </row>
    <row r="959" spans="2:22">
      <c r="B959" s="191"/>
      <c r="C959" s="191"/>
      <c r="D959" s="191"/>
      <c r="E959" s="191"/>
      <c r="F959" s="191"/>
      <c r="G959" s="191"/>
      <c r="H959" s="191"/>
      <c r="I959" s="191"/>
      <c r="J959" s="191"/>
      <c r="K959" s="191"/>
      <c r="L959" s="191"/>
      <c r="M959" s="191"/>
      <c r="N959" s="191"/>
      <c r="O959" s="191"/>
      <c r="P959" s="191"/>
      <c r="Q959" s="191"/>
      <c r="R959" s="191"/>
      <c r="S959" s="191"/>
      <c r="T959" s="191"/>
      <c r="U959" s="191"/>
      <c r="V959" s="191"/>
    </row>
    <row r="960" spans="2:22">
      <c r="B960" s="191"/>
      <c r="C960" s="191"/>
      <c r="D960" s="191"/>
      <c r="E960" s="191"/>
      <c r="F960" s="191"/>
      <c r="G960" s="191"/>
      <c r="H960" s="191"/>
      <c r="I960" s="191"/>
      <c r="J960" s="191"/>
      <c r="K960" s="191"/>
      <c r="L960" s="191"/>
      <c r="M960" s="191"/>
      <c r="N960" s="191"/>
      <c r="O960" s="191"/>
      <c r="P960" s="191"/>
      <c r="Q960" s="191"/>
      <c r="R960" s="191"/>
      <c r="S960" s="191"/>
      <c r="T960" s="191"/>
      <c r="U960" s="191"/>
      <c r="V960" s="191"/>
    </row>
    <row r="961" spans="2:22">
      <c r="B961" s="191"/>
      <c r="C961" s="191"/>
      <c r="D961" s="191"/>
      <c r="E961" s="191"/>
      <c r="F961" s="191"/>
      <c r="G961" s="191"/>
      <c r="H961" s="191"/>
      <c r="I961" s="191"/>
      <c r="J961" s="191"/>
      <c r="K961" s="191"/>
      <c r="L961" s="191"/>
      <c r="M961" s="191"/>
      <c r="N961" s="191"/>
      <c r="O961" s="191"/>
      <c r="P961" s="191"/>
      <c r="Q961" s="191"/>
      <c r="R961" s="191"/>
      <c r="S961" s="191"/>
      <c r="T961" s="191"/>
      <c r="U961" s="191"/>
      <c r="V961" s="191"/>
    </row>
    <row r="962" spans="2:22">
      <c r="B962" s="191"/>
      <c r="C962" s="191"/>
      <c r="D962" s="191"/>
      <c r="E962" s="191"/>
      <c r="F962" s="191"/>
      <c r="G962" s="191"/>
      <c r="H962" s="191"/>
      <c r="I962" s="191"/>
      <c r="J962" s="191"/>
      <c r="K962" s="191"/>
      <c r="L962" s="191"/>
      <c r="M962" s="191"/>
      <c r="N962" s="191"/>
      <c r="O962" s="191"/>
      <c r="P962" s="191"/>
      <c r="Q962" s="191"/>
      <c r="R962" s="191"/>
      <c r="S962" s="191"/>
      <c r="T962" s="191"/>
      <c r="U962" s="191"/>
      <c r="V962" s="191"/>
    </row>
    <row r="963" spans="2:22">
      <c r="B963" s="191"/>
      <c r="C963" s="191"/>
      <c r="D963" s="191"/>
      <c r="E963" s="191"/>
      <c r="F963" s="191"/>
      <c r="G963" s="191"/>
      <c r="H963" s="191"/>
      <c r="I963" s="191"/>
      <c r="J963" s="191"/>
      <c r="K963" s="191"/>
      <c r="L963" s="191"/>
      <c r="M963" s="191"/>
      <c r="N963" s="191"/>
      <c r="O963" s="191"/>
      <c r="P963" s="191"/>
      <c r="Q963" s="191"/>
      <c r="R963" s="191"/>
      <c r="S963" s="191"/>
      <c r="T963" s="191"/>
      <c r="U963" s="191"/>
      <c r="V963" s="191"/>
    </row>
    <row r="964" spans="2:22">
      <c r="B964" s="191"/>
      <c r="C964" s="191"/>
      <c r="D964" s="191"/>
      <c r="E964" s="191"/>
      <c r="F964" s="191"/>
      <c r="G964" s="191"/>
      <c r="H964" s="191"/>
      <c r="I964" s="191"/>
      <c r="J964" s="191"/>
      <c r="K964" s="191"/>
      <c r="L964" s="191"/>
      <c r="M964" s="191"/>
      <c r="N964" s="191"/>
      <c r="O964" s="191"/>
      <c r="P964" s="191"/>
      <c r="Q964" s="191"/>
      <c r="R964" s="191"/>
      <c r="S964" s="191"/>
      <c r="T964" s="191"/>
      <c r="U964" s="191"/>
      <c r="V964" s="191"/>
    </row>
    <row r="965" spans="2:22">
      <c r="B965" s="191"/>
      <c r="C965" s="191"/>
      <c r="D965" s="191"/>
      <c r="E965" s="191"/>
      <c r="F965" s="191"/>
      <c r="G965" s="191"/>
      <c r="H965" s="191"/>
      <c r="I965" s="191"/>
      <c r="J965" s="191"/>
      <c r="K965" s="191"/>
      <c r="L965" s="191"/>
      <c r="M965" s="191"/>
      <c r="N965" s="191"/>
      <c r="O965" s="191"/>
      <c r="P965" s="191"/>
      <c r="Q965" s="191"/>
      <c r="R965" s="191"/>
      <c r="S965" s="191"/>
      <c r="T965" s="191"/>
      <c r="U965" s="191"/>
      <c r="V965" s="191"/>
    </row>
    <row r="966" spans="2:22">
      <c r="B966" s="191"/>
      <c r="C966" s="191"/>
      <c r="D966" s="191"/>
      <c r="E966" s="191"/>
      <c r="F966" s="191"/>
      <c r="G966" s="191"/>
      <c r="H966" s="191"/>
      <c r="I966" s="191"/>
      <c r="J966" s="191"/>
      <c r="K966" s="191"/>
      <c r="L966" s="191"/>
      <c r="M966" s="191"/>
      <c r="N966" s="191"/>
      <c r="O966" s="191"/>
      <c r="P966" s="191"/>
      <c r="Q966" s="191"/>
      <c r="R966" s="191"/>
      <c r="S966" s="191"/>
      <c r="T966" s="191"/>
      <c r="U966" s="191"/>
      <c r="V966" s="191"/>
    </row>
    <row r="967" spans="2:22">
      <c r="B967" s="191"/>
      <c r="C967" s="191"/>
      <c r="D967" s="191"/>
      <c r="E967" s="191"/>
      <c r="F967" s="191"/>
      <c r="G967" s="191"/>
      <c r="H967" s="191"/>
      <c r="I967" s="191"/>
      <c r="J967" s="191"/>
      <c r="K967" s="191"/>
      <c r="L967" s="191"/>
      <c r="M967" s="191"/>
      <c r="N967" s="191"/>
      <c r="O967" s="191"/>
      <c r="P967" s="191"/>
      <c r="Q967" s="191"/>
      <c r="R967" s="191"/>
      <c r="S967" s="191"/>
      <c r="T967" s="191"/>
      <c r="U967" s="191"/>
      <c r="V967" s="191"/>
    </row>
    <row r="968" spans="2:22">
      <c r="B968" s="191"/>
      <c r="C968" s="191"/>
      <c r="D968" s="191"/>
      <c r="E968" s="191"/>
      <c r="F968" s="191"/>
      <c r="G968" s="191"/>
      <c r="H968" s="191"/>
      <c r="I968" s="191"/>
      <c r="J968" s="191"/>
      <c r="K968" s="191"/>
      <c r="L968" s="191"/>
      <c r="M968" s="191"/>
      <c r="N968" s="191"/>
      <c r="O968" s="191"/>
      <c r="P968" s="191"/>
      <c r="Q968" s="191"/>
      <c r="R968" s="191"/>
      <c r="S968" s="191"/>
      <c r="T968" s="191"/>
      <c r="U968" s="191"/>
      <c r="V968" s="191"/>
    </row>
    <row r="969" spans="2:22">
      <c r="B969" s="191"/>
      <c r="C969" s="191"/>
      <c r="D969" s="191"/>
      <c r="E969" s="191"/>
      <c r="F969" s="191"/>
      <c r="G969" s="191"/>
      <c r="H969" s="191"/>
      <c r="I969" s="191"/>
      <c r="J969" s="191"/>
      <c r="K969" s="191"/>
      <c r="L969" s="191"/>
      <c r="M969" s="191"/>
      <c r="N969" s="191"/>
      <c r="O969" s="191"/>
      <c r="P969" s="191"/>
      <c r="Q969" s="191"/>
      <c r="R969" s="191"/>
      <c r="S969" s="191"/>
      <c r="T969" s="191"/>
      <c r="U969" s="191"/>
      <c r="V969" s="191"/>
    </row>
    <row r="970" spans="2:22">
      <c r="B970" s="191"/>
      <c r="C970" s="191"/>
      <c r="D970" s="191"/>
      <c r="E970" s="191"/>
      <c r="F970" s="191"/>
      <c r="G970" s="191"/>
      <c r="H970" s="191"/>
      <c r="I970" s="191"/>
      <c r="J970" s="191"/>
      <c r="K970" s="191"/>
      <c r="L970" s="191"/>
      <c r="M970" s="191"/>
      <c r="N970" s="191"/>
      <c r="O970" s="191"/>
      <c r="P970" s="191"/>
      <c r="Q970" s="191"/>
      <c r="R970" s="191"/>
      <c r="S970" s="191"/>
      <c r="T970" s="191"/>
      <c r="U970" s="191"/>
      <c r="V970" s="191"/>
    </row>
    <row r="971" spans="2:22">
      <c r="B971" s="191"/>
      <c r="C971" s="191"/>
      <c r="D971" s="191"/>
      <c r="E971" s="191"/>
      <c r="F971" s="191"/>
      <c r="G971" s="191"/>
      <c r="H971" s="191"/>
      <c r="I971" s="191"/>
      <c r="J971" s="191"/>
      <c r="K971" s="191"/>
      <c r="L971" s="191"/>
      <c r="M971" s="191"/>
      <c r="N971" s="191"/>
      <c r="O971" s="191"/>
      <c r="P971" s="191"/>
      <c r="Q971" s="191"/>
      <c r="R971" s="191"/>
      <c r="S971" s="191"/>
      <c r="T971" s="191"/>
      <c r="U971" s="191"/>
      <c r="V971" s="191"/>
    </row>
    <row r="972" spans="2:22">
      <c r="B972" s="191"/>
      <c r="C972" s="191"/>
      <c r="D972" s="191"/>
      <c r="E972" s="191"/>
      <c r="F972" s="191"/>
      <c r="G972" s="191"/>
      <c r="H972" s="191"/>
      <c r="I972" s="191"/>
      <c r="J972" s="191"/>
      <c r="K972" s="191"/>
      <c r="L972" s="191"/>
      <c r="M972" s="191"/>
      <c r="N972" s="191"/>
      <c r="O972" s="191"/>
      <c r="P972" s="191"/>
      <c r="Q972" s="191"/>
      <c r="R972" s="191"/>
      <c r="S972" s="191"/>
      <c r="T972" s="191"/>
      <c r="U972" s="191"/>
      <c r="V972" s="191"/>
    </row>
    <row r="973" spans="2:22">
      <c r="B973" s="191"/>
      <c r="C973" s="191"/>
      <c r="D973" s="191"/>
      <c r="E973" s="191"/>
      <c r="F973" s="191"/>
      <c r="G973" s="191"/>
      <c r="H973" s="191"/>
      <c r="I973" s="191"/>
      <c r="J973" s="191"/>
      <c r="K973" s="191"/>
      <c r="L973" s="191"/>
      <c r="M973" s="191"/>
      <c r="N973" s="191"/>
      <c r="O973" s="191"/>
      <c r="P973" s="191"/>
      <c r="Q973" s="191"/>
      <c r="R973" s="191"/>
      <c r="S973" s="191"/>
      <c r="T973" s="191"/>
      <c r="U973" s="191"/>
      <c r="V973" s="191"/>
    </row>
    <row r="974" spans="2:22">
      <c r="B974" s="191"/>
      <c r="C974" s="191"/>
      <c r="D974" s="191"/>
      <c r="E974" s="191"/>
      <c r="F974" s="191"/>
      <c r="G974" s="191"/>
      <c r="H974" s="191"/>
      <c r="I974" s="191"/>
      <c r="J974" s="191"/>
      <c r="K974" s="191"/>
      <c r="L974" s="191"/>
      <c r="M974" s="191"/>
      <c r="N974" s="191"/>
      <c r="O974" s="191"/>
      <c r="P974" s="191"/>
      <c r="Q974" s="191"/>
      <c r="R974" s="191"/>
      <c r="S974" s="191"/>
      <c r="T974" s="191"/>
      <c r="U974" s="191"/>
      <c r="V974" s="191"/>
    </row>
    <row r="975" spans="2:22">
      <c r="B975" s="191"/>
      <c r="C975" s="191"/>
      <c r="D975" s="191"/>
      <c r="E975" s="191"/>
      <c r="F975" s="191"/>
      <c r="G975" s="191"/>
      <c r="H975" s="191"/>
      <c r="I975" s="191"/>
      <c r="J975" s="191"/>
      <c r="K975" s="191"/>
      <c r="L975" s="191"/>
      <c r="M975" s="191"/>
      <c r="N975" s="191"/>
      <c r="O975" s="191"/>
      <c r="P975" s="191"/>
      <c r="Q975" s="191"/>
      <c r="R975" s="191"/>
      <c r="S975" s="191"/>
      <c r="T975" s="191"/>
      <c r="U975" s="191"/>
      <c r="V975" s="191"/>
    </row>
    <row r="976" spans="2:22">
      <c r="B976" s="191"/>
      <c r="C976" s="191"/>
      <c r="D976" s="191"/>
      <c r="E976" s="191"/>
      <c r="F976" s="191"/>
      <c r="G976" s="191"/>
      <c r="H976" s="191"/>
      <c r="I976" s="191"/>
      <c r="J976" s="191"/>
      <c r="K976" s="191"/>
      <c r="L976" s="191"/>
      <c r="M976" s="191"/>
      <c r="N976" s="191"/>
      <c r="O976" s="191"/>
      <c r="P976" s="191"/>
      <c r="Q976" s="191"/>
      <c r="R976" s="191"/>
      <c r="S976" s="191"/>
      <c r="T976" s="191"/>
      <c r="U976" s="191"/>
      <c r="V976" s="191"/>
    </row>
    <row r="977" spans="2:22">
      <c r="B977" s="191"/>
      <c r="C977" s="191"/>
      <c r="D977" s="191"/>
      <c r="E977" s="191"/>
      <c r="F977" s="191"/>
      <c r="G977" s="191"/>
      <c r="H977" s="191"/>
      <c r="I977" s="191"/>
      <c r="J977" s="191"/>
      <c r="K977" s="191"/>
      <c r="L977" s="191"/>
      <c r="M977" s="191"/>
      <c r="N977" s="191"/>
      <c r="O977" s="191"/>
      <c r="P977" s="191"/>
      <c r="Q977" s="191"/>
      <c r="R977" s="191"/>
      <c r="S977" s="191"/>
      <c r="T977" s="191"/>
      <c r="U977" s="191"/>
      <c r="V977" s="191"/>
    </row>
    <row r="978" spans="2:22">
      <c r="B978" s="191"/>
      <c r="C978" s="191"/>
      <c r="D978" s="191"/>
      <c r="E978" s="191"/>
      <c r="F978" s="191"/>
      <c r="G978" s="191"/>
      <c r="H978" s="191"/>
      <c r="I978" s="191"/>
      <c r="J978" s="191"/>
      <c r="K978" s="191"/>
      <c r="L978" s="191"/>
      <c r="M978" s="191"/>
      <c r="N978" s="191"/>
      <c r="O978" s="191"/>
      <c r="P978" s="191"/>
      <c r="Q978" s="191"/>
      <c r="R978" s="191"/>
      <c r="S978" s="191"/>
      <c r="T978" s="191"/>
      <c r="U978" s="191"/>
      <c r="V978" s="191"/>
    </row>
    <row r="979" spans="2:22">
      <c r="B979" s="191"/>
      <c r="C979" s="191"/>
      <c r="D979" s="191"/>
      <c r="E979" s="191"/>
      <c r="F979" s="191"/>
      <c r="G979" s="191"/>
      <c r="H979" s="191"/>
      <c r="I979" s="191"/>
      <c r="J979" s="191"/>
      <c r="K979" s="191"/>
      <c r="L979" s="191"/>
      <c r="M979" s="191"/>
      <c r="N979" s="191"/>
      <c r="O979" s="191"/>
      <c r="P979" s="191"/>
      <c r="Q979" s="191"/>
      <c r="R979" s="191"/>
      <c r="S979" s="191"/>
      <c r="T979" s="191"/>
      <c r="U979" s="191"/>
      <c r="V979" s="191"/>
    </row>
    <row r="980" spans="2:22">
      <c r="B980" s="191"/>
      <c r="C980" s="191"/>
      <c r="D980" s="191"/>
      <c r="E980" s="191"/>
      <c r="F980" s="191"/>
      <c r="G980" s="191"/>
      <c r="H980" s="191"/>
      <c r="I980" s="191"/>
      <c r="J980" s="191"/>
      <c r="K980" s="191"/>
      <c r="L980" s="191"/>
      <c r="M980" s="191"/>
      <c r="N980" s="191"/>
      <c r="O980" s="191"/>
      <c r="P980" s="191"/>
      <c r="Q980" s="191"/>
      <c r="R980" s="191"/>
      <c r="S980" s="191"/>
      <c r="T980" s="191"/>
      <c r="U980" s="191"/>
      <c r="V980" s="191"/>
    </row>
    <row r="981" spans="2:22">
      <c r="B981" s="191"/>
      <c r="C981" s="191"/>
      <c r="D981" s="191"/>
      <c r="E981" s="191"/>
      <c r="F981" s="191"/>
      <c r="G981" s="191"/>
      <c r="H981" s="191"/>
      <c r="I981" s="191"/>
      <c r="J981" s="191"/>
      <c r="K981" s="191"/>
      <c r="L981" s="191"/>
      <c r="M981" s="191"/>
      <c r="N981" s="191"/>
      <c r="O981" s="191"/>
      <c r="P981" s="191"/>
      <c r="Q981" s="191"/>
      <c r="R981" s="191"/>
      <c r="S981" s="191"/>
      <c r="T981" s="191"/>
      <c r="U981" s="191"/>
      <c r="V981" s="191"/>
    </row>
    <row r="982" spans="2:22">
      <c r="B982" s="191"/>
      <c r="C982" s="191"/>
      <c r="D982" s="191"/>
      <c r="E982" s="191"/>
      <c r="F982" s="191"/>
      <c r="G982" s="191"/>
      <c r="H982" s="191"/>
      <c r="I982" s="191"/>
      <c r="J982" s="191"/>
      <c r="K982" s="191"/>
      <c r="L982" s="191"/>
      <c r="M982" s="191"/>
      <c r="N982" s="191"/>
      <c r="O982" s="191"/>
      <c r="P982" s="191"/>
      <c r="Q982" s="191"/>
      <c r="R982" s="191"/>
      <c r="S982" s="191"/>
      <c r="T982" s="191"/>
      <c r="U982" s="191"/>
      <c r="V982" s="191"/>
    </row>
    <row r="983" spans="2:22">
      <c r="B983" s="191"/>
      <c r="C983" s="191"/>
      <c r="D983" s="191"/>
      <c r="E983" s="191"/>
      <c r="F983" s="191"/>
      <c r="G983" s="191"/>
      <c r="H983" s="191"/>
      <c r="I983" s="191"/>
      <c r="J983" s="191"/>
      <c r="K983" s="191"/>
      <c r="L983" s="191"/>
      <c r="M983" s="191"/>
      <c r="N983" s="191"/>
      <c r="O983" s="191"/>
      <c r="P983" s="191"/>
      <c r="Q983" s="191"/>
      <c r="R983" s="191"/>
      <c r="S983" s="191"/>
      <c r="T983" s="191"/>
      <c r="U983" s="191"/>
      <c r="V983" s="191"/>
    </row>
    <row r="984" spans="2:22">
      <c r="B984" s="191"/>
      <c r="C984" s="191"/>
      <c r="D984" s="191"/>
      <c r="E984" s="191"/>
      <c r="F984" s="191"/>
      <c r="G984" s="191"/>
      <c r="H984" s="191"/>
      <c r="I984" s="191"/>
      <c r="J984" s="191"/>
      <c r="K984" s="191"/>
      <c r="L984" s="191"/>
      <c r="M984" s="191"/>
      <c r="N984" s="191"/>
      <c r="O984" s="191"/>
      <c r="P984" s="191"/>
      <c r="Q984" s="191"/>
      <c r="R984" s="191"/>
      <c r="S984" s="191"/>
      <c r="T984" s="191"/>
      <c r="U984" s="191"/>
      <c r="V984" s="191"/>
    </row>
    <row r="985" spans="2:22">
      <c r="B985" s="191"/>
      <c r="C985" s="191"/>
      <c r="D985" s="191"/>
      <c r="E985" s="191"/>
      <c r="F985" s="191"/>
      <c r="G985" s="191"/>
      <c r="H985" s="191"/>
      <c r="I985" s="191"/>
      <c r="J985" s="191"/>
      <c r="K985" s="191"/>
      <c r="L985" s="191"/>
      <c r="M985" s="191"/>
      <c r="N985" s="191"/>
      <c r="O985" s="191"/>
      <c r="P985" s="191"/>
      <c r="Q985" s="191"/>
      <c r="R985" s="191"/>
      <c r="S985" s="191"/>
      <c r="T985" s="191"/>
      <c r="U985" s="191"/>
      <c r="V985" s="191"/>
    </row>
    <row r="986" spans="2:22">
      <c r="B986" s="191"/>
      <c r="C986" s="191"/>
      <c r="D986" s="191"/>
      <c r="E986" s="191"/>
      <c r="F986" s="191"/>
      <c r="G986" s="191"/>
      <c r="H986" s="191"/>
      <c r="I986" s="191"/>
      <c r="J986" s="191"/>
      <c r="K986" s="191"/>
      <c r="L986" s="191"/>
      <c r="M986" s="191"/>
      <c r="N986" s="191"/>
      <c r="O986" s="191"/>
      <c r="P986" s="191"/>
      <c r="Q986" s="191"/>
      <c r="R986" s="191"/>
      <c r="S986" s="191"/>
      <c r="T986" s="191"/>
      <c r="U986" s="191"/>
      <c r="V986" s="191"/>
    </row>
    <row r="987" spans="2:22">
      <c r="B987" s="191"/>
      <c r="C987" s="191"/>
      <c r="D987" s="191"/>
      <c r="E987" s="191"/>
      <c r="F987" s="191"/>
      <c r="G987" s="191"/>
      <c r="H987" s="191"/>
      <c r="I987" s="191"/>
      <c r="J987" s="191"/>
      <c r="K987" s="191"/>
      <c r="L987" s="191"/>
      <c r="M987" s="191"/>
      <c r="N987" s="191"/>
      <c r="O987" s="191"/>
      <c r="P987" s="191"/>
      <c r="Q987" s="191"/>
      <c r="R987" s="191"/>
      <c r="S987" s="191"/>
      <c r="T987" s="191"/>
      <c r="U987" s="191"/>
      <c r="V987" s="191"/>
    </row>
    <row r="988" spans="2:22">
      <c r="B988" s="191"/>
      <c r="C988" s="191"/>
      <c r="D988" s="191"/>
      <c r="E988" s="191"/>
      <c r="F988" s="191"/>
      <c r="G988" s="191"/>
      <c r="H988" s="191"/>
      <c r="I988" s="191"/>
      <c r="J988" s="191"/>
      <c r="K988" s="191"/>
      <c r="L988" s="191"/>
      <c r="M988" s="191"/>
      <c r="N988" s="191"/>
      <c r="O988" s="191"/>
      <c r="P988" s="191"/>
      <c r="Q988" s="191"/>
      <c r="R988" s="191"/>
      <c r="S988" s="191"/>
      <c r="T988" s="191"/>
      <c r="U988" s="191"/>
      <c r="V988" s="191"/>
    </row>
    <row r="989" spans="2:22">
      <c r="B989" s="191"/>
      <c r="C989" s="191"/>
      <c r="D989" s="191"/>
      <c r="E989" s="191"/>
      <c r="F989" s="191"/>
      <c r="G989" s="191"/>
      <c r="H989" s="191"/>
      <c r="I989" s="191"/>
      <c r="J989" s="191"/>
      <c r="K989" s="191"/>
      <c r="L989" s="191"/>
      <c r="M989" s="191"/>
      <c r="N989" s="191"/>
      <c r="O989" s="191"/>
      <c r="P989" s="191"/>
      <c r="Q989" s="191"/>
      <c r="R989" s="191"/>
      <c r="S989" s="191"/>
      <c r="T989" s="191"/>
      <c r="U989" s="191"/>
      <c r="V989" s="191"/>
    </row>
    <row r="990" spans="2:22">
      <c r="B990" s="191"/>
      <c r="C990" s="191"/>
      <c r="D990" s="191"/>
      <c r="E990" s="191"/>
      <c r="F990" s="191"/>
      <c r="G990" s="191"/>
      <c r="H990" s="191"/>
      <c r="I990" s="191"/>
      <c r="J990" s="191"/>
      <c r="K990" s="191"/>
      <c r="L990" s="191"/>
      <c r="M990" s="191"/>
      <c r="N990" s="191"/>
      <c r="O990" s="191"/>
      <c r="P990" s="191"/>
      <c r="Q990" s="191"/>
      <c r="R990" s="191"/>
      <c r="S990" s="191"/>
      <c r="T990" s="191"/>
      <c r="U990" s="191"/>
      <c r="V990" s="191"/>
    </row>
    <row r="991" spans="2:22">
      <c r="B991" s="191"/>
      <c r="C991" s="191"/>
      <c r="D991" s="191"/>
      <c r="E991" s="191"/>
      <c r="F991" s="191"/>
      <c r="G991" s="191"/>
      <c r="H991" s="191"/>
      <c r="I991" s="191"/>
      <c r="J991" s="191"/>
      <c r="K991" s="191"/>
      <c r="L991" s="191"/>
      <c r="M991" s="191"/>
      <c r="N991" s="191"/>
      <c r="O991" s="191"/>
      <c r="P991" s="191"/>
      <c r="Q991" s="191"/>
      <c r="R991" s="191"/>
      <c r="S991" s="191"/>
      <c r="T991" s="191"/>
      <c r="U991" s="191"/>
      <c r="V991" s="191"/>
    </row>
    <row r="992" spans="2:22">
      <c r="B992" s="191"/>
      <c r="C992" s="191"/>
      <c r="D992" s="191"/>
      <c r="E992" s="191"/>
      <c r="F992" s="191"/>
      <c r="G992" s="191"/>
      <c r="H992" s="191"/>
      <c r="I992" s="191"/>
      <c r="J992" s="191"/>
      <c r="K992" s="191"/>
      <c r="L992" s="191"/>
      <c r="M992" s="191"/>
      <c r="N992" s="191"/>
      <c r="O992" s="191"/>
      <c r="P992" s="191"/>
      <c r="Q992" s="191"/>
      <c r="R992" s="191"/>
      <c r="S992" s="191"/>
      <c r="T992" s="191"/>
      <c r="U992" s="191"/>
      <c r="V992" s="191"/>
    </row>
    <row r="993" spans="2:22">
      <c r="B993" s="191"/>
      <c r="C993" s="191"/>
      <c r="D993" s="191"/>
      <c r="E993" s="191"/>
      <c r="F993" s="191"/>
      <c r="G993" s="191"/>
      <c r="H993" s="191"/>
      <c r="I993" s="191"/>
      <c r="J993" s="191"/>
      <c r="K993" s="191"/>
      <c r="L993" s="191"/>
      <c r="M993" s="191"/>
      <c r="N993" s="191"/>
      <c r="O993" s="191"/>
      <c r="P993" s="191"/>
      <c r="Q993" s="191"/>
      <c r="R993" s="191"/>
      <c r="S993" s="191"/>
      <c r="T993" s="191"/>
      <c r="U993" s="191"/>
      <c r="V993" s="191"/>
    </row>
    <row r="994" spans="2:22">
      <c r="B994" s="191"/>
      <c r="C994" s="191"/>
      <c r="D994" s="191"/>
      <c r="E994" s="191"/>
      <c r="F994" s="191"/>
      <c r="G994" s="191"/>
      <c r="H994" s="191"/>
      <c r="I994" s="191"/>
      <c r="J994" s="191"/>
      <c r="K994" s="191"/>
      <c r="L994" s="191"/>
      <c r="M994" s="191"/>
      <c r="N994" s="191"/>
      <c r="O994" s="191"/>
      <c r="P994" s="191"/>
      <c r="Q994" s="191"/>
      <c r="R994" s="191"/>
      <c r="S994" s="191"/>
      <c r="T994" s="191"/>
      <c r="U994" s="191"/>
      <c r="V994" s="191"/>
    </row>
    <row r="995" spans="2:22">
      <c r="B995" s="191"/>
      <c r="C995" s="191"/>
      <c r="D995" s="191"/>
      <c r="E995" s="191"/>
      <c r="F995" s="191"/>
      <c r="G995" s="191"/>
      <c r="H995" s="191"/>
      <c r="I995" s="191"/>
      <c r="J995" s="191"/>
      <c r="K995" s="191"/>
      <c r="L995" s="191"/>
      <c r="M995" s="191"/>
      <c r="N995" s="191"/>
      <c r="O995" s="191"/>
      <c r="P995" s="191"/>
      <c r="Q995" s="191"/>
      <c r="R995" s="191"/>
      <c r="S995" s="191"/>
      <c r="T995" s="191"/>
      <c r="U995" s="191"/>
      <c r="V995" s="191"/>
    </row>
    <row r="996" spans="2:22">
      <c r="B996" s="191"/>
      <c r="C996" s="191"/>
      <c r="D996" s="191"/>
      <c r="E996" s="191"/>
      <c r="F996" s="191"/>
      <c r="G996" s="191"/>
      <c r="H996" s="191"/>
      <c r="I996" s="191"/>
      <c r="J996" s="191"/>
      <c r="K996" s="191"/>
      <c r="L996" s="191"/>
      <c r="M996" s="191"/>
      <c r="N996" s="191"/>
      <c r="O996" s="191"/>
      <c r="P996" s="191"/>
      <c r="Q996" s="191"/>
      <c r="R996" s="191"/>
      <c r="S996" s="191"/>
      <c r="T996" s="191"/>
      <c r="U996" s="191"/>
      <c r="V996" s="191"/>
    </row>
    <row r="997" spans="2:22">
      <c r="B997" s="191"/>
      <c r="C997" s="191"/>
      <c r="D997" s="191"/>
      <c r="E997" s="191"/>
      <c r="F997" s="191"/>
      <c r="G997" s="191"/>
      <c r="H997" s="191"/>
      <c r="I997" s="191"/>
      <c r="J997" s="191"/>
      <c r="K997" s="191"/>
      <c r="L997" s="191"/>
      <c r="M997" s="191"/>
      <c r="N997" s="191"/>
      <c r="O997" s="191"/>
      <c r="P997" s="191"/>
      <c r="Q997" s="191"/>
      <c r="R997" s="191"/>
      <c r="S997" s="191"/>
      <c r="T997" s="191"/>
      <c r="U997" s="191"/>
      <c r="V997" s="191"/>
    </row>
  </sheetData>
  <mergeCells count="8">
    <mergeCell ref="DR5:DR6"/>
    <mergeCell ref="EU5:EU6"/>
    <mergeCell ref="FZ5:FZ6"/>
    <mergeCell ref="GA5:GA6"/>
    <mergeCell ref="AG5:AG6"/>
    <mergeCell ref="BK5:BK6"/>
    <mergeCell ref="CN5:CN6"/>
    <mergeCell ref="DQ5:DQ6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XFD155"/>
  <sheetViews>
    <sheetView showGridLines="0" zoomScale="90" zoomScaleNormal="90" workbookViewId="0">
      <selection activeCell="AT12" sqref="AT12"/>
    </sheetView>
  </sheetViews>
  <sheetFormatPr defaultColWidth="15.140625" defaultRowHeight="15" customHeight="1"/>
  <cols>
    <col min="1" max="1" width="41.85546875" style="74" bestFit="1" customWidth="1"/>
    <col min="2" max="6" width="10.42578125" style="74" hidden="1" customWidth="1"/>
    <col min="7" max="7" width="1.28515625" style="74" hidden="1" customWidth="1"/>
    <col min="8" max="12" width="10.42578125" style="74" hidden="1" customWidth="1"/>
    <col min="13" max="13" width="1.28515625" style="74" hidden="1" customWidth="1"/>
    <col min="14" max="17" width="10.42578125" style="74" hidden="1" customWidth="1"/>
    <col min="18" max="18" width="10.85546875" style="74" hidden="1" customWidth="1"/>
    <col min="19" max="19" width="1.28515625" style="74" hidden="1" customWidth="1"/>
    <col min="20" max="22" width="10.42578125" style="74" hidden="1" customWidth="1"/>
    <col min="23" max="23" width="10.85546875" style="74" hidden="1" customWidth="1"/>
    <col min="24" max="24" width="10.42578125" style="74" hidden="1" customWidth="1"/>
    <col min="25" max="25" width="1.28515625" style="74" hidden="1" customWidth="1"/>
    <col min="26" max="30" width="10.85546875" style="74" hidden="1" customWidth="1"/>
    <col min="31" max="31" width="1.28515625" style="74" hidden="1" customWidth="1"/>
    <col min="32" max="33" width="10.85546875" style="74" hidden="1" customWidth="1"/>
    <col min="34" max="34" width="10.85546875" style="74" customWidth="1"/>
    <col min="35" max="35" width="11.28515625" style="74" customWidth="1"/>
    <col min="36" max="39" width="10.42578125" style="74" customWidth="1"/>
    <col min="40" max="16384" width="15.140625" style="74"/>
  </cols>
  <sheetData>
    <row r="1" spans="1:65" ht="19.5">
      <c r="A1" s="5" t="s">
        <v>1018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8"/>
      <c r="AA1" s="77"/>
      <c r="AB1" s="77"/>
      <c r="AC1" s="77"/>
      <c r="AD1" s="77"/>
      <c r="AE1" s="77"/>
      <c r="AF1" s="77"/>
      <c r="AG1" s="78"/>
      <c r="AH1" s="78"/>
      <c r="AI1" s="77"/>
      <c r="AJ1" s="77"/>
      <c r="AK1" s="77"/>
      <c r="AL1" s="77"/>
      <c r="AM1" s="77"/>
    </row>
    <row r="2" spans="1:65" ht="19.5">
      <c r="A2" s="5" t="s">
        <v>1019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8"/>
      <c r="AA2" s="77"/>
      <c r="AB2" s="77"/>
      <c r="AC2" s="77"/>
      <c r="AD2" s="77"/>
      <c r="AE2" s="77"/>
      <c r="AF2" s="77"/>
      <c r="AG2" s="78"/>
      <c r="AH2" s="78"/>
      <c r="AI2" s="77"/>
      <c r="AJ2" s="77"/>
      <c r="AK2" s="77"/>
      <c r="AL2" s="77"/>
      <c r="AM2" s="77"/>
    </row>
    <row r="3" spans="1:65" ht="42.75" customHeight="1">
      <c r="A3" s="78"/>
      <c r="B3" s="79"/>
      <c r="C3" s="79"/>
      <c r="D3" s="79"/>
      <c r="E3" s="79"/>
      <c r="F3" s="80"/>
      <c r="G3" s="77"/>
      <c r="H3" s="79"/>
      <c r="I3" s="79"/>
      <c r="J3" s="79"/>
      <c r="K3" s="79"/>
      <c r="L3" s="81" t="s">
        <v>180</v>
      </c>
      <c r="M3" s="77"/>
      <c r="N3" s="79"/>
      <c r="O3" s="79"/>
      <c r="P3" s="80"/>
      <c r="Q3" s="79"/>
      <c r="R3" s="80"/>
      <c r="S3" s="77"/>
      <c r="T3" s="79"/>
      <c r="U3" s="79"/>
      <c r="V3" s="79"/>
      <c r="W3" s="79"/>
      <c r="X3" s="80"/>
      <c r="Y3" s="77"/>
      <c r="Z3" s="79"/>
      <c r="AA3" s="79"/>
      <c r="AB3" s="79"/>
      <c r="AC3" s="79"/>
      <c r="AD3" s="80"/>
      <c r="AE3" s="77"/>
      <c r="AF3" s="79"/>
      <c r="AG3" s="79"/>
      <c r="AH3" s="79"/>
      <c r="AI3" s="79"/>
      <c r="AJ3" s="79"/>
      <c r="AK3" s="79"/>
      <c r="AL3" s="79"/>
      <c r="AM3" s="77"/>
    </row>
    <row r="4" spans="1:65" ht="12.75" customHeight="1">
      <c r="A4" s="82"/>
      <c r="B4" s="83">
        <f t="shared" ref="B4:F4" si="0">+B5</f>
        <v>41813</v>
      </c>
      <c r="C4" s="83">
        <f t="shared" si="0"/>
        <v>41814</v>
      </c>
      <c r="D4" s="83">
        <f t="shared" si="0"/>
        <v>41815</v>
      </c>
      <c r="E4" s="83">
        <f t="shared" si="0"/>
        <v>41816</v>
      </c>
      <c r="F4" s="83">
        <f t="shared" si="0"/>
        <v>41817</v>
      </c>
      <c r="G4" s="84"/>
      <c r="H4" s="83">
        <f t="shared" ref="H4:L4" si="1">+H5</f>
        <v>41820</v>
      </c>
      <c r="I4" s="83">
        <f t="shared" si="1"/>
        <v>41821</v>
      </c>
      <c r="J4" s="83">
        <f t="shared" si="1"/>
        <v>41822</v>
      </c>
      <c r="K4" s="83">
        <f t="shared" si="1"/>
        <v>41823</v>
      </c>
      <c r="L4" s="83">
        <f t="shared" si="1"/>
        <v>41824</v>
      </c>
      <c r="M4" s="84"/>
      <c r="N4" s="83">
        <f t="shared" ref="N4:R4" si="2">+N5</f>
        <v>41827</v>
      </c>
      <c r="O4" s="83">
        <f t="shared" si="2"/>
        <v>41828</v>
      </c>
      <c r="P4" s="83">
        <f t="shared" si="2"/>
        <v>41829</v>
      </c>
      <c r="Q4" s="83">
        <f t="shared" si="2"/>
        <v>41830</v>
      </c>
      <c r="R4" s="83">
        <f t="shared" si="2"/>
        <v>41831</v>
      </c>
      <c r="S4" s="84"/>
      <c r="T4" s="83">
        <f t="shared" ref="T4:X4" si="3">+T5</f>
        <v>41834</v>
      </c>
      <c r="U4" s="83">
        <f t="shared" si="3"/>
        <v>41835</v>
      </c>
      <c r="V4" s="83">
        <f t="shared" si="3"/>
        <v>41836</v>
      </c>
      <c r="W4" s="83">
        <f t="shared" si="3"/>
        <v>41837</v>
      </c>
      <c r="X4" s="83">
        <f t="shared" si="3"/>
        <v>41838</v>
      </c>
      <c r="Y4" s="84"/>
      <c r="Z4" s="83">
        <f t="shared" ref="Z4:AD4" si="4">+Z5</f>
        <v>41841</v>
      </c>
      <c r="AA4" s="83">
        <f t="shared" si="4"/>
        <v>41842</v>
      </c>
      <c r="AB4" s="83">
        <f t="shared" si="4"/>
        <v>41843</v>
      </c>
      <c r="AC4" s="83">
        <f t="shared" si="4"/>
        <v>41844</v>
      </c>
      <c r="AD4" s="83">
        <f t="shared" si="4"/>
        <v>41845</v>
      </c>
      <c r="AE4" s="84"/>
      <c r="AF4" s="83">
        <f t="shared" ref="AF4:AG4" si="5">+AF5</f>
        <v>41848</v>
      </c>
      <c r="AG4" s="83">
        <f t="shared" si="5"/>
        <v>41849</v>
      </c>
      <c r="AH4" s="83" t="s">
        <v>181</v>
      </c>
      <c r="AI4" s="273" t="s">
        <v>173</v>
      </c>
      <c r="AJ4" s="273" t="s">
        <v>174</v>
      </c>
      <c r="AK4" s="273" t="s">
        <v>175</v>
      </c>
      <c r="AL4" s="273" t="s">
        <v>1010</v>
      </c>
      <c r="AM4" s="273" t="s">
        <v>176</v>
      </c>
      <c r="AN4" s="273" t="s">
        <v>177</v>
      </c>
      <c r="AO4" s="273" t="s">
        <v>1020</v>
      </c>
      <c r="AP4" s="273" t="s">
        <v>173</v>
      </c>
      <c r="AQ4" s="273" t="s">
        <v>174</v>
      </c>
      <c r="AR4" s="273" t="s">
        <v>175</v>
      </c>
      <c r="AS4" s="273" t="s">
        <v>1010</v>
      </c>
      <c r="AT4" s="273" t="s">
        <v>176</v>
      </c>
      <c r="AU4" s="273" t="s">
        <v>177</v>
      </c>
      <c r="AV4" s="273" t="s">
        <v>1020</v>
      </c>
      <c r="AW4" s="273" t="s">
        <v>173</v>
      </c>
      <c r="AX4" s="273" t="s">
        <v>174</v>
      </c>
      <c r="AY4" s="273" t="s">
        <v>175</v>
      </c>
      <c r="AZ4" s="273" t="s">
        <v>1010</v>
      </c>
      <c r="BA4" s="273" t="s">
        <v>176</v>
      </c>
      <c r="BB4" s="273" t="s">
        <v>177</v>
      </c>
      <c r="BC4" s="273" t="s">
        <v>1020</v>
      </c>
      <c r="BD4" s="273" t="s">
        <v>173</v>
      </c>
      <c r="BE4" s="273" t="s">
        <v>174</v>
      </c>
      <c r="BF4" s="273" t="s">
        <v>175</v>
      </c>
      <c r="BG4" s="273" t="s">
        <v>1010</v>
      </c>
      <c r="BH4" s="273" t="s">
        <v>176</v>
      </c>
      <c r="BI4" s="273" t="s">
        <v>177</v>
      </c>
      <c r="BJ4" s="273" t="s">
        <v>1020</v>
      </c>
      <c r="BK4" s="273" t="s">
        <v>173</v>
      </c>
      <c r="BL4" s="273" t="s">
        <v>174</v>
      </c>
      <c r="BM4" s="273" t="s">
        <v>175</v>
      </c>
    </row>
    <row r="5" spans="1:65" ht="12.75" customHeight="1">
      <c r="A5" s="85" t="s">
        <v>182</v>
      </c>
      <c r="B5" s="85">
        <v>41813</v>
      </c>
      <c r="C5" s="85">
        <f t="shared" ref="C5:F5" si="6">+B5+1</f>
        <v>41814</v>
      </c>
      <c r="D5" s="85">
        <f t="shared" si="6"/>
        <v>41815</v>
      </c>
      <c r="E5" s="85">
        <f t="shared" si="6"/>
        <v>41816</v>
      </c>
      <c r="F5" s="85">
        <f t="shared" si="6"/>
        <v>41817</v>
      </c>
      <c r="G5" s="85" t="s">
        <v>183</v>
      </c>
      <c r="H5" s="85">
        <v>41820</v>
      </c>
      <c r="I5" s="85">
        <f t="shared" ref="I5:L5" si="7">+H5+1</f>
        <v>41821</v>
      </c>
      <c r="J5" s="85">
        <f t="shared" si="7"/>
        <v>41822</v>
      </c>
      <c r="K5" s="85">
        <f t="shared" si="7"/>
        <v>41823</v>
      </c>
      <c r="L5" s="85">
        <f t="shared" si="7"/>
        <v>41824</v>
      </c>
      <c r="M5" s="85" t="s">
        <v>183</v>
      </c>
      <c r="N5" s="85">
        <v>41827</v>
      </c>
      <c r="O5" s="85">
        <f t="shared" ref="O5:R5" si="8">+N5+1</f>
        <v>41828</v>
      </c>
      <c r="P5" s="85">
        <f t="shared" si="8"/>
        <v>41829</v>
      </c>
      <c r="Q5" s="85">
        <f t="shared" si="8"/>
        <v>41830</v>
      </c>
      <c r="R5" s="85">
        <f t="shared" si="8"/>
        <v>41831</v>
      </c>
      <c r="S5" s="85" t="s">
        <v>183</v>
      </c>
      <c r="T5" s="85">
        <v>41834</v>
      </c>
      <c r="U5" s="85">
        <f t="shared" ref="U5:X5" si="9">+T5+1</f>
        <v>41835</v>
      </c>
      <c r="V5" s="85">
        <f t="shared" si="9"/>
        <v>41836</v>
      </c>
      <c r="W5" s="85">
        <f t="shared" si="9"/>
        <v>41837</v>
      </c>
      <c r="X5" s="85">
        <f t="shared" si="9"/>
        <v>41838</v>
      </c>
      <c r="Y5" s="85" t="s">
        <v>183</v>
      </c>
      <c r="Z5" s="85">
        <v>41841</v>
      </c>
      <c r="AA5" s="85">
        <f t="shared" ref="AA5:AD5" si="10">+Z5+1</f>
        <v>41842</v>
      </c>
      <c r="AB5" s="85">
        <f t="shared" si="10"/>
        <v>41843</v>
      </c>
      <c r="AC5" s="85">
        <f t="shared" si="10"/>
        <v>41844</v>
      </c>
      <c r="AD5" s="85">
        <f t="shared" si="10"/>
        <v>41845</v>
      </c>
      <c r="AE5" s="85" t="s">
        <v>183</v>
      </c>
      <c r="AF5" s="85">
        <f>+AD5+3</f>
        <v>41848</v>
      </c>
      <c r="AG5" s="85">
        <f>+AF5+1</f>
        <v>41849</v>
      </c>
      <c r="AH5" s="85"/>
      <c r="AI5" s="85">
        <v>42917</v>
      </c>
      <c r="AJ5" s="85">
        <f>AI5+1</f>
        <v>42918</v>
      </c>
      <c r="AK5" s="85">
        <f t="shared" ref="AK5:BF5" si="11">AJ5+1</f>
        <v>42919</v>
      </c>
      <c r="AL5" s="85">
        <f t="shared" si="11"/>
        <v>42920</v>
      </c>
      <c r="AM5" s="85">
        <f t="shared" si="11"/>
        <v>42921</v>
      </c>
      <c r="AN5" s="85">
        <f t="shared" si="11"/>
        <v>42922</v>
      </c>
      <c r="AO5" s="85">
        <f t="shared" si="11"/>
        <v>42923</v>
      </c>
      <c r="AP5" s="85">
        <f t="shared" si="11"/>
        <v>42924</v>
      </c>
      <c r="AQ5" s="85">
        <f t="shared" si="11"/>
        <v>42925</v>
      </c>
      <c r="AR5" s="85">
        <f t="shared" si="11"/>
        <v>42926</v>
      </c>
      <c r="AS5" s="85">
        <f t="shared" si="11"/>
        <v>42927</v>
      </c>
      <c r="AT5" s="85">
        <f t="shared" si="11"/>
        <v>42928</v>
      </c>
      <c r="AU5" s="85">
        <f t="shared" si="11"/>
        <v>42929</v>
      </c>
      <c r="AV5" s="85">
        <f t="shared" si="11"/>
        <v>42930</v>
      </c>
      <c r="AW5" s="85">
        <f t="shared" si="11"/>
        <v>42931</v>
      </c>
      <c r="AX5" s="85">
        <f t="shared" si="11"/>
        <v>42932</v>
      </c>
      <c r="AY5" s="85">
        <f t="shared" si="11"/>
        <v>42933</v>
      </c>
      <c r="AZ5" s="85">
        <f t="shared" si="11"/>
        <v>42934</v>
      </c>
      <c r="BA5" s="85">
        <f t="shared" si="11"/>
        <v>42935</v>
      </c>
      <c r="BB5" s="85">
        <f t="shared" si="11"/>
        <v>42936</v>
      </c>
      <c r="BC5" s="85">
        <f t="shared" si="11"/>
        <v>42937</v>
      </c>
      <c r="BD5" s="85">
        <f t="shared" si="11"/>
        <v>42938</v>
      </c>
      <c r="BE5" s="85">
        <f t="shared" si="11"/>
        <v>42939</v>
      </c>
      <c r="BF5" s="85">
        <f t="shared" si="11"/>
        <v>42940</v>
      </c>
      <c r="BG5" s="85">
        <f>BF5+1</f>
        <v>42941</v>
      </c>
      <c r="BH5" s="85">
        <f t="shared" ref="BH5:BK5" si="12">BG5+1</f>
        <v>42942</v>
      </c>
      <c r="BI5" s="85">
        <f t="shared" si="12"/>
        <v>42943</v>
      </c>
      <c r="BJ5" s="85">
        <f t="shared" si="12"/>
        <v>42944</v>
      </c>
      <c r="BK5" s="85">
        <f t="shared" si="12"/>
        <v>42945</v>
      </c>
      <c r="BL5" s="85">
        <f>BK5+1</f>
        <v>42946</v>
      </c>
      <c r="BM5" s="85">
        <f>BL5+1</f>
        <v>42947</v>
      </c>
    </row>
    <row r="6" spans="1:65" ht="12.75" customHeight="1">
      <c r="A6" s="86" t="s">
        <v>184</v>
      </c>
      <c r="B6" s="86">
        <v>1051689.24</v>
      </c>
      <c r="C6" s="86">
        <v>1596892.23</v>
      </c>
      <c r="D6" s="86">
        <v>1336078.1400000001</v>
      </c>
      <c r="E6" s="86">
        <v>864897.47000000067</v>
      </c>
      <c r="F6" s="86">
        <v>8753630.6400000006</v>
      </c>
      <c r="G6" s="87"/>
      <c r="H6" s="86">
        <f>+F23</f>
        <v>8753630.6400000006</v>
      </c>
      <c r="I6" s="86">
        <f t="shared" ref="I6:L6" si="13">+H23</f>
        <v>8753630.6400000006</v>
      </c>
      <c r="J6" s="86">
        <f t="shared" si="13"/>
        <v>8753630.6400000006</v>
      </c>
      <c r="K6" s="86">
        <f t="shared" si="13"/>
        <v>8753630.6400000006</v>
      </c>
      <c r="L6" s="86">
        <f t="shared" si="13"/>
        <v>8753630.6400000006</v>
      </c>
      <c r="M6" s="87"/>
      <c r="N6" s="86">
        <f>+L23</f>
        <v>8753630.6400000006</v>
      </c>
      <c r="O6" s="86">
        <f t="shared" ref="O6:R6" si="14">+N23</f>
        <v>8753630.6400000006</v>
      </c>
      <c r="P6" s="86">
        <f t="shared" si="14"/>
        <v>8753630.6400000006</v>
      </c>
      <c r="Q6" s="86">
        <f t="shared" si="14"/>
        <v>8753630.6400000006</v>
      </c>
      <c r="R6" s="86">
        <f t="shared" si="14"/>
        <v>8753630.6400000006</v>
      </c>
      <c r="S6" s="87"/>
      <c r="T6" s="86">
        <f>+R23</f>
        <v>8753630.6400000006</v>
      </c>
      <c r="U6" s="86">
        <f t="shared" ref="U6:X6" si="15">+T23</f>
        <v>8753630.6400000006</v>
      </c>
      <c r="V6" s="86">
        <f t="shared" si="15"/>
        <v>8753630.6400000006</v>
      </c>
      <c r="W6" s="86">
        <f t="shared" si="15"/>
        <v>8753630.6400000006</v>
      </c>
      <c r="X6" s="86">
        <f t="shared" si="15"/>
        <v>8753630.6400000006</v>
      </c>
      <c r="Y6" s="87"/>
      <c r="Z6" s="86">
        <f>+X23</f>
        <v>8753630.6400000006</v>
      </c>
      <c r="AA6" s="86">
        <f t="shared" ref="AA6:AD6" si="16">+Z23</f>
        <v>8753630.6400000006</v>
      </c>
      <c r="AB6" s="86">
        <f t="shared" si="16"/>
        <v>8753630.6400000006</v>
      </c>
      <c r="AC6" s="86">
        <f t="shared" si="16"/>
        <v>8753630.6400000006</v>
      </c>
      <c r="AD6" s="86">
        <f t="shared" si="16"/>
        <v>8753630.6400000006</v>
      </c>
      <c r="AE6" s="87"/>
      <c r="AF6" s="86">
        <f>+AD23</f>
        <v>8753630.6400000006</v>
      </c>
      <c r="AG6" s="86">
        <f>+AF23</f>
        <v>8753630.6400000006</v>
      </c>
      <c r="AH6" s="88">
        <v>50697.25</v>
      </c>
      <c r="AI6" s="202">
        <f>AH23</f>
        <v>50697.25</v>
      </c>
      <c r="AJ6" s="202">
        <f t="shared" ref="AJ6:BM6" si="17">AI23</f>
        <v>50697.25</v>
      </c>
      <c r="AK6" s="202">
        <f t="shared" si="17"/>
        <v>50697.25</v>
      </c>
      <c r="AL6" s="202">
        <f t="shared" si="17"/>
        <v>52035.770000000004</v>
      </c>
      <c r="AM6" s="202">
        <f t="shared" si="17"/>
        <v>52035.770000000004</v>
      </c>
      <c r="AN6" s="202">
        <f t="shared" si="17"/>
        <v>50765.04</v>
      </c>
      <c r="AO6" s="202">
        <f t="shared" si="17"/>
        <v>47996.689999999995</v>
      </c>
      <c r="AP6" s="202">
        <f t="shared" si="17"/>
        <v>47225.67</v>
      </c>
      <c r="AQ6" s="202">
        <f t="shared" si="17"/>
        <v>47225.67</v>
      </c>
      <c r="AR6" s="202">
        <f t="shared" si="17"/>
        <v>47225.67</v>
      </c>
      <c r="AS6" s="202">
        <f t="shared" si="17"/>
        <v>46960.689999999995</v>
      </c>
      <c r="AT6" s="202">
        <f t="shared" si="17"/>
        <v>48300.779999999992</v>
      </c>
      <c r="AU6" s="202">
        <f t="shared" si="17"/>
        <v>45453.509999999995</v>
      </c>
      <c r="AV6" s="202">
        <f t="shared" si="17"/>
        <v>44168.119999999995</v>
      </c>
      <c r="AW6" s="202">
        <f t="shared" si="17"/>
        <v>45588.619999999995</v>
      </c>
      <c r="AX6" s="202">
        <f t="shared" si="17"/>
        <v>45588.619999999995</v>
      </c>
      <c r="AY6" s="202">
        <f t="shared" si="17"/>
        <v>45588.619999999995</v>
      </c>
      <c r="AZ6" s="202">
        <f t="shared" si="17"/>
        <v>47698.46</v>
      </c>
      <c r="BA6" s="202">
        <f t="shared" si="17"/>
        <v>45742.47</v>
      </c>
      <c r="BB6" s="202">
        <f t="shared" si="17"/>
        <v>43299.06</v>
      </c>
      <c r="BC6" s="202">
        <f t="shared" si="17"/>
        <v>45347.69</v>
      </c>
      <c r="BD6" s="202">
        <f t="shared" si="17"/>
        <v>46855.880000000005</v>
      </c>
      <c r="BE6" s="202">
        <f t="shared" si="17"/>
        <v>46855.880000000005</v>
      </c>
      <c r="BF6" s="202">
        <f t="shared" si="17"/>
        <v>46855.880000000005</v>
      </c>
      <c r="BG6" s="202">
        <f t="shared" si="17"/>
        <v>48835.45</v>
      </c>
      <c r="BH6" s="202">
        <f t="shared" si="17"/>
        <v>48975.210000000006</v>
      </c>
      <c r="BI6" s="202">
        <f t="shared" si="17"/>
        <v>50198.5</v>
      </c>
      <c r="BJ6" s="202">
        <f t="shared" si="17"/>
        <v>50198.5</v>
      </c>
      <c r="BK6" s="202">
        <f t="shared" si="17"/>
        <v>50198.5</v>
      </c>
      <c r="BL6" s="202">
        <f t="shared" si="17"/>
        <v>50198.5</v>
      </c>
      <c r="BM6" s="202">
        <f t="shared" si="17"/>
        <v>50198.5</v>
      </c>
    </row>
    <row r="7" spans="1:65" s="277" customFormat="1" ht="12.75" customHeight="1">
      <c r="A7" s="274" t="s">
        <v>1021</v>
      </c>
      <c r="B7" s="274"/>
      <c r="C7" s="274"/>
      <c r="D7" s="274"/>
      <c r="E7" s="274"/>
      <c r="F7" s="274"/>
      <c r="G7" s="275"/>
      <c r="H7" s="274"/>
      <c r="I7" s="274"/>
      <c r="J7" s="274"/>
      <c r="K7" s="274"/>
      <c r="L7" s="274"/>
      <c r="M7" s="275"/>
      <c r="N7" s="274"/>
      <c r="O7" s="274"/>
      <c r="P7" s="274"/>
      <c r="Q7" s="274"/>
      <c r="R7" s="274"/>
      <c r="S7" s="275"/>
      <c r="T7" s="274"/>
      <c r="U7" s="274"/>
      <c r="V7" s="274"/>
      <c r="W7" s="274"/>
      <c r="X7" s="274"/>
      <c r="Y7" s="275"/>
      <c r="Z7" s="274"/>
      <c r="AA7" s="274"/>
      <c r="AB7" s="274"/>
      <c r="AC7" s="274"/>
      <c r="AD7" s="274"/>
      <c r="AE7" s="275"/>
      <c r="AF7" s="274"/>
      <c r="AG7" s="274"/>
      <c r="AH7" s="274"/>
      <c r="AI7" s="276"/>
      <c r="AJ7" s="276"/>
      <c r="AK7" s="274"/>
      <c r="AL7" s="274"/>
      <c r="AM7" s="274"/>
      <c r="AO7" s="278"/>
      <c r="AP7" s="276"/>
      <c r="AQ7" s="276"/>
      <c r="AV7" s="278"/>
      <c r="AW7" s="276"/>
      <c r="AX7" s="276"/>
      <c r="BC7" s="279"/>
      <c r="BD7" s="280"/>
      <c r="BE7" s="280"/>
      <c r="BJ7" s="279"/>
      <c r="BK7" s="280"/>
      <c r="BL7" s="280"/>
    </row>
    <row r="8" spans="1:65" ht="12.75" customHeight="1">
      <c r="A8" s="88" t="s">
        <v>971</v>
      </c>
      <c r="B8" s="86"/>
      <c r="C8" s="86"/>
      <c r="D8" s="86"/>
      <c r="E8" s="86"/>
      <c r="F8" s="86"/>
      <c r="G8" s="87"/>
      <c r="H8" s="86"/>
      <c r="I8" s="86"/>
      <c r="J8" s="86"/>
      <c r="K8" s="86"/>
      <c r="L8" s="86"/>
      <c r="M8" s="87"/>
      <c r="N8" s="86"/>
      <c r="O8" s="86"/>
      <c r="P8" s="86"/>
      <c r="Q8" s="86"/>
      <c r="R8" s="86"/>
      <c r="S8" s="87"/>
      <c r="T8" s="86"/>
      <c r="U8" s="86"/>
      <c r="V8" s="86"/>
      <c r="W8" s="86"/>
      <c r="X8" s="86"/>
      <c r="Y8" s="87"/>
      <c r="Z8" s="86"/>
      <c r="AA8" s="86"/>
      <c r="AB8" s="86"/>
      <c r="AC8" s="86"/>
      <c r="AD8" s="86"/>
      <c r="AE8" s="87"/>
      <c r="AF8" s="86"/>
      <c r="AG8" s="86"/>
      <c r="AH8" s="86"/>
      <c r="AI8" s="201"/>
      <c r="AJ8" s="201"/>
      <c r="AK8" s="86">
        <v>-20</v>
      </c>
      <c r="AL8" s="86"/>
      <c r="AM8" s="86"/>
      <c r="AN8" s="86">
        <v>-536.44000000000005</v>
      </c>
      <c r="AO8" s="86"/>
      <c r="AP8" s="201"/>
      <c r="AQ8" s="201"/>
      <c r="AR8" s="86"/>
      <c r="AS8" s="86"/>
      <c r="AT8" s="86"/>
      <c r="AU8" s="86"/>
      <c r="AV8" s="86"/>
      <c r="AW8" s="201"/>
      <c r="AX8" s="201"/>
      <c r="AY8" s="86"/>
      <c r="AZ8" s="86"/>
      <c r="BA8" s="86"/>
      <c r="BB8" s="86"/>
      <c r="BC8" s="86"/>
      <c r="BD8" s="203"/>
      <c r="BE8" s="203"/>
      <c r="BF8" s="86"/>
      <c r="BG8" s="86"/>
      <c r="BH8" s="86"/>
      <c r="BI8" s="86"/>
      <c r="BJ8" s="86"/>
      <c r="BK8" s="203"/>
      <c r="BL8" s="203"/>
      <c r="BM8" s="86"/>
    </row>
    <row r="9" spans="1:65" ht="12.75" customHeight="1">
      <c r="A9" s="88" t="s">
        <v>308</v>
      </c>
      <c r="B9" s="86"/>
      <c r="C9" s="86"/>
      <c r="D9" s="86"/>
      <c r="E9" s="86"/>
      <c r="F9" s="86"/>
      <c r="G9" s="87"/>
      <c r="H9" s="86"/>
      <c r="I9" s="86"/>
      <c r="J9" s="86"/>
      <c r="K9" s="86"/>
      <c r="L9" s="86"/>
      <c r="M9" s="87"/>
      <c r="N9" s="86"/>
      <c r="O9" s="86"/>
      <c r="P9" s="86"/>
      <c r="Q9" s="86"/>
      <c r="R9" s="86"/>
      <c r="S9" s="87"/>
      <c r="T9" s="86"/>
      <c r="U9" s="86"/>
      <c r="V9" s="86"/>
      <c r="W9" s="86"/>
      <c r="X9" s="86"/>
      <c r="Y9" s="87"/>
      <c r="Z9" s="86"/>
      <c r="AA9" s="86"/>
      <c r="AB9" s="86"/>
      <c r="AC9" s="86"/>
      <c r="AD9" s="86"/>
      <c r="AE9" s="87"/>
      <c r="AF9" s="86"/>
      <c r="AG9" s="86"/>
      <c r="AH9" s="86"/>
      <c r="AI9" s="201"/>
      <c r="AJ9" s="201"/>
      <c r="AK9" s="86">
        <v>-420.25</v>
      </c>
      <c r="AL9" s="86"/>
      <c r="AM9" s="86">
        <v>-1308.75</v>
      </c>
      <c r="AN9" s="86"/>
      <c r="AO9" s="86"/>
      <c r="AP9" s="201"/>
      <c r="AQ9" s="201"/>
      <c r="AR9" s="86">
        <v>-1310.97</v>
      </c>
      <c r="AS9" s="86"/>
      <c r="AT9" s="86"/>
      <c r="AU9" s="86"/>
      <c r="AV9" s="86"/>
      <c r="AW9" s="201"/>
      <c r="AX9" s="201"/>
      <c r="AY9" s="86">
        <v>-807.2</v>
      </c>
      <c r="AZ9" s="86"/>
      <c r="BA9" s="86">
        <v>-483</v>
      </c>
      <c r="BB9" s="86"/>
      <c r="BC9" s="86">
        <v>-46.82</v>
      </c>
      <c r="BD9" s="203"/>
      <c r="BE9" s="203"/>
      <c r="BF9" s="86">
        <v>-1100.8699999999999</v>
      </c>
      <c r="BG9" s="86"/>
      <c r="BH9" s="86"/>
      <c r="BI9" s="86"/>
      <c r="BJ9" s="86"/>
      <c r="BK9" s="203"/>
      <c r="BL9" s="203"/>
      <c r="BM9" s="86"/>
    </row>
    <row r="10" spans="1:65" ht="12.75" customHeight="1">
      <c r="A10" s="88" t="s">
        <v>307</v>
      </c>
      <c r="B10" s="86"/>
      <c r="C10" s="86"/>
      <c r="D10" s="86"/>
      <c r="E10" s="86"/>
      <c r="F10" s="86"/>
      <c r="G10" s="87"/>
      <c r="H10" s="86"/>
      <c r="I10" s="86"/>
      <c r="J10" s="86"/>
      <c r="K10" s="86"/>
      <c r="L10" s="86"/>
      <c r="M10" s="87"/>
      <c r="N10" s="86"/>
      <c r="O10" s="86"/>
      <c r="P10" s="86"/>
      <c r="Q10" s="86"/>
      <c r="R10" s="86"/>
      <c r="S10" s="87"/>
      <c r="T10" s="86"/>
      <c r="U10" s="86"/>
      <c r="V10" s="86"/>
      <c r="W10" s="86"/>
      <c r="X10" s="86"/>
      <c r="Y10" s="87"/>
      <c r="Z10" s="86"/>
      <c r="AA10" s="86"/>
      <c r="AB10" s="86"/>
      <c r="AC10" s="86"/>
      <c r="AD10" s="86"/>
      <c r="AE10" s="87"/>
      <c r="AF10" s="86"/>
      <c r="AG10" s="86"/>
      <c r="AH10" s="86"/>
      <c r="AI10" s="201"/>
      <c r="AJ10" s="201"/>
      <c r="AK10" s="86">
        <v>-636.04000000000008</v>
      </c>
      <c r="AL10" s="86"/>
      <c r="AM10" s="86">
        <v>-327.19</v>
      </c>
      <c r="AN10" s="86"/>
      <c r="AO10" s="86">
        <v>-637.25</v>
      </c>
      <c r="AP10" s="201"/>
      <c r="AQ10" s="201"/>
      <c r="AR10" s="86">
        <v>-427.32</v>
      </c>
      <c r="AS10" s="86">
        <v>-78.289999999999992</v>
      </c>
      <c r="AT10" s="86">
        <v>-83.460000000000008</v>
      </c>
      <c r="AU10" s="86">
        <v>-3707.97</v>
      </c>
      <c r="AV10" s="86"/>
      <c r="AW10" s="201"/>
      <c r="AX10" s="201"/>
      <c r="AY10" s="86">
        <v>-1075.27</v>
      </c>
      <c r="AZ10" s="86">
        <v>-310.47000000000003</v>
      </c>
      <c r="BA10" s="86">
        <v>-3303.48</v>
      </c>
      <c r="BB10" s="86">
        <v>-673.52</v>
      </c>
      <c r="BC10" s="86"/>
      <c r="BD10" s="203"/>
      <c r="BE10" s="203"/>
      <c r="BF10" s="86">
        <v>-745.72</v>
      </c>
      <c r="BG10" s="86">
        <v>-143.88</v>
      </c>
      <c r="BH10" s="86">
        <v>-393.73</v>
      </c>
      <c r="BI10" s="86"/>
      <c r="BJ10" s="86"/>
      <c r="BK10" s="203"/>
      <c r="BL10" s="203"/>
      <c r="BM10" s="86"/>
    </row>
    <row r="11" spans="1:65" ht="12.75" customHeight="1">
      <c r="A11" s="88" t="s">
        <v>1022</v>
      </c>
      <c r="B11" s="86"/>
      <c r="C11" s="86"/>
      <c r="D11" s="86"/>
      <c r="E11" s="86"/>
      <c r="F11" s="86"/>
      <c r="G11" s="87"/>
      <c r="H11" s="86"/>
      <c r="I11" s="86"/>
      <c r="J11" s="86"/>
      <c r="K11" s="86"/>
      <c r="L11" s="86"/>
      <c r="M11" s="87"/>
      <c r="N11" s="86"/>
      <c r="O11" s="86"/>
      <c r="P11" s="86"/>
      <c r="Q11" s="86"/>
      <c r="R11" s="86"/>
      <c r="S11" s="87"/>
      <c r="T11" s="86"/>
      <c r="U11" s="86"/>
      <c r="V11" s="86"/>
      <c r="W11" s="86"/>
      <c r="X11" s="86"/>
      <c r="Y11" s="87"/>
      <c r="Z11" s="86"/>
      <c r="AA11" s="86"/>
      <c r="AB11" s="86"/>
      <c r="AC11" s="86"/>
      <c r="AD11" s="86"/>
      <c r="AE11" s="87"/>
      <c r="AF11" s="86"/>
      <c r="AG11" s="86"/>
      <c r="AH11" s="86"/>
      <c r="AI11" s="201"/>
      <c r="AJ11" s="201"/>
      <c r="AK11" s="86"/>
      <c r="AL11" s="86"/>
      <c r="AM11" s="86">
        <v>-1346</v>
      </c>
      <c r="AN11" s="86"/>
      <c r="AO11" s="86"/>
      <c r="AP11" s="201"/>
      <c r="AQ11" s="201"/>
      <c r="AR11" s="86"/>
      <c r="AS11" s="86"/>
      <c r="AT11" s="86"/>
      <c r="AU11" s="86"/>
      <c r="AV11" s="86"/>
      <c r="AW11" s="201"/>
      <c r="AX11" s="201"/>
      <c r="AY11" s="86"/>
      <c r="AZ11" s="86"/>
      <c r="BA11" s="86"/>
      <c r="BB11" s="86"/>
      <c r="BC11" s="86"/>
      <c r="BD11" s="203"/>
      <c r="BE11" s="203"/>
      <c r="BF11" s="86"/>
      <c r="BG11" s="86"/>
      <c r="BH11" s="86"/>
      <c r="BI11" s="86"/>
      <c r="BJ11" s="86"/>
      <c r="BK11" s="203"/>
      <c r="BL11" s="203"/>
      <c r="BM11" s="86"/>
    </row>
    <row r="12" spans="1:65" ht="12.75" customHeight="1">
      <c r="A12" s="88" t="s">
        <v>994</v>
      </c>
      <c r="B12" s="86"/>
      <c r="C12" s="86"/>
      <c r="D12" s="86"/>
      <c r="E12" s="86"/>
      <c r="F12" s="86"/>
      <c r="G12" s="87"/>
      <c r="H12" s="86"/>
      <c r="I12" s="86"/>
      <c r="J12" s="86"/>
      <c r="K12" s="86"/>
      <c r="L12" s="86"/>
      <c r="M12" s="87"/>
      <c r="N12" s="86"/>
      <c r="O12" s="86"/>
      <c r="P12" s="86"/>
      <c r="Q12" s="86"/>
      <c r="R12" s="86"/>
      <c r="S12" s="87"/>
      <c r="T12" s="86"/>
      <c r="U12" s="86"/>
      <c r="V12" s="86"/>
      <c r="W12" s="86"/>
      <c r="X12" s="86"/>
      <c r="Y12" s="87"/>
      <c r="Z12" s="86"/>
      <c r="AA12" s="86"/>
      <c r="AB12" s="86"/>
      <c r="AC12" s="86"/>
      <c r="AD12" s="86"/>
      <c r="AE12" s="87"/>
      <c r="AF12" s="86"/>
      <c r="AG12" s="86"/>
      <c r="AH12" s="86"/>
      <c r="AI12" s="201"/>
      <c r="AJ12" s="201"/>
      <c r="AK12" s="86"/>
      <c r="AL12" s="86"/>
      <c r="AM12" s="86"/>
      <c r="AN12" s="86"/>
      <c r="AO12" s="86">
        <v>-1387</v>
      </c>
      <c r="AP12" s="201"/>
      <c r="AQ12" s="201"/>
      <c r="AR12" s="86"/>
      <c r="AS12" s="86"/>
      <c r="AT12" s="86"/>
      <c r="AU12" s="86"/>
      <c r="AV12" s="86"/>
      <c r="AW12" s="201"/>
      <c r="AX12" s="201"/>
      <c r="AY12" s="86"/>
      <c r="AZ12" s="86"/>
      <c r="BA12" s="86"/>
      <c r="BB12" s="86"/>
      <c r="BC12" s="86"/>
      <c r="BD12" s="203"/>
      <c r="BE12" s="203"/>
      <c r="BF12" s="86"/>
      <c r="BG12" s="86"/>
      <c r="BH12" s="86"/>
      <c r="BI12" s="86"/>
      <c r="BJ12" s="86"/>
      <c r="BK12" s="203"/>
      <c r="BL12" s="203"/>
      <c r="BM12" s="86"/>
    </row>
    <row r="13" spans="1:65" ht="12.75" customHeight="1">
      <c r="A13" s="88" t="s">
        <v>1036</v>
      </c>
      <c r="B13" s="86"/>
      <c r="C13" s="86"/>
      <c r="D13" s="86"/>
      <c r="E13" s="86"/>
      <c r="F13" s="86"/>
      <c r="G13" s="87"/>
      <c r="H13" s="86"/>
      <c r="I13" s="86"/>
      <c r="J13" s="86"/>
      <c r="K13" s="86"/>
      <c r="L13" s="86"/>
      <c r="M13" s="87"/>
      <c r="N13" s="86"/>
      <c r="O13" s="86"/>
      <c r="P13" s="86"/>
      <c r="Q13" s="86"/>
      <c r="R13" s="86"/>
      <c r="S13" s="87"/>
      <c r="T13" s="86"/>
      <c r="U13" s="86"/>
      <c r="V13" s="86"/>
      <c r="W13" s="86"/>
      <c r="X13" s="86"/>
      <c r="Y13" s="87"/>
      <c r="Z13" s="86"/>
      <c r="AA13" s="86"/>
      <c r="AB13" s="86"/>
      <c r="AC13" s="86"/>
      <c r="AD13" s="86"/>
      <c r="AE13" s="87"/>
      <c r="AF13" s="86"/>
      <c r="AG13" s="86"/>
      <c r="AH13" s="86"/>
      <c r="AI13" s="201"/>
      <c r="AJ13" s="201"/>
      <c r="AK13" s="86"/>
      <c r="AL13" s="86"/>
      <c r="AM13" s="86"/>
      <c r="AN13" s="86"/>
      <c r="AO13" s="86"/>
      <c r="AP13" s="201"/>
      <c r="AQ13" s="201"/>
      <c r="AR13" s="86"/>
      <c r="AS13" s="86"/>
      <c r="AT13" s="86">
        <v>-3000</v>
      </c>
      <c r="AU13" s="86"/>
      <c r="AV13" s="86"/>
      <c r="AW13" s="201"/>
      <c r="AX13" s="201"/>
      <c r="AY13" s="86"/>
      <c r="AZ13" s="86"/>
      <c r="BA13" s="86"/>
      <c r="BB13" s="86"/>
      <c r="BC13" s="86"/>
      <c r="BD13" s="203"/>
      <c r="BE13" s="203"/>
      <c r="BF13" s="86"/>
      <c r="BG13" s="86"/>
      <c r="BH13" s="86"/>
      <c r="BI13" s="86"/>
      <c r="BJ13" s="86"/>
      <c r="BK13" s="203"/>
      <c r="BL13" s="203"/>
      <c r="BM13" s="86"/>
    </row>
    <row r="14" spans="1:65" ht="12.75" customHeight="1">
      <c r="A14" s="88" t="s">
        <v>973</v>
      </c>
      <c r="B14" s="86"/>
      <c r="C14" s="86"/>
      <c r="D14" s="86"/>
      <c r="E14" s="86"/>
      <c r="F14" s="86"/>
      <c r="G14" s="87"/>
      <c r="H14" s="86"/>
      <c r="I14" s="86"/>
      <c r="J14" s="86"/>
      <c r="K14" s="86"/>
      <c r="L14" s="86"/>
      <c r="M14" s="87"/>
      <c r="N14" s="86"/>
      <c r="O14" s="86"/>
      <c r="P14" s="86"/>
      <c r="Q14" s="86"/>
      <c r="R14" s="86"/>
      <c r="S14" s="87"/>
      <c r="T14" s="86"/>
      <c r="U14" s="86"/>
      <c r="V14" s="86"/>
      <c r="W14" s="86"/>
      <c r="X14" s="86"/>
      <c r="Y14" s="87"/>
      <c r="Z14" s="86"/>
      <c r="AA14" s="86"/>
      <c r="AB14" s="86"/>
      <c r="AC14" s="86"/>
      <c r="AD14" s="86"/>
      <c r="AE14" s="87"/>
      <c r="AF14" s="86"/>
      <c r="AG14" s="86"/>
      <c r="AH14" s="86"/>
      <c r="AI14" s="201"/>
      <c r="AJ14" s="201"/>
      <c r="AK14" s="86"/>
      <c r="AL14" s="86"/>
      <c r="AM14" s="86"/>
      <c r="AN14" s="86"/>
      <c r="AO14" s="86"/>
      <c r="AP14" s="201"/>
      <c r="AQ14" s="201"/>
      <c r="AR14" s="86"/>
      <c r="AS14" s="86"/>
      <c r="AT14" s="86"/>
      <c r="AU14" s="86"/>
      <c r="AV14" s="86"/>
      <c r="AW14" s="201"/>
      <c r="AX14" s="201"/>
      <c r="AY14" s="86">
        <v>-27.28</v>
      </c>
      <c r="AZ14" s="86"/>
      <c r="BA14" s="86"/>
      <c r="BB14" s="86"/>
      <c r="BC14" s="86"/>
      <c r="BD14" s="203"/>
      <c r="BE14" s="203"/>
      <c r="BF14" s="86"/>
      <c r="BG14" s="86"/>
      <c r="BH14" s="86"/>
      <c r="BI14" s="86"/>
      <c r="BJ14" s="86"/>
      <c r="BK14" s="203"/>
      <c r="BL14" s="203"/>
      <c r="BM14" s="86"/>
    </row>
    <row r="15" spans="1:65" ht="12.75" customHeight="1">
      <c r="A15" s="88" t="s">
        <v>1023</v>
      </c>
      <c r="B15" s="86"/>
      <c r="C15" s="86"/>
      <c r="D15" s="86"/>
      <c r="E15" s="86"/>
      <c r="F15" s="86"/>
      <c r="G15" s="87"/>
      <c r="H15" s="86"/>
      <c r="I15" s="86"/>
      <c r="J15" s="86"/>
      <c r="K15" s="86"/>
      <c r="L15" s="86"/>
      <c r="M15" s="87"/>
      <c r="N15" s="86"/>
      <c r="O15" s="86"/>
      <c r="P15" s="86"/>
      <c r="Q15" s="86"/>
      <c r="R15" s="86"/>
      <c r="S15" s="87"/>
      <c r="T15" s="86"/>
      <c r="U15" s="86"/>
      <c r="V15" s="86"/>
      <c r="W15" s="86"/>
      <c r="X15" s="86"/>
      <c r="Y15" s="87"/>
      <c r="Z15" s="86"/>
      <c r="AA15" s="86"/>
      <c r="AB15" s="86"/>
      <c r="AC15" s="86"/>
      <c r="AD15" s="86"/>
      <c r="AE15" s="87"/>
      <c r="AF15" s="86"/>
      <c r="AG15" s="86"/>
      <c r="AH15" s="86"/>
      <c r="AI15" s="201"/>
      <c r="AJ15" s="201"/>
      <c r="AK15" s="86"/>
      <c r="AL15" s="86"/>
      <c r="AM15" s="86"/>
      <c r="AN15" s="86"/>
      <c r="AO15" s="86"/>
      <c r="AP15" s="201"/>
      <c r="AQ15" s="201"/>
      <c r="AR15" s="86"/>
      <c r="AS15" s="86">
        <v>-200</v>
      </c>
      <c r="AT15" s="86"/>
      <c r="AU15" s="86"/>
      <c r="AV15" s="86"/>
      <c r="AW15" s="201"/>
      <c r="AX15" s="201"/>
      <c r="AY15" s="86">
        <v>-179.55</v>
      </c>
      <c r="AZ15" s="86"/>
      <c r="BA15" s="86">
        <v>-164</v>
      </c>
      <c r="BB15" s="86"/>
      <c r="BC15" s="86"/>
      <c r="BD15" s="203"/>
      <c r="BE15" s="203"/>
      <c r="BF15" s="86">
        <v>-805</v>
      </c>
      <c r="BG15" s="86"/>
      <c r="BH15" s="86"/>
      <c r="BI15" s="86"/>
      <c r="BJ15" s="86"/>
      <c r="BK15" s="203"/>
      <c r="BL15" s="203"/>
      <c r="BM15" s="86"/>
    </row>
    <row r="16" spans="1:65" ht="12.75" customHeight="1">
      <c r="A16" s="88" t="s">
        <v>1024</v>
      </c>
      <c r="B16" s="86"/>
      <c r="C16" s="86"/>
      <c r="D16" s="86"/>
      <c r="E16" s="86"/>
      <c r="F16" s="86"/>
      <c r="G16" s="87"/>
      <c r="H16" s="86"/>
      <c r="I16" s="86"/>
      <c r="J16" s="86"/>
      <c r="K16" s="86"/>
      <c r="L16" s="86"/>
      <c r="M16" s="87"/>
      <c r="N16" s="86"/>
      <c r="O16" s="86"/>
      <c r="P16" s="86"/>
      <c r="Q16" s="86"/>
      <c r="R16" s="86"/>
      <c r="S16" s="87"/>
      <c r="T16" s="86"/>
      <c r="U16" s="86"/>
      <c r="V16" s="86"/>
      <c r="W16" s="86"/>
      <c r="X16" s="86"/>
      <c r="Y16" s="87"/>
      <c r="Z16" s="86"/>
      <c r="AA16" s="86"/>
      <c r="AB16" s="86"/>
      <c r="AC16" s="86"/>
      <c r="AD16" s="86"/>
      <c r="AE16" s="87"/>
      <c r="AF16" s="86"/>
      <c r="AG16" s="86"/>
      <c r="AH16" s="86"/>
      <c r="AI16" s="201"/>
      <c r="AJ16" s="201"/>
      <c r="AK16" s="86"/>
      <c r="AL16" s="86"/>
      <c r="AM16" s="86"/>
      <c r="AN16" s="86"/>
      <c r="AO16" s="86"/>
      <c r="AP16" s="201"/>
      <c r="AQ16" s="201"/>
      <c r="AR16" s="86"/>
      <c r="AS16" s="86"/>
      <c r="AT16" s="86"/>
      <c r="AU16" s="86"/>
      <c r="AV16" s="86"/>
      <c r="AW16" s="201"/>
      <c r="AX16" s="201"/>
      <c r="AY16" s="86">
        <v>-600</v>
      </c>
      <c r="AZ16" s="86"/>
      <c r="BA16" s="86"/>
      <c r="BB16" s="86"/>
      <c r="BC16" s="86"/>
      <c r="BD16" s="203"/>
      <c r="BE16" s="203"/>
      <c r="BF16" s="86"/>
      <c r="BG16" s="86">
        <v>-74.09</v>
      </c>
      <c r="BH16" s="86"/>
      <c r="BI16" s="86"/>
      <c r="BJ16" s="86"/>
      <c r="BK16" s="203"/>
      <c r="BL16" s="203"/>
      <c r="BM16" s="86"/>
    </row>
    <row r="17" spans="1:65" ht="12.75" customHeight="1">
      <c r="A17" s="88" t="s">
        <v>988</v>
      </c>
      <c r="B17" s="86"/>
      <c r="C17" s="86"/>
      <c r="D17" s="86"/>
      <c r="E17" s="86"/>
      <c r="F17" s="86"/>
      <c r="G17" s="87"/>
      <c r="H17" s="86"/>
      <c r="I17" s="86"/>
      <c r="J17" s="86"/>
      <c r="K17" s="86"/>
      <c r="L17" s="86"/>
      <c r="M17" s="87"/>
      <c r="N17" s="86"/>
      <c r="O17" s="86"/>
      <c r="P17" s="86"/>
      <c r="Q17" s="86"/>
      <c r="R17" s="86"/>
      <c r="S17" s="87"/>
      <c r="T17" s="86"/>
      <c r="U17" s="86"/>
      <c r="V17" s="86"/>
      <c r="W17" s="86"/>
      <c r="X17" s="86"/>
      <c r="Y17" s="87"/>
      <c r="Z17" s="86"/>
      <c r="AA17" s="86"/>
      <c r="AB17" s="86"/>
      <c r="AC17" s="86"/>
      <c r="AD17" s="86"/>
      <c r="AE17" s="87"/>
      <c r="AF17" s="86"/>
      <c r="AG17" s="86"/>
      <c r="AH17" s="86"/>
      <c r="AI17" s="201"/>
      <c r="AJ17" s="201"/>
      <c r="AK17" s="86">
        <v>-2500</v>
      </c>
      <c r="AL17" s="86"/>
      <c r="AM17" s="86"/>
      <c r="AN17" s="86">
        <v>-3108.01</v>
      </c>
      <c r="AO17" s="86"/>
      <c r="AP17" s="201"/>
      <c r="AQ17" s="201"/>
      <c r="AR17" s="86"/>
      <c r="AS17" s="86"/>
      <c r="AT17" s="86"/>
      <c r="AU17" s="86"/>
      <c r="AV17" s="86"/>
      <c r="AW17" s="201"/>
      <c r="AX17" s="201"/>
      <c r="AY17" s="86"/>
      <c r="AZ17" s="86"/>
      <c r="BA17" s="86"/>
      <c r="BB17" s="86"/>
      <c r="BC17" s="86"/>
      <c r="BD17" s="203"/>
      <c r="BE17" s="203"/>
      <c r="BF17" s="86"/>
      <c r="BG17" s="86"/>
      <c r="BH17" s="86"/>
      <c r="BI17" s="86"/>
      <c r="BJ17" s="86"/>
      <c r="BK17" s="203"/>
      <c r="BL17" s="203"/>
      <c r="BM17" s="86"/>
    </row>
    <row r="18" spans="1:65" ht="12.75" customHeight="1">
      <c r="A18" s="88" t="s">
        <v>271</v>
      </c>
      <c r="B18" s="86"/>
      <c r="C18" s="86"/>
      <c r="D18" s="86"/>
      <c r="E18" s="86"/>
      <c r="F18" s="86"/>
      <c r="G18" s="87"/>
      <c r="H18" s="86"/>
      <c r="I18" s="86"/>
      <c r="J18" s="86"/>
      <c r="K18" s="86"/>
      <c r="L18" s="86"/>
      <c r="M18" s="87"/>
      <c r="N18" s="86"/>
      <c r="O18" s="86"/>
      <c r="P18" s="86"/>
      <c r="Q18" s="86"/>
      <c r="R18" s="86"/>
      <c r="S18" s="87"/>
      <c r="T18" s="86"/>
      <c r="U18" s="86"/>
      <c r="V18" s="86"/>
      <c r="W18" s="86"/>
      <c r="X18" s="86"/>
      <c r="Y18" s="87"/>
      <c r="Z18" s="86"/>
      <c r="AA18" s="86"/>
      <c r="AB18" s="86"/>
      <c r="AC18" s="86"/>
      <c r="AD18" s="86"/>
      <c r="AE18" s="87"/>
      <c r="AF18" s="86"/>
      <c r="AG18" s="86"/>
      <c r="AH18" s="86"/>
      <c r="AI18" s="202"/>
      <c r="AJ18" s="201"/>
      <c r="AK18" s="281">
        <v>5156.7000000000007</v>
      </c>
      <c r="AL18" s="200"/>
      <c r="AM18" s="281">
        <v>1711.21</v>
      </c>
      <c r="AN18" s="281">
        <v>876.1</v>
      </c>
      <c r="AO18" s="86">
        <v>1253.23</v>
      </c>
      <c r="AP18" s="201"/>
      <c r="AQ18" s="201"/>
      <c r="AR18" s="86">
        <v>1522.8600000000001</v>
      </c>
      <c r="AS18" s="86">
        <v>1618.38</v>
      </c>
      <c r="AT18" s="86">
        <v>236.19</v>
      </c>
      <c r="AU18" s="86">
        <v>2422.58</v>
      </c>
      <c r="AV18" s="86">
        <v>1420.5</v>
      </c>
      <c r="AW18" s="201"/>
      <c r="AX18" s="201"/>
      <c r="AY18" s="86">
        <v>4799.1400000000003</v>
      </c>
      <c r="AZ18" s="86">
        <v>492.48</v>
      </c>
      <c r="BA18" s="86">
        <v>1507.0700000000002</v>
      </c>
      <c r="BB18" s="86">
        <v>2722.15</v>
      </c>
      <c r="BC18" s="86">
        <v>1555.01</v>
      </c>
      <c r="BD18" s="203"/>
      <c r="BE18" s="203"/>
      <c r="BF18" s="86">
        <v>4746.16</v>
      </c>
      <c r="BG18" s="86">
        <v>357.73</v>
      </c>
      <c r="BH18" s="86">
        <v>1617.02</v>
      </c>
      <c r="BI18" s="86"/>
      <c r="BJ18" s="86"/>
      <c r="BK18" s="203"/>
      <c r="BL18" s="203"/>
      <c r="BM18" s="86"/>
    </row>
    <row r="19" spans="1:65" ht="12.75" customHeight="1">
      <c r="A19" s="88" t="s">
        <v>1025</v>
      </c>
      <c r="B19" s="88"/>
      <c r="C19" s="88"/>
      <c r="D19" s="88"/>
      <c r="E19" s="88"/>
      <c r="F19" s="88"/>
      <c r="G19" s="89"/>
      <c r="H19" s="88"/>
      <c r="I19" s="88"/>
      <c r="J19" s="88"/>
      <c r="K19" s="88"/>
      <c r="L19" s="350"/>
      <c r="M19" s="89"/>
      <c r="N19" s="88"/>
      <c r="O19" s="88"/>
      <c r="P19" s="88"/>
      <c r="Q19" s="88"/>
      <c r="R19" s="88"/>
      <c r="S19" s="89"/>
      <c r="T19" s="88"/>
      <c r="U19" s="88"/>
      <c r="V19" s="88"/>
      <c r="W19" s="88"/>
      <c r="X19" s="88"/>
      <c r="Y19" s="89"/>
      <c r="Z19" s="88"/>
      <c r="AA19" s="88"/>
      <c r="AB19" s="88"/>
      <c r="AC19" s="88"/>
      <c r="AD19" s="88"/>
      <c r="AE19" s="89"/>
      <c r="AF19" s="88"/>
      <c r="AG19" s="88"/>
      <c r="AH19" s="88"/>
      <c r="AI19" s="202"/>
      <c r="AJ19" s="201"/>
      <c r="AK19" s="200"/>
      <c r="AL19" s="200"/>
      <c r="AM19" s="200"/>
      <c r="AN19" s="282"/>
      <c r="AO19" s="86"/>
      <c r="AP19" s="201"/>
      <c r="AQ19" s="201"/>
      <c r="AR19" s="86"/>
      <c r="AS19" s="86"/>
      <c r="AT19" s="86"/>
      <c r="AU19" s="86"/>
      <c r="AV19" s="86"/>
      <c r="AW19" s="201"/>
      <c r="AX19" s="201"/>
      <c r="AY19" s="86"/>
      <c r="AZ19" s="86">
        <v>-2138</v>
      </c>
      <c r="BA19" s="86"/>
      <c r="BB19" s="86"/>
      <c r="BC19" s="86"/>
      <c r="BD19" s="203"/>
      <c r="BE19" s="203"/>
      <c r="BF19" s="86"/>
      <c r="BG19" s="86"/>
      <c r="BH19" s="86"/>
      <c r="BI19" s="86"/>
      <c r="BJ19" s="86"/>
      <c r="BK19" s="203"/>
      <c r="BL19" s="203"/>
      <c r="BM19" s="86"/>
    </row>
    <row r="20" spans="1:65" ht="12.75" customHeight="1">
      <c r="A20" s="88" t="s">
        <v>977</v>
      </c>
      <c r="B20" s="88"/>
      <c r="C20" s="88"/>
      <c r="D20" s="88"/>
      <c r="E20" s="88"/>
      <c r="F20" s="88"/>
      <c r="G20" s="89"/>
      <c r="H20" s="88"/>
      <c r="I20" s="88"/>
      <c r="J20" s="88"/>
      <c r="K20" s="88"/>
      <c r="L20" s="351"/>
      <c r="M20" s="89"/>
      <c r="N20" s="88"/>
      <c r="O20" s="88"/>
      <c r="P20" s="88"/>
      <c r="Q20" s="88"/>
      <c r="R20" s="88"/>
      <c r="S20" s="89"/>
      <c r="T20" s="88"/>
      <c r="U20" s="88"/>
      <c r="V20" s="88"/>
      <c r="W20" s="88"/>
      <c r="X20" s="88"/>
      <c r="Y20" s="89"/>
      <c r="Z20" s="88"/>
      <c r="AA20" s="88"/>
      <c r="AB20" s="88"/>
      <c r="AC20" s="88"/>
      <c r="AD20" s="88"/>
      <c r="AE20" s="89"/>
      <c r="AF20" s="88"/>
      <c r="AG20" s="88"/>
      <c r="AH20" s="88"/>
      <c r="AI20" s="202"/>
      <c r="AJ20" s="201"/>
      <c r="AK20" s="200">
        <v>-69.209999999999994</v>
      </c>
      <c r="AL20" s="200"/>
      <c r="AM20" s="200"/>
      <c r="AN20" s="282"/>
      <c r="AO20" s="86"/>
      <c r="AP20" s="201"/>
      <c r="AQ20" s="201"/>
      <c r="AR20" s="86">
        <v>-49.55</v>
      </c>
      <c r="AS20" s="86"/>
      <c r="AT20" s="86"/>
      <c r="AU20" s="86"/>
      <c r="AV20" s="86"/>
      <c r="AW20" s="201"/>
      <c r="AX20" s="201"/>
      <c r="AY20" s="86"/>
      <c r="AZ20" s="86"/>
      <c r="BA20" s="86"/>
      <c r="BB20" s="86"/>
      <c r="BC20" s="86"/>
      <c r="BD20" s="203"/>
      <c r="BE20" s="203"/>
      <c r="BF20" s="86">
        <v>-75</v>
      </c>
      <c r="BG20" s="86"/>
      <c r="BH20" s="86"/>
      <c r="BI20" s="86"/>
      <c r="BJ20" s="86"/>
      <c r="BK20" s="203"/>
      <c r="BL20" s="203"/>
      <c r="BM20" s="86"/>
    </row>
    <row r="21" spans="1:65" ht="12.75" customHeight="1">
      <c r="A21" s="88" t="s">
        <v>1026</v>
      </c>
      <c r="B21" s="88"/>
      <c r="C21" s="88"/>
      <c r="D21" s="88"/>
      <c r="E21" s="88"/>
      <c r="F21" s="88"/>
      <c r="G21" s="89"/>
      <c r="H21" s="88"/>
      <c r="I21" s="88"/>
      <c r="J21" s="88"/>
      <c r="K21" s="88"/>
      <c r="L21" s="351"/>
      <c r="M21" s="89"/>
      <c r="N21" s="88"/>
      <c r="O21" s="88"/>
      <c r="P21" s="88"/>
      <c r="Q21" s="88"/>
      <c r="R21" s="88"/>
      <c r="S21" s="89"/>
      <c r="T21" s="88"/>
      <c r="U21" s="88"/>
      <c r="V21" s="88"/>
      <c r="W21" s="88"/>
      <c r="X21" s="88"/>
      <c r="Y21" s="89"/>
      <c r="Z21" s="88"/>
      <c r="AA21" s="88"/>
      <c r="AB21" s="88"/>
      <c r="AC21" s="88"/>
      <c r="AD21" s="88"/>
      <c r="AE21" s="89"/>
      <c r="AF21" s="88"/>
      <c r="AG21" s="88"/>
      <c r="AH21" s="88"/>
      <c r="AI21" s="202"/>
      <c r="AJ21" s="201"/>
      <c r="AK21" s="200">
        <v>20</v>
      </c>
      <c r="AL21" s="200"/>
      <c r="AM21" s="200"/>
      <c r="AN21" s="282"/>
      <c r="AO21" s="86"/>
      <c r="AP21" s="201"/>
      <c r="AQ21" s="201"/>
      <c r="AR21" s="86"/>
      <c r="AS21" s="86"/>
      <c r="AT21" s="86"/>
      <c r="AU21" s="86"/>
      <c r="AV21" s="86"/>
      <c r="AW21" s="201"/>
      <c r="AX21" s="201"/>
      <c r="AY21" s="86"/>
      <c r="AZ21" s="86"/>
      <c r="BA21" s="86"/>
      <c r="BB21" s="86"/>
      <c r="BC21" s="86"/>
      <c r="BD21" s="203"/>
      <c r="BE21" s="203"/>
      <c r="BF21" s="86"/>
      <c r="BG21" s="86"/>
      <c r="BH21" s="86"/>
      <c r="BI21" s="86"/>
      <c r="BJ21" s="86"/>
      <c r="BK21" s="203"/>
      <c r="BL21" s="203"/>
      <c r="BM21" s="86"/>
    </row>
    <row r="22" spans="1:65" ht="12.75" customHeight="1">
      <c r="A22" s="88" t="s">
        <v>1027</v>
      </c>
      <c r="B22" s="88"/>
      <c r="C22" s="88"/>
      <c r="D22" s="88"/>
      <c r="E22" s="88"/>
      <c r="F22" s="88"/>
      <c r="G22" s="89"/>
      <c r="H22" s="88"/>
      <c r="I22" s="88"/>
      <c r="J22" s="88"/>
      <c r="K22" s="88"/>
      <c r="L22" s="351"/>
      <c r="M22" s="89"/>
      <c r="N22" s="88"/>
      <c r="O22" s="88"/>
      <c r="P22" s="88"/>
      <c r="Q22" s="88"/>
      <c r="R22" s="88"/>
      <c r="S22" s="89"/>
      <c r="T22" s="88"/>
      <c r="U22" s="88"/>
      <c r="V22" s="88"/>
      <c r="W22" s="88"/>
      <c r="X22" s="88"/>
      <c r="Y22" s="89"/>
      <c r="Z22" s="88"/>
      <c r="AA22" s="88"/>
      <c r="AB22" s="88"/>
      <c r="AC22" s="88"/>
      <c r="AD22" s="88"/>
      <c r="AE22" s="89"/>
      <c r="AF22" s="88"/>
      <c r="AG22" s="88"/>
      <c r="AH22" s="88"/>
      <c r="AI22" s="202"/>
      <c r="AJ22" s="201"/>
      <c r="AK22" s="200">
        <v>-192.68</v>
      </c>
      <c r="AL22" s="200"/>
      <c r="AM22" s="200"/>
      <c r="AN22" s="282"/>
      <c r="AO22" s="86"/>
      <c r="AP22" s="201"/>
      <c r="AQ22" s="201"/>
      <c r="AR22" s="86"/>
      <c r="AS22" s="86"/>
      <c r="AT22" s="86"/>
      <c r="AU22" s="86"/>
      <c r="AV22" s="86"/>
      <c r="AW22" s="201"/>
      <c r="AX22" s="201"/>
      <c r="AY22" s="86"/>
      <c r="AZ22" s="86"/>
      <c r="BA22" s="86"/>
      <c r="BB22" s="86"/>
      <c r="BC22" s="86"/>
      <c r="BD22" s="203"/>
      <c r="BE22" s="203"/>
      <c r="BF22" s="86">
        <v>-40</v>
      </c>
      <c r="BG22" s="86"/>
      <c r="BH22" s="86"/>
      <c r="BI22" s="86"/>
      <c r="BJ22" s="86"/>
      <c r="BK22" s="203"/>
      <c r="BL22" s="203"/>
      <c r="BM22" s="86"/>
    </row>
    <row r="23" spans="1:65" ht="13.5" customHeight="1" thickBot="1">
      <c r="A23" s="97" t="s">
        <v>204</v>
      </c>
      <c r="B23" s="98">
        <f>SUM(B6:B22)</f>
        <v>1051689.24</v>
      </c>
      <c r="C23" s="98">
        <f>SUM(C6:C22)</f>
        <v>1596892.23</v>
      </c>
      <c r="D23" s="98">
        <f>SUM(D6:D22)</f>
        <v>1336078.1400000001</v>
      </c>
      <c r="E23" s="98">
        <f>SUM(E6:E22)</f>
        <v>864897.47000000067</v>
      </c>
      <c r="F23" s="98">
        <f>SUM(F6:F22)</f>
        <v>8753630.6400000006</v>
      </c>
      <c r="G23" s="99"/>
      <c r="H23" s="98">
        <f>SUM(H6:H22)</f>
        <v>8753630.6400000006</v>
      </c>
      <c r="I23" s="98">
        <f>SUM(I6:I22)</f>
        <v>8753630.6400000006</v>
      </c>
      <c r="J23" s="98">
        <f>SUM(J6:J22)</f>
        <v>8753630.6400000006</v>
      </c>
      <c r="K23" s="98">
        <f>SUM(K6:K22)</f>
        <v>8753630.6400000006</v>
      </c>
      <c r="L23" s="98">
        <f>SUM(L6:L22)</f>
        <v>8753630.6400000006</v>
      </c>
      <c r="M23" s="99"/>
      <c r="N23" s="98">
        <f>SUM(N6:N22)</f>
        <v>8753630.6400000006</v>
      </c>
      <c r="O23" s="98">
        <f>SUM(O6:O22)</f>
        <v>8753630.6400000006</v>
      </c>
      <c r="P23" s="98">
        <f>SUM(P6:P22)</f>
        <v>8753630.6400000006</v>
      </c>
      <c r="Q23" s="98">
        <f>SUM(Q6:Q22)</f>
        <v>8753630.6400000006</v>
      </c>
      <c r="R23" s="98">
        <f>SUM(R6:R22)</f>
        <v>8753630.6400000006</v>
      </c>
      <c r="S23" s="99"/>
      <c r="T23" s="98">
        <f>SUM(T6:T22)</f>
        <v>8753630.6400000006</v>
      </c>
      <c r="U23" s="98">
        <f>SUM(U6:U22)</f>
        <v>8753630.6400000006</v>
      </c>
      <c r="V23" s="98">
        <f>SUM(V6:V22)</f>
        <v>8753630.6400000006</v>
      </c>
      <c r="W23" s="98">
        <f>SUM(W6:W22)</f>
        <v>8753630.6400000006</v>
      </c>
      <c r="X23" s="98">
        <f>SUM(X6:X22)</f>
        <v>8753630.6400000006</v>
      </c>
      <c r="Y23" s="99"/>
      <c r="Z23" s="98">
        <f>SUM(Z6:Z22)</f>
        <v>8753630.6400000006</v>
      </c>
      <c r="AA23" s="98">
        <f>SUM(AA6:AA22)</f>
        <v>8753630.6400000006</v>
      </c>
      <c r="AB23" s="98">
        <f>SUM(AB6:AB22)</f>
        <v>8753630.6400000006</v>
      </c>
      <c r="AC23" s="98">
        <f>SUM(AC6:AC22)</f>
        <v>8753630.6400000006</v>
      </c>
      <c r="AD23" s="98">
        <f>SUM(AD6:AD22)</f>
        <v>8753630.6400000006</v>
      </c>
      <c r="AE23" s="99"/>
      <c r="AF23" s="98">
        <f>SUM(AF6:AF22)</f>
        <v>8753630.6400000006</v>
      </c>
      <c r="AG23" s="98">
        <f>SUM(AG6:AG22)</f>
        <v>8753630.6400000006</v>
      </c>
      <c r="AH23" s="98">
        <f>SUM(AH6)</f>
        <v>50697.25</v>
      </c>
      <c r="AI23" s="98">
        <f t="shared" ref="AI23:BM23" si="18">SUM(AI6:AI22)</f>
        <v>50697.25</v>
      </c>
      <c r="AJ23" s="98">
        <f t="shared" si="18"/>
        <v>50697.25</v>
      </c>
      <c r="AK23" s="98">
        <f t="shared" si="18"/>
        <v>52035.770000000004</v>
      </c>
      <c r="AL23" s="98">
        <f t="shared" si="18"/>
        <v>52035.770000000004</v>
      </c>
      <c r="AM23" s="98">
        <f t="shared" si="18"/>
        <v>50765.04</v>
      </c>
      <c r="AN23" s="98">
        <f t="shared" si="18"/>
        <v>47996.689999999995</v>
      </c>
      <c r="AO23" s="98">
        <f t="shared" si="18"/>
        <v>47225.67</v>
      </c>
      <c r="AP23" s="98">
        <f t="shared" si="18"/>
        <v>47225.67</v>
      </c>
      <c r="AQ23" s="98">
        <f t="shared" si="18"/>
        <v>47225.67</v>
      </c>
      <c r="AR23" s="98">
        <f t="shared" si="18"/>
        <v>46960.689999999995</v>
      </c>
      <c r="AS23" s="98">
        <f t="shared" si="18"/>
        <v>48300.779999999992</v>
      </c>
      <c r="AT23" s="98">
        <f t="shared" si="18"/>
        <v>45453.509999999995</v>
      </c>
      <c r="AU23" s="98">
        <f t="shared" si="18"/>
        <v>44168.119999999995</v>
      </c>
      <c r="AV23" s="98">
        <f t="shared" si="18"/>
        <v>45588.619999999995</v>
      </c>
      <c r="AW23" s="98">
        <f t="shared" si="18"/>
        <v>45588.619999999995</v>
      </c>
      <c r="AX23" s="98">
        <f t="shared" si="18"/>
        <v>45588.619999999995</v>
      </c>
      <c r="AY23" s="98">
        <f t="shared" si="18"/>
        <v>47698.46</v>
      </c>
      <c r="AZ23" s="98">
        <f t="shared" si="18"/>
        <v>45742.47</v>
      </c>
      <c r="BA23" s="98">
        <f t="shared" si="18"/>
        <v>43299.06</v>
      </c>
      <c r="BB23" s="98">
        <f t="shared" si="18"/>
        <v>45347.69</v>
      </c>
      <c r="BC23" s="98">
        <f t="shared" si="18"/>
        <v>46855.880000000005</v>
      </c>
      <c r="BD23" s="98">
        <f t="shared" si="18"/>
        <v>46855.880000000005</v>
      </c>
      <c r="BE23" s="98">
        <f t="shared" si="18"/>
        <v>46855.880000000005</v>
      </c>
      <c r="BF23" s="98">
        <f t="shared" si="18"/>
        <v>48835.45</v>
      </c>
      <c r="BG23" s="98">
        <f t="shared" si="18"/>
        <v>48975.210000000006</v>
      </c>
      <c r="BH23" s="98">
        <f t="shared" si="18"/>
        <v>50198.5</v>
      </c>
      <c r="BI23" s="98">
        <f t="shared" si="18"/>
        <v>50198.5</v>
      </c>
      <c r="BJ23" s="98">
        <f t="shared" si="18"/>
        <v>50198.5</v>
      </c>
      <c r="BK23" s="98">
        <f t="shared" si="18"/>
        <v>50198.5</v>
      </c>
      <c r="BL23" s="98">
        <f t="shared" si="18"/>
        <v>50198.5</v>
      </c>
      <c r="BM23" s="98">
        <f t="shared" si="18"/>
        <v>50198.5</v>
      </c>
    </row>
    <row r="24" spans="1:65" s="208" customFormat="1" ht="13.5" customHeight="1" thickTop="1">
      <c r="A24" s="207"/>
      <c r="B24" s="207"/>
      <c r="C24" s="207"/>
      <c r="D24" s="207"/>
      <c r="E24" s="207"/>
      <c r="F24" s="207"/>
      <c r="G24" s="210"/>
      <c r="H24" s="207"/>
      <c r="I24" s="207"/>
      <c r="J24" s="207"/>
      <c r="K24" s="207"/>
      <c r="L24" s="207"/>
      <c r="M24" s="210"/>
      <c r="N24" s="207"/>
      <c r="O24" s="207"/>
      <c r="P24" s="207"/>
      <c r="Q24" s="207"/>
      <c r="R24" s="207"/>
      <c r="S24" s="210"/>
      <c r="T24" s="207"/>
      <c r="U24" s="207"/>
      <c r="V24" s="207"/>
      <c r="W24" s="207"/>
      <c r="X24" s="207"/>
      <c r="Y24" s="210"/>
      <c r="Z24" s="207"/>
      <c r="AA24" s="207"/>
      <c r="AB24" s="207"/>
      <c r="AC24" s="207"/>
      <c r="AD24" s="207"/>
      <c r="AE24" s="210"/>
      <c r="AF24" s="207"/>
      <c r="AG24" s="207"/>
      <c r="AH24" s="207"/>
      <c r="AI24" s="207"/>
      <c r="AJ24" s="207"/>
      <c r="AK24" s="207"/>
      <c r="AL24" s="207"/>
      <c r="AM24" s="207"/>
      <c r="AO24" s="283"/>
      <c r="AP24" s="283"/>
      <c r="AV24" s="283"/>
      <c r="AW24" s="283"/>
      <c r="BC24" s="283"/>
      <c r="BD24" s="283"/>
      <c r="BJ24" s="283"/>
      <c r="BK24" s="283"/>
    </row>
    <row r="25" spans="1:65" s="208" customFormat="1" ht="13.5" customHeight="1">
      <c r="A25" s="209"/>
      <c r="B25" s="209"/>
      <c r="C25" s="209"/>
      <c r="D25" s="209"/>
      <c r="E25" s="209"/>
      <c r="F25" s="209"/>
      <c r="G25" s="210"/>
      <c r="H25" s="209"/>
      <c r="I25" s="209"/>
      <c r="J25" s="209"/>
      <c r="K25" s="209"/>
      <c r="L25" s="209"/>
      <c r="M25" s="210"/>
      <c r="N25" s="209"/>
      <c r="O25" s="209"/>
      <c r="P25" s="209"/>
      <c r="Q25" s="209"/>
      <c r="R25" s="209"/>
      <c r="S25" s="210"/>
      <c r="T25" s="209"/>
      <c r="U25" s="209"/>
      <c r="V25" s="209"/>
      <c r="W25" s="209"/>
      <c r="X25" s="209"/>
      <c r="Y25" s="210"/>
      <c r="Z25" s="209"/>
      <c r="AA25" s="209"/>
      <c r="AB25" s="209"/>
      <c r="AC25" s="209"/>
      <c r="AD25" s="209"/>
      <c r="AE25" s="210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09"/>
      <c r="AV25" s="209"/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09"/>
      <c r="BK25" s="209"/>
      <c r="BL25" s="209"/>
      <c r="BM25" s="209"/>
    </row>
    <row r="26" spans="1:65" s="208" customFormat="1" ht="19.5">
      <c r="A26" s="5" t="s">
        <v>1018</v>
      </c>
      <c r="B26" s="209"/>
      <c r="C26" s="209"/>
      <c r="D26" s="209"/>
      <c r="E26" s="209"/>
      <c r="F26" s="209"/>
      <c r="G26" s="210"/>
      <c r="H26" s="209"/>
      <c r="I26" s="209"/>
      <c r="J26" s="209"/>
      <c r="K26" s="209"/>
      <c r="L26" s="209"/>
      <c r="M26" s="210"/>
      <c r="N26" s="209"/>
      <c r="O26" s="209"/>
      <c r="P26" s="209"/>
      <c r="Q26" s="209"/>
      <c r="R26" s="209"/>
      <c r="S26" s="210"/>
      <c r="T26" s="209"/>
      <c r="U26" s="209"/>
      <c r="V26" s="209"/>
      <c r="W26" s="209"/>
      <c r="X26" s="209"/>
      <c r="Y26" s="210"/>
      <c r="Z26" s="209"/>
      <c r="AA26" s="209"/>
      <c r="AB26" s="209"/>
      <c r="AC26" s="209"/>
      <c r="AD26" s="209"/>
      <c r="AE26" s="210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G26" s="209"/>
      <c r="BH26" s="209"/>
      <c r="BI26" s="209"/>
      <c r="BJ26" s="209"/>
      <c r="BK26" s="209"/>
      <c r="BL26" s="209"/>
      <c r="BM26" s="209"/>
    </row>
    <row r="27" spans="1:65" s="208" customFormat="1" ht="19.5">
      <c r="A27" s="5" t="s">
        <v>1028</v>
      </c>
      <c r="B27" s="209"/>
      <c r="C27" s="209"/>
      <c r="D27" s="209"/>
      <c r="E27" s="209"/>
      <c r="F27" s="209"/>
      <c r="G27" s="210"/>
      <c r="H27" s="209"/>
      <c r="I27" s="209"/>
      <c r="J27" s="209"/>
      <c r="K27" s="209"/>
      <c r="L27" s="209"/>
      <c r="M27" s="210"/>
      <c r="N27" s="209"/>
      <c r="O27" s="209"/>
      <c r="P27" s="209"/>
      <c r="Q27" s="209"/>
      <c r="R27" s="209"/>
      <c r="S27" s="210"/>
      <c r="T27" s="209"/>
      <c r="U27" s="209"/>
      <c r="V27" s="209"/>
      <c r="W27" s="209"/>
      <c r="X27" s="209"/>
      <c r="Y27" s="210"/>
      <c r="Z27" s="209"/>
      <c r="AA27" s="209"/>
      <c r="AB27" s="209"/>
      <c r="AC27" s="209"/>
      <c r="AD27" s="209"/>
      <c r="AE27" s="210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09"/>
      <c r="AR27" s="209"/>
      <c r="AS27" s="209"/>
      <c r="AT27" s="209"/>
      <c r="AU27" s="209"/>
      <c r="AV27" s="209"/>
      <c r="AW27" s="209"/>
      <c r="AX27" s="209"/>
      <c r="AY27" s="209"/>
      <c r="AZ27" s="209"/>
      <c r="BA27" s="209"/>
      <c r="BB27" s="209"/>
      <c r="BC27" s="209"/>
      <c r="BD27" s="209"/>
      <c r="BE27" s="209"/>
      <c r="BF27" s="209"/>
      <c r="BG27" s="209"/>
      <c r="BH27" s="209"/>
      <c r="BI27" s="209"/>
      <c r="BJ27" s="209"/>
      <c r="BK27" s="209"/>
      <c r="BL27" s="209"/>
      <c r="BM27" s="209"/>
    </row>
    <row r="28" spans="1:65" s="208" customFormat="1" ht="13.5" customHeight="1">
      <c r="A28" s="209"/>
      <c r="B28" s="209"/>
      <c r="C28" s="209"/>
      <c r="D28" s="209"/>
      <c r="E28" s="209"/>
      <c r="F28" s="209"/>
      <c r="G28" s="210"/>
      <c r="H28" s="209"/>
      <c r="I28" s="209"/>
      <c r="J28" s="209"/>
      <c r="K28" s="209"/>
      <c r="L28" s="209"/>
      <c r="M28" s="210"/>
      <c r="N28" s="209"/>
      <c r="O28" s="209"/>
      <c r="P28" s="209"/>
      <c r="Q28" s="209"/>
      <c r="R28" s="209"/>
      <c r="S28" s="210"/>
      <c r="T28" s="209"/>
      <c r="U28" s="209"/>
      <c r="V28" s="209"/>
      <c r="W28" s="209"/>
      <c r="X28" s="209"/>
      <c r="Y28" s="210"/>
      <c r="Z28" s="209"/>
      <c r="AA28" s="209"/>
      <c r="AB28" s="209"/>
      <c r="AC28" s="209"/>
      <c r="AD28" s="209"/>
      <c r="AE28" s="210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09"/>
      <c r="BC28" s="209"/>
      <c r="BD28" s="209"/>
      <c r="BE28" s="209"/>
      <c r="BF28" s="209"/>
      <c r="BG28" s="209"/>
      <c r="BH28" s="209"/>
      <c r="BI28" s="209"/>
      <c r="BJ28" s="209"/>
      <c r="BK28" s="209"/>
      <c r="BL28" s="209"/>
      <c r="BM28" s="209"/>
    </row>
    <row r="29" spans="1:65" ht="12.75" customHeight="1">
      <c r="A29" s="82"/>
      <c r="B29" s="83">
        <f t="shared" ref="B29:F29" si="19">+B30</f>
        <v>41813</v>
      </c>
      <c r="C29" s="83">
        <f t="shared" si="19"/>
        <v>41814</v>
      </c>
      <c r="D29" s="83">
        <f t="shared" si="19"/>
        <v>41815</v>
      </c>
      <c r="E29" s="83">
        <f t="shared" si="19"/>
        <v>41816</v>
      </c>
      <c r="F29" s="83">
        <f t="shared" si="19"/>
        <v>41817</v>
      </c>
      <c r="G29" s="84"/>
      <c r="H29" s="83">
        <f t="shared" ref="H29:L29" si="20">+H30</f>
        <v>41820</v>
      </c>
      <c r="I29" s="83">
        <f t="shared" si="20"/>
        <v>41821</v>
      </c>
      <c r="J29" s="83">
        <f t="shared" si="20"/>
        <v>41822</v>
      </c>
      <c r="K29" s="83">
        <f t="shared" si="20"/>
        <v>41823</v>
      </c>
      <c r="L29" s="83">
        <f t="shared" si="20"/>
        <v>41824</v>
      </c>
      <c r="M29" s="84"/>
      <c r="N29" s="83">
        <f t="shared" ref="N29:R29" si="21">+N30</f>
        <v>41827</v>
      </c>
      <c r="O29" s="83">
        <f t="shared" si="21"/>
        <v>41828</v>
      </c>
      <c r="P29" s="83">
        <f t="shared" si="21"/>
        <v>41829</v>
      </c>
      <c r="Q29" s="83">
        <f t="shared" si="21"/>
        <v>41830</v>
      </c>
      <c r="R29" s="83">
        <f t="shared" si="21"/>
        <v>41831</v>
      </c>
      <c r="S29" s="84"/>
      <c r="T29" s="83">
        <f t="shared" ref="T29:X29" si="22">+T30</f>
        <v>41834</v>
      </c>
      <c r="U29" s="83">
        <f t="shared" si="22"/>
        <v>41835</v>
      </c>
      <c r="V29" s="83">
        <f t="shared" si="22"/>
        <v>41836</v>
      </c>
      <c r="W29" s="83">
        <f t="shared" si="22"/>
        <v>41837</v>
      </c>
      <c r="X29" s="83">
        <f t="shared" si="22"/>
        <v>41838</v>
      </c>
      <c r="Y29" s="84"/>
      <c r="Z29" s="83">
        <f t="shared" ref="Z29:AD29" si="23">+Z30</f>
        <v>41841</v>
      </c>
      <c r="AA29" s="83">
        <f t="shared" si="23"/>
        <v>41842</v>
      </c>
      <c r="AB29" s="83">
        <f t="shared" si="23"/>
        <v>41843</v>
      </c>
      <c r="AC29" s="83">
        <f t="shared" si="23"/>
        <v>41844</v>
      </c>
      <c r="AD29" s="83">
        <f t="shared" si="23"/>
        <v>41845</v>
      </c>
      <c r="AE29" s="84"/>
      <c r="AF29" s="83">
        <f t="shared" ref="AF29:AG29" si="24">+AF30</f>
        <v>41848</v>
      </c>
      <c r="AG29" s="83">
        <f t="shared" si="24"/>
        <v>41849</v>
      </c>
      <c r="AH29" s="83" t="s">
        <v>181</v>
      </c>
      <c r="AI29" s="273" t="s">
        <v>1010</v>
      </c>
      <c r="AJ29" s="273" t="s">
        <v>176</v>
      </c>
      <c r="AK29" s="273" t="s">
        <v>177</v>
      </c>
      <c r="AL29" s="273" t="s">
        <v>1020</v>
      </c>
      <c r="AM29" s="273" t="s">
        <v>173</v>
      </c>
      <c r="AN29" s="273" t="s">
        <v>174</v>
      </c>
      <c r="AO29" s="273" t="s">
        <v>175</v>
      </c>
      <c r="AP29" s="273" t="s">
        <v>1010</v>
      </c>
      <c r="AQ29" s="273" t="s">
        <v>176</v>
      </c>
      <c r="AR29" s="273" t="s">
        <v>177</v>
      </c>
      <c r="AS29" s="273" t="s">
        <v>1020</v>
      </c>
      <c r="AT29" s="273" t="s">
        <v>173</v>
      </c>
      <c r="AU29" s="273" t="s">
        <v>174</v>
      </c>
      <c r="AV29" s="273" t="s">
        <v>175</v>
      </c>
      <c r="AW29" s="273" t="s">
        <v>1010</v>
      </c>
      <c r="AX29" s="273" t="s">
        <v>176</v>
      </c>
      <c r="AY29" s="273" t="s">
        <v>177</v>
      </c>
      <c r="AZ29" s="273" t="s">
        <v>1020</v>
      </c>
      <c r="BA29" s="273" t="s">
        <v>173</v>
      </c>
      <c r="BB29" s="273" t="s">
        <v>174</v>
      </c>
      <c r="BC29" s="273" t="s">
        <v>175</v>
      </c>
      <c r="BD29" s="273" t="s">
        <v>1010</v>
      </c>
      <c r="BE29" s="273" t="s">
        <v>176</v>
      </c>
      <c r="BF29" s="273" t="s">
        <v>177</v>
      </c>
      <c r="BG29" s="273" t="s">
        <v>1020</v>
      </c>
      <c r="BH29" s="273" t="s">
        <v>173</v>
      </c>
      <c r="BI29" s="273" t="s">
        <v>174</v>
      </c>
      <c r="BJ29" s="273" t="s">
        <v>175</v>
      </c>
      <c r="BK29" s="273" t="s">
        <v>1010</v>
      </c>
      <c r="BL29" s="273" t="s">
        <v>176</v>
      </c>
      <c r="BM29" s="273" t="s">
        <v>177</v>
      </c>
    </row>
    <row r="30" spans="1:65" ht="12.75" customHeight="1">
      <c r="A30" s="85" t="s">
        <v>182</v>
      </c>
      <c r="B30" s="85">
        <v>41813</v>
      </c>
      <c r="C30" s="85">
        <f t="shared" ref="C30:F30" si="25">+B30+1</f>
        <v>41814</v>
      </c>
      <c r="D30" s="85">
        <f t="shared" si="25"/>
        <v>41815</v>
      </c>
      <c r="E30" s="85">
        <f t="shared" si="25"/>
        <v>41816</v>
      </c>
      <c r="F30" s="85">
        <f t="shared" si="25"/>
        <v>41817</v>
      </c>
      <c r="G30" s="85" t="s">
        <v>183</v>
      </c>
      <c r="H30" s="85">
        <v>41820</v>
      </c>
      <c r="I30" s="85">
        <f t="shared" ref="I30:L30" si="26">+H30+1</f>
        <v>41821</v>
      </c>
      <c r="J30" s="85">
        <f t="shared" si="26"/>
        <v>41822</v>
      </c>
      <c r="K30" s="85">
        <f t="shared" si="26"/>
        <v>41823</v>
      </c>
      <c r="L30" s="85">
        <f t="shared" si="26"/>
        <v>41824</v>
      </c>
      <c r="M30" s="85" t="s">
        <v>183</v>
      </c>
      <c r="N30" s="85">
        <v>41827</v>
      </c>
      <c r="O30" s="85">
        <f t="shared" ref="O30:R30" si="27">+N30+1</f>
        <v>41828</v>
      </c>
      <c r="P30" s="85">
        <f t="shared" si="27"/>
        <v>41829</v>
      </c>
      <c r="Q30" s="85">
        <f t="shared" si="27"/>
        <v>41830</v>
      </c>
      <c r="R30" s="85">
        <f t="shared" si="27"/>
        <v>41831</v>
      </c>
      <c r="S30" s="85" t="s">
        <v>183</v>
      </c>
      <c r="T30" s="85">
        <v>41834</v>
      </c>
      <c r="U30" s="85">
        <f t="shared" ref="U30:X30" si="28">+T30+1</f>
        <v>41835</v>
      </c>
      <c r="V30" s="85">
        <f t="shared" si="28"/>
        <v>41836</v>
      </c>
      <c r="W30" s="85">
        <f t="shared" si="28"/>
        <v>41837</v>
      </c>
      <c r="X30" s="85">
        <f t="shared" si="28"/>
        <v>41838</v>
      </c>
      <c r="Y30" s="85" t="s">
        <v>183</v>
      </c>
      <c r="Z30" s="85">
        <v>41841</v>
      </c>
      <c r="AA30" s="85">
        <f t="shared" ref="AA30:AD30" si="29">+Z30+1</f>
        <v>41842</v>
      </c>
      <c r="AB30" s="85">
        <f t="shared" si="29"/>
        <v>41843</v>
      </c>
      <c r="AC30" s="85">
        <f t="shared" si="29"/>
        <v>41844</v>
      </c>
      <c r="AD30" s="85">
        <f t="shared" si="29"/>
        <v>41845</v>
      </c>
      <c r="AE30" s="85" t="s">
        <v>183</v>
      </c>
      <c r="AF30" s="85">
        <f>+AD30+3</f>
        <v>41848</v>
      </c>
      <c r="AG30" s="85">
        <f>+AF30+1</f>
        <v>41849</v>
      </c>
      <c r="AH30" s="85"/>
      <c r="AI30" s="85">
        <v>42948</v>
      </c>
      <c r="AJ30" s="85">
        <f>AI30+1</f>
        <v>42949</v>
      </c>
      <c r="AK30" s="85">
        <f t="shared" ref="AK30:BF30" si="30">AJ30+1</f>
        <v>42950</v>
      </c>
      <c r="AL30" s="85">
        <f t="shared" si="30"/>
        <v>42951</v>
      </c>
      <c r="AM30" s="85">
        <f t="shared" si="30"/>
        <v>42952</v>
      </c>
      <c r="AN30" s="85">
        <f t="shared" si="30"/>
        <v>42953</v>
      </c>
      <c r="AO30" s="85">
        <f t="shared" si="30"/>
        <v>42954</v>
      </c>
      <c r="AP30" s="85">
        <f t="shared" si="30"/>
        <v>42955</v>
      </c>
      <c r="AQ30" s="85">
        <f t="shared" si="30"/>
        <v>42956</v>
      </c>
      <c r="AR30" s="85">
        <f t="shared" si="30"/>
        <v>42957</v>
      </c>
      <c r="AS30" s="85">
        <f t="shared" si="30"/>
        <v>42958</v>
      </c>
      <c r="AT30" s="85">
        <f t="shared" si="30"/>
        <v>42959</v>
      </c>
      <c r="AU30" s="85">
        <f t="shared" si="30"/>
        <v>42960</v>
      </c>
      <c r="AV30" s="85">
        <f t="shared" si="30"/>
        <v>42961</v>
      </c>
      <c r="AW30" s="85">
        <f t="shared" si="30"/>
        <v>42962</v>
      </c>
      <c r="AX30" s="85">
        <f t="shared" si="30"/>
        <v>42963</v>
      </c>
      <c r="AY30" s="85">
        <f t="shared" si="30"/>
        <v>42964</v>
      </c>
      <c r="AZ30" s="85">
        <f t="shared" si="30"/>
        <v>42965</v>
      </c>
      <c r="BA30" s="85">
        <f t="shared" si="30"/>
        <v>42966</v>
      </c>
      <c r="BB30" s="85">
        <f t="shared" si="30"/>
        <v>42967</v>
      </c>
      <c r="BC30" s="85">
        <f t="shared" si="30"/>
        <v>42968</v>
      </c>
      <c r="BD30" s="85">
        <f t="shared" si="30"/>
        <v>42969</v>
      </c>
      <c r="BE30" s="85">
        <f t="shared" si="30"/>
        <v>42970</v>
      </c>
      <c r="BF30" s="85">
        <f t="shared" si="30"/>
        <v>42971</v>
      </c>
      <c r="BG30" s="85">
        <f>BF30+1</f>
        <v>42972</v>
      </c>
      <c r="BH30" s="85">
        <f t="shared" ref="BH30:BK30" si="31">BG30+1</f>
        <v>42973</v>
      </c>
      <c r="BI30" s="85">
        <f t="shared" si="31"/>
        <v>42974</v>
      </c>
      <c r="BJ30" s="85">
        <f t="shared" si="31"/>
        <v>42975</v>
      </c>
      <c r="BK30" s="85">
        <f t="shared" si="31"/>
        <v>42976</v>
      </c>
      <c r="BL30" s="85">
        <f>BK30+1</f>
        <v>42977</v>
      </c>
      <c r="BM30" s="85">
        <f>BL30+1</f>
        <v>42978</v>
      </c>
    </row>
    <row r="31" spans="1:65" ht="12.75" customHeight="1">
      <c r="A31" s="86" t="s">
        <v>184</v>
      </c>
      <c r="B31" s="86">
        <v>1051689.24</v>
      </c>
      <c r="C31" s="86">
        <v>1596892.23</v>
      </c>
      <c r="D31" s="86">
        <v>1336078.1400000001</v>
      </c>
      <c r="E31" s="86">
        <v>864897.47000000067</v>
      </c>
      <c r="F31" s="86">
        <v>8753630.6400000006</v>
      </c>
      <c r="G31" s="87"/>
      <c r="H31" s="86">
        <f>+F48</f>
        <v>8753630.6400000006</v>
      </c>
      <c r="I31" s="86">
        <f t="shared" ref="I31:L31" si="32">+H48</f>
        <v>8753630.6400000006</v>
      </c>
      <c r="J31" s="86">
        <f t="shared" si="32"/>
        <v>8753630.6400000006</v>
      </c>
      <c r="K31" s="86">
        <f t="shared" si="32"/>
        <v>8753630.6400000006</v>
      </c>
      <c r="L31" s="86">
        <f t="shared" si="32"/>
        <v>8753630.6400000006</v>
      </c>
      <c r="M31" s="87"/>
      <c r="N31" s="86">
        <f>+L48</f>
        <v>8753630.6400000006</v>
      </c>
      <c r="O31" s="86">
        <f t="shared" ref="O31:R31" si="33">+N48</f>
        <v>8753630.6400000006</v>
      </c>
      <c r="P31" s="86">
        <f t="shared" si="33"/>
        <v>8753630.6400000006</v>
      </c>
      <c r="Q31" s="86">
        <f t="shared" si="33"/>
        <v>8753630.6400000006</v>
      </c>
      <c r="R31" s="86">
        <f t="shared" si="33"/>
        <v>8753630.6400000006</v>
      </c>
      <c r="S31" s="87"/>
      <c r="T31" s="86">
        <f>+R48</f>
        <v>8753630.6400000006</v>
      </c>
      <c r="U31" s="86">
        <f t="shared" ref="U31:X31" si="34">+T48</f>
        <v>8753630.6400000006</v>
      </c>
      <c r="V31" s="86">
        <f t="shared" si="34"/>
        <v>8753630.6400000006</v>
      </c>
      <c r="W31" s="86">
        <f t="shared" si="34"/>
        <v>8753630.6400000006</v>
      </c>
      <c r="X31" s="86">
        <f t="shared" si="34"/>
        <v>8753630.6400000006</v>
      </c>
      <c r="Y31" s="87"/>
      <c r="Z31" s="86">
        <f>+X48</f>
        <v>8753630.6400000006</v>
      </c>
      <c r="AA31" s="86">
        <f t="shared" ref="AA31:AD31" si="35">+Z48</f>
        <v>8753630.6400000006</v>
      </c>
      <c r="AB31" s="86">
        <f t="shared" si="35"/>
        <v>8753630.6400000006</v>
      </c>
      <c r="AC31" s="86">
        <f t="shared" si="35"/>
        <v>8753630.6400000006</v>
      </c>
      <c r="AD31" s="86">
        <f t="shared" si="35"/>
        <v>8753630.6400000006</v>
      </c>
      <c r="AE31" s="87"/>
      <c r="AF31" s="86">
        <f>+AD48</f>
        <v>8753630.6400000006</v>
      </c>
      <c r="AG31" s="86">
        <f>+AF48</f>
        <v>8753630.6400000006</v>
      </c>
      <c r="AH31" s="206">
        <f>BM23</f>
        <v>50198.5</v>
      </c>
      <c r="AI31" s="206">
        <f>AH48</f>
        <v>50198.5</v>
      </c>
      <c r="AJ31" s="206">
        <f t="shared" ref="AJ31:BM31" si="36">AI48</f>
        <v>50198.5</v>
      </c>
      <c r="AK31" s="206">
        <f t="shared" si="36"/>
        <v>48921.41635</v>
      </c>
      <c r="AL31" s="206">
        <f t="shared" si="36"/>
        <v>46139.224600000001</v>
      </c>
      <c r="AM31" s="206">
        <f t="shared" si="36"/>
        <v>45364.349500000004</v>
      </c>
      <c r="AN31" s="206">
        <f t="shared" si="36"/>
        <v>45364.349500000004</v>
      </c>
      <c r="AO31" s="206">
        <f t="shared" si="36"/>
        <v>45364.349500000004</v>
      </c>
      <c r="AP31" s="206">
        <f t="shared" si="36"/>
        <v>45098.044600000008</v>
      </c>
      <c r="AQ31" s="206">
        <f t="shared" si="36"/>
        <v>46444.835050000009</v>
      </c>
      <c r="AR31" s="206">
        <f t="shared" si="36"/>
        <v>43583.328700000005</v>
      </c>
      <c r="AS31" s="206">
        <f t="shared" si="36"/>
        <v>42291.511750000005</v>
      </c>
      <c r="AT31" s="206">
        <f t="shared" si="36"/>
        <v>43719.114250000006</v>
      </c>
      <c r="AU31" s="206">
        <f t="shared" si="36"/>
        <v>43719.114250000006</v>
      </c>
      <c r="AV31" s="206">
        <f t="shared" si="36"/>
        <v>43719.114250000006</v>
      </c>
      <c r="AW31" s="206">
        <f t="shared" si="36"/>
        <v>45839.503450000004</v>
      </c>
      <c r="AX31" s="206">
        <f t="shared" si="36"/>
        <v>43873.733500000002</v>
      </c>
      <c r="AY31" s="206">
        <f t="shared" si="36"/>
        <v>41418.106449999999</v>
      </c>
      <c r="AZ31" s="206">
        <f t="shared" si="36"/>
        <v>43476.979599999999</v>
      </c>
      <c r="BA31" s="206">
        <f t="shared" si="36"/>
        <v>44992.710549999996</v>
      </c>
      <c r="BB31" s="206">
        <f t="shared" si="36"/>
        <v>44992.710549999996</v>
      </c>
      <c r="BC31" s="206">
        <f t="shared" si="36"/>
        <v>44992.710549999996</v>
      </c>
      <c r="BD31" s="206">
        <f t="shared" si="36"/>
        <v>46982.178399999997</v>
      </c>
      <c r="BE31" s="206">
        <f t="shared" si="36"/>
        <v>47122.637199999997</v>
      </c>
      <c r="BF31" s="206">
        <f t="shared" si="36"/>
        <v>48352.04365</v>
      </c>
      <c r="BG31" s="206">
        <f t="shared" si="36"/>
        <v>48352.04365</v>
      </c>
      <c r="BH31" s="206">
        <f t="shared" si="36"/>
        <v>48352.04365</v>
      </c>
      <c r="BI31" s="206">
        <f t="shared" si="36"/>
        <v>48352.04365</v>
      </c>
      <c r="BJ31" s="206">
        <f t="shared" si="36"/>
        <v>48352.04365</v>
      </c>
      <c r="BK31" s="206">
        <f t="shared" si="36"/>
        <v>49697.256249999999</v>
      </c>
      <c r="BL31" s="206">
        <f t="shared" si="36"/>
        <v>49697.256249999999</v>
      </c>
      <c r="BM31" s="206">
        <f t="shared" si="36"/>
        <v>49697.256249999999</v>
      </c>
    </row>
    <row r="32" spans="1:65" s="277" customFormat="1" ht="12.75" customHeight="1">
      <c r="A32" s="274" t="s">
        <v>1021</v>
      </c>
      <c r="B32" s="274"/>
      <c r="C32" s="274"/>
      <c r="D32" s="274"/>
      <c r="E32" s="274"/>
      <c r="F32" s="274"/>
      <c r="G32" s="275"/>
      <c r="H32" s="274"/>
      <c r="I32" s="274"/>
      <c r="J32" s="274"/>
      <c r="K32" s="274"/>
      <c r="L32" s="274"/>
      <c r="M32" s="275"/>
      <c r="N32" s="274"/>
      <c r="O32" s="274"/>
      <c r="P32" s="274"/>
      <c r="Q32" s="274"/>
      <c r="R32" s="274"/>
      <c r="S32" s="275"/>
      <c r="T32" s="274"/>
      <c r="U32" s="274"/>
      <c r="V32" s="274"/>
      <c r="W32" s="274"/>
      <c r="X32" s="274"/>
      <c r="Y32" s="275"/>
      <c r="Z32" s="274"/>
      <c r="AA32" s="274"/>
      <c r="AB32" s="274"/>
      <c r="AC32" s="274"/>
      <c r="AD32" s="274"/>
      <c r="AE32" s="275"/>
      <c r="AF32" s="274"/>
      <c r="AG32" s="274"/>
      <c r="AH32" s="284"/>
      <c r="AI32" s="284"/>
      <c r="AJ32" s="284"/>
      <c r="AK32" s="284"/>
      <c r="AL32" s="284"/>
      <c r="AM32" s="285"/>
      <c r="AN32" s="276"/>
      <c r="AO32" s="278"/>
      <c r="AP32" s="284"/>
      <c r="AQ32" s="284"/>
      <c r="AR32" s="278"/>
      <c r="AS32" s="278"/>
      <c r="AT32" s="285"/>
      <c r="AU32" s="276"/>
      <c r="AV32" s="278"/>
      <c r="AW32" s="284"/>
      <c r="AX32" s="284"/>
      <c r="AY32" s="278"/>
      <c r="AZ32" s="278"/>
      <c r="BA32" s="285"/>
      <c r="BB32" s="276"/>
      <c r="BC32" s="279"/>
      <c r="BD32" s="279"/>
      <c r="BE32" s="279"/>
      <c r="BF32" s="278"/>
      <c r="BG32" s="278"/>
      <c r="BH32" s="285"/>
      <c r="BI32" s="276"/>
      <c r="BJ32" s="279"/>
      <c r="BK32" s="279"/>
      <c r="BL32" s="279"/>
      <c r="BM32" s="278"/>
    </row>
    <row r="33" spans="1:67" ht="12.75" customHeight="1">
      <c r="A33" s="88" t="s">
        <v>971</v>
      </c>
      <c r="B33" s="86"/>
      <c r="C33" s="86"/>
      <c r="D33" s="86"/>
      <c r="E33" s="86"/>
      <c r="F33" s="86"/>
      <c r="G33" s="87"/>
      <c r="H33" s="86"/>
      <c r="I33" s="86"/>
      <c r="J33" s="86"/>
      <c r="K33" s="86"/>
      <c r="L33" s="86"/>
      <c r="M33" s="87"/>
      <c r="N33" s="86"/>
      <c r="O33" s="86"/>
      <c r="P33" s="86"/>
      <c r="Q33" s="86"/>
      <c r="R33" s="86"/>
      <c r="S33" s="87"/>
      <c r="T33" s="86"/>
      <c r="U33" s="86"/>
      <c r="V33" s="86"/>
      <c r="W33" s="86"/>
      <c r="X33" s="86"/>
      <c r="Y33" s="87"/>
      <c r="Z33" s="86"/>
      <c r="AA33" s="86"/>
      <c r="AB33" s="86"/>
      <c r="AC33" s="86"/>
      <c r="AD33" s="86"/>
      <c r="AE33" s="87"/>
      <c r="AF33" s="86"/>
      <c r="AG33" s="86"/>
      <c r="AH33" s="206"/>
      <c r="AI33" s="206"/>
      <c r="AJ33" s="286">
        <v>0</v>
      </c>
      <c r="AK33" s="286">
        <f>AN8*1.005</f>
        <v>-539.12220000000002</v>
      </c>
      <c r="AL33" s="286">
        <f>AO8*1.005</f>
        <v>0</v>
      </c>
      <c r="AM33" s="202"/>
      <c r="AN33" s="201"/>
      <c r="AO33" s="286">
        <f>AR8*1.005</f>
        <v>0</v>
      </c>
      <c r="AP33" s="286">
        <f>AS8*1.005</f>
        <v>0</v>
      </c>
      <c r="AQ33" s="286">
        <f>AT8*1.005</f>
        <v>0</v>
      </c>
      <c r="AR33" s="286">
        <f>AU8*1.005</f>
        <v>0</v>
      </c>
      <c r="AS33" s="286">
        <f>AV8*1.005</f>
        <v>0</v>
      </c>
      <c r="AT33" s="202"/>
      <c r="AU33" s="201"/>
      <c r="AV33" s="286">
        <f>AY8*1.005</f>
        <v>0</v>
      </c>
      <c r="AW33" s="286">
        <f>AZ8*1.005</f>
        <v>0</v>
      </c>
      <c r="AX33" s="286">
        <f>BA8*1.005</f>
        <v>0</v>
      </c>
      <c r="AY33" s="286">
        <f>BB8*1.005</f>
        <v>0</v>
      </c>
      <c r="AZ33" s="286">
        <f>BC8*1.005</f>
        <v>0</v>
      </c>
      <c r="BA33" s="202"/>
      <c r="BB33" s="201"/>
      <c r="BC33" s="286">
        <f>BF8*1.005</f>
        <v>0</v>
      </c>
      <c r="BD33" s="287">
        <f>BG8*1.005</f>
        <v>0</v>
      </c>
      <c r="BE33" s="287">
        <f>BH8*1.005</f>
        <v>0</v>
      </c>
      <c r="BF33" s="286">
        <f>BI8*1.005</f>
        <v>0</v>
      </c>
      <c r="BG33" s="286">
        <f>BJ8*1.005</f>
        <v>0</v>
      </c>
      <c r="BH33" s="202"/>
      <c r="BI33" s="201"/>
      <c r="BJ33" s="286">
        <f>AK8*1.005</f>
        <v>-20.099999999999998</v>
      </c>
      <c r="BK33" s="287">
        <f>AL8*1.005</f>
        <v>0</v>
      </c>
      <c r="BL33" s="287"/>
      <c r="BM33" s="287"/>
    </row>
    <row r="34" spans="1:67" ht="12.75" customHeight="1">
      <c r="A34" s="88" t="s">
        <v>308</v>
      </c>
      <c r="B34" s="86"/>
      <c r="C34" s="86"/>
      <c r="D34" s="86"/>
      <c r="E34" s="86"/>
      <c r="F34" s="86"/>
      <c r="G34" s="87"/>
      <c r="H34" s="86"/>
      <c r="I34" s="86"/>
      <c r="J34" s="86"/>
      <c r="K34" s="86"/>
      <c r="L34" s="86"/>
      <c r="M34" s="87"/>
      <c r="N34" s="86"/>
      <c r="O34" s="86"/>
      <c r="P34" s="86"/>
      <c r="Q34" s="86"/>
      <c r="R34" s="86"/>
      <c r="S34" s="87"/>
      <c r="T34" s="86"/>
      <c r="U34" s="86"/>
      <c r="V34" s="86"/>
      <c r="W34" s="86"/>
      <c r="X34" s="86"/>
      <c r="Y34" s="87"/>
      <c r="Z34" s="86"/>
      <c r="AA34" s="86"/>
      <c r="AB34" s="86"/>
      <c r="AC34" s="86"/>
      <c r="AD34" s="86"/>
      <c r="AE34" s="87"/>
      <c r="AF34" s="86"/>
      <c r="AG34" s="86"/>
      <c r="AH34" s="206"/>
      <c r="AI34" s="206"/>
      <c r="AJ34" s="286">
        <f>AM9*1.005</f>
        <v>-1315.2937499999998</v>
      </c>
      <c r="AK34" s="286">
        <f t="shared" ref="AK34:AL47" si="37">AN9*1.005</f>
        <v>0</v>
      </c>
      <c r="AL34" s="286">
        <f t="shared" si="37"/>
        <v>0</v>
      </c>
      <c r="AM34" s="202"/>
      <c r="AN34" s="201"/>
      <c r="AO34" s="286">
        <f t="shared" ref="AO34:AS47" si="38">AR9*1.005</f>
        <v>-1317.5248499999998</v>
      </c>
      <c r="AP34" s="286">
        <f t="shared" si="38"/>
        <v>0</v>
      </c>
      <c r="AQ34" s="286">
        <f t="shared" si="38"/>
        <v>0</v>
      </c>
      <c r="AR34" s="286">
        <f t="shared" si="38"/>
        <v>0</v>
      </c>
      <c r="AS34" s="286">
        <f t="shared" si="38"/>
        <v>0</v>
      </c>
      <c r="AT34" s="202"/>
      <c r="AU34" s="201"/>
      <c r="AV34" s="286">
        <f t="shared" ref="AV34:AZ47" si="39">AY9*1.005</f>
        <v>-811.23599999999999</v>
      </c>
      <c r="AW34" s="286">
        <f t="shared" si="39"/>
        <v>0</v>
      </c>
      <c r="AX34" s="286">
        <f t="shared" si="39"/>
        <v>-485.41499999999996</v>
      </c>
      <c r="AY34" s="286">
        <f t="shared" si="39"/>
        <v>0</v>
      </c>
      <c r="AZ34" s="286">
        <f t="shared" si="39"/>
        <v>-47.054099999999998</v>
      </c>
      <c r="BA34" s="202"/>
      <c r="BB34" s="201"/>
      <c r="BC34" s="286">
        <f t="shared" ref="BC34:BG47" si="40">BF9*1.005</f>
        <v>-1106.3743499999998</v>
      </c>
      <c r="BD34" s="287">
        <f t="shared" si="40"/>
        <v>0</v>
      </c>
      <c r="BE34" s="287">
        <f t="shared" si="40"/>
        <v>0</v>
      </c>
      <c r="BF34" s="286">
        <f t="shared" si="40"/>
        <v>0</v>
      </c>
      <c r="BG34" s="286">
        <f t="shared" si="40"/>
        <v>0</v>
      </c>
      <c r="BH34" s="202"/>
      <c r="BI34" s="201"/>
      <c r="BJ34" s="286">
        <f t="shared" ref="BJ34:BK47" si="41">AK9*1.005</f>
        <v>-422.35124999999994</v>
      </c>
      <c r="BK34" s="287">
        <f t="shared" si="41"/>
        <v>0</v>
      </c>
      <c r="BL34" s="287"/>
      <c r="BM34" s="287"/>
    </row>
    <row r="35" spans="1:67" ht="12.75" customHeight="1">
      <c r="A35" s="88" t="s">
        <v>307</v>
      </c>
      <c r="B35" s="86"/>
      <c r="C35" s="86"/>
      <c r="D35" s="86"/>
      <c r="E35" s="86"/>
      <c r="F35" s="86"/>
      <c r="G35" s="87"/>
      <c r="H35" s="86"/>
      <c r="I35" s="86"/>
      <c r="J35" s="86"/>
      <c r="K35" s="86"/>
      <c r="L35" s="86"/>
      <c r="M35" s="87"/>
      <c r="N35" s="86"/>
      <c r="O35" s="86"/>
      <c r="P35" s="86"/>
      <c r="Q35" s="86"/>
      <c r="R35" s="86"/>
      <c r="S35" s="87"/>
      <c r="T35" s="86"/>
      <c r="U35" s="86"/>
      <c r="V35" s="86"/>
      <c r="W35" s="86"/>
      <c r="X35" s="86"/>
      <c r="Y35" s="87"/>
      <c r="Z35" s="86"/>
      <c r="AA35" s="86"/>
      <c r="AB35" s="86"/>
      <c r="AC35" s="86"/>
      <c r="AD35" s="86"/>
      <c r="AE35" s="87"/>
      <c r="AF35" s="86"/>
      <c r="AG35" s="86"/>
      <c r="AH35" s="206"/>
      <c r="AI35" s="206"/>
      <c r="AJ35" s="286">
        <f t="shared" ref="AJ35:AJ47" si="42">AM10*1.005</f>
        <v>-328.82594999999998</v>
      </c>
      <c r="AK35" s="286">
        <f t="shared" si="37"/>
        <v>0</v>
      </c>
      <c r="AL35" s="286">
        <f t="shared" si="37"/>
        <v>-640.43624999999997</v>
      </c>
      <c r="AM35" s="202"/>
      <c r="AN35" s="201"/>
      <c r="AO35" s="286">
        <f t="shared" si="38"/>
        <v>-429.45659999999992</v>
      </c>
      <c r="AP35" s="286">
        <f t="shared" si="38"/>
        <v>-78.681449999999984</v>
      </c>
      <c r="AQ35" s="286">
        <f t="shared" si="38"/>
        <v>-83.877300000000005</v>
      </c>
      <c r="AR35" s="286">
        <f t="shared" si="38"/>
        <v>-3726.5098499999995</v>
      </c>
      <c r="AS35" s="286">
        <f t="shared" si="38"/>
        <v>0</v>
      </c>
      <c r="AT35" s="202"/>
      <c r="AU35" s="201"/>
      <c r="AV35" s="286">
        <f t="shared" si="39"/>
        <v>-1080.6463499999998</v>
      </c>
      <c r="AW35" s="286">
        <f t="shared" si="39"/>
        <v>-312.02235000000002</v>
      </c>
      <c r="AX35" s="286">
        <f t="shared" si="39"/>
        <v>-3319.9973999999997</v>
      </c>
      <c r="AY35" s="286">
        <f t="shared" si="39"/>
        <v>-676.88759999999991</v>
      </c>
      <c r="AZ35" s="286">
        <f t="shared" si="39"/>
        <v>0</v>
      </c>
      <c r="BA35" s="202"/>
      <c r="BB35" s="201"/>
      <c r="BC35" s="286">
        <f t="shared" si="40"/>
        <v>-749.44859999999994</v>
      </c>
      <c r="BD35" s="287">
        <f t="shared" si="40"/>
        <v>-144.59939999999997</v>
      </c>
      <c r="BE35" s="287">
        <f t="shared" si="40"/>
        <v>-395.69864999999999</v>
      </c>
      <c r="BF35" s="286">
        <f t="shared" si="40"/>
        <v>0</v>
      </c>
      <c r="BG35" s="286">
        <f t="shared" si="40"/>
        <v>0</v>
      </c>
      <c r="BH35" s="202"/>
      <c r="BI35" s="201"/>
      <c r="BJ35" s="286">
        <f t="shared" si="41"/>
        <v>-639.22019999999998</v>
      </c>
      <c r="BK35" s="287">
        <f t="shared" si="41"/>
        <v>0</v>
      </c>
      <c r="BL35" s="287"/>
      <c r="BM35" s="287"/>
    </row>
    <row r="36" spans="1:67" ht="12.75" customHeight="1">
      <c r="A36" s="88" t="s">
        <v>1022</v>
      </c>
      <c r="B36" s="86"/>
      <c r="C36" s="86"/>
      <c r="D36" s="86"/>
      <c r="E36" s="86"/>
      <c r="F36" s="86"/>
      <c r="G36" s="87"/>
      <c r="H36" s="86"/>
      <c r="I36" s="86"/>
      <c r="J36" s="86"/>
      <c r="K36" s="86"/>
      <c r="L36" s="86"/>
      <c r="M36" s="87"/>
      <c r="N36" s="86"/>
      <c r="O36" s="86"/>
      <c r="P36" s="86"/>
      <c r="Q36" s="86"/>
      <c r="R36" s="86"/>
      <c r="S36" s="87"/>
      <c r="T36" s="86"/>
      <c r="U36" s="86"/>
      <c r="V36" s="86"/>
      <c r="W36" s="86"/>
      <c r="X36" s="86"/>
      <c r="Y36" s="87"/>
      <c r="Z36" s="86"/>
      <c r="AA36" s="86"/>
      <c r="AB36" s="86"/>
      <c r="AC36" s="86"/>
      <c r="AD36" s="86"/>
      <c r="AE36" s="87"/>
      <c r="AF36" s="86"/>
      <c r="AG36" s="86"/>
      <c r="AH36" s="206"/>
      <c r="AI36" s="206"/>
      <c r="AJ36" s="286">
        <f t="shared" si="42"/>
        <v>-1352.7299999999998</v>
      </c>
      <c r="AK36" s="286">
        <f t="shared" si="37"/>
        <v>0</v>
      </c>
      <c r="AL36" s="286">
        <f t="shared" si="37"/>
        <v>0</v>
      </c>
      <c r="AM36" s="202"/>
      <c r="AN36" s="201"/>
      <c r="AO36" s="286">
        <f t="shared" si="38"/>
        <v>0</v>
      </c>
      <c r="AP36" s="286">
        <f t="shared" si="38"/>
        <v>0</v>
      </c>
      <c r="AQ36" s="286">
        <f t="shared" si="38"/>
        <v>0</v>
      </c>
      <c r="AR36" s="286">
        <f t="shared" si="38"/>
        <v>0</v>
      </c>
      <c r="AS36" s="286">
        <f t="shared" si="38"/>
        <v>0</v>
      </c>
      <c r="AT36" s="202"/>
      <c r="AU36" s="201"/>
      <c r="AV36" s="286">
        <f t="shared" si="39"/>
        <v>0</v>
      </c>
      <c r="AW36" s="286">
        <f t="shared" si="39"/>
        <v>0</v>
      </c>
      <c r="AX36" s="286">
        <f t="shared" si="39"/>
        <v>0</v>
      </c>
      <c r="AY36" s="286">
        <f t="shared" si="39"/>
        <v>0</v>
      </c>
      <c r="AZ36" s="286">
        <f t="shared" si="39"/>
        <v>0</v>
      </c>
      <c r="BA36" s="202"/>
      <c r="BB36" s="201"/>
      <c r="BC36" s="286">
        <f t="shared" si="40"/>
        <v>0</v>
      </c>
      <c r="BD36" s="287">
        <f t="shared" si="40"/>
        <v>0</v>
      </c>
      <c r="BE36" s="287">
        <f t="shared" si="40"/>
        <v>0</v>
      </c>
      <c r="BF36" s="286">
        <f t="shared" si="40"/>
        <v>0</v>
      </c>
      <c r="BG36" s="286">
        <f t="shared" si="40"/>
        <v>0</v>
      </c>
      <c r="BH36" s="202"/>
      <c r="BI36" s="201"/>
      <c r="BJ36" s="286">
        <f t="shared" si="41"/>
        <v>0</v>
      </c>
      <c r="BK36" s="287">
        <f t="shared" si="41"/>
        <v>0</v>
      </c>
      <c r="BL36" s="287"/>
      <c r="BM36" s="287"/>
    </row>
    <row r="37" spans="1:67" ht="12.75" customHeight="1">
      <c r="A37" s="88" t="s">
        <v>994</v>
      </c>
      <c r="B37" s="86"/>
      <c r="C37" s="86"/>
      <c r="D37" s="86"/>
      <c r="E37" s="86"/>
      <c r="F37" s="86"/>
      <c r="G37" s="87"/>
      <c r="H37" s="86"/>
      <c r="I37" s="86"/>
      <c r="J37" s="86"/>
      <c r="K37" s="86"/>
      <c r="L37" s="86"/>
      <c r="M37" s="87"/>
      <c r="N37" s="86"/>
      <c r="O37" s="86"/>
      <c r="P37" s="86"/>
      <c r="Q37" s="86"/>
      <c r="R37" s="86"/>
      <c r="S37" s="87"/>
      <c r="T37" s="86"/>
      <c r="U37" s="86"/>
      <c r="V37" s="86"/>
      <c r="W37" s="86"/>
      <c r="X37" s="86"/>
      <c r="Y37" s="87"/>
      <c r="Z37" s="86"/>
      <c r="AA37" s="86"/>
      <c r="AB37" s="86"/>
      <c r="AC37" s="86"/>
      <c r="AD37" s="86"/>
      <c r="AE37" s="87"/>
      <c r="AF37" s="86"/>
      <c r="AG37" s="86"/>
      <c r="AH37" s="206"/>
      <c r="AI37" s="206"/>
      <c r="AJ37" s="286">
        <f t="shared" si="42"/>
        <v>0</v>
      </c>
      <c r="AK37" s="286">
        <f t="shared" si="37"/>
        <v>0</v>
      </c>
      <c r="AL37" s="286">
        <f t="shared" si="37"/>
        <v>-1393.9349999999999</v>
      </c>
      <c r="AM37" s="202"/>
      <c r="AN37" s="201"/>
      <c r="AO37" s="286">
        <f t="shared" si="38"/>
        <v>0</v>
      </c>
      <c r="AP37" s="286">
        <f t="shared" si="38"/>
        <v>0</v>
      </c>
      <c r="AQ37" s="286">
        <f t="shared" si="38"/>
        <v>0</v>
      </c>
      <c r="AR37" s="286">
        <f t="shared" si="38"/>
        <v>0</v>
      </c>
      <c r="AS37" s="286">
        <f t="shared" si="38"/>
        <v>0</v>
      </c>
      <c r="AT37" s="202"/>
      <c r="AU37" s="201"/>
      <c r="AV37" s="286">
        <f t="shared" si="39"/>
        <v>0</v>
      </c>
      <c r="AW37" s="286">
        <f t="shared" si="39"/>
        <v>0</v>
      </c>
      <c r="AX37" s="286">
        <f t="shared" si="39"/>
        <v>0</v>
      </c>
      <c r="AY37" s="286">
        <f t="shared" si="39"/>
        <v>0</v>
      </c>
      <c r="AZ37" s="286">
        <f t="shared" si="39"/>
        <v>0</v>
      </c>
      <c r="BA37" s="202"/>
      <c r="BB37" s="201"/>
      <c r="BC37" s="286">
        <f t="shared" si="40"/>
        <v>0</v>
      </c>
      <c r="BD37" s="287">
        <f t="shared" si="40"/>
        <v>0</v>
      </c>
      <c r="BE37" s="287">
        <f t="shared" si="40"/>
        <v>0</v>
      </c>
      <c r="BF37" s="286">
        <f t="shared" si="40"/>
        <v>0</v>
      </c>
      <c r="BG37" s="286">
        <f t="shared" si="40"/>
        <v>0</v>
      </c>
      <c r="BH37" s="202"/>
      <c r="BI37" s="201"/>
      <c r="BJ37" s="286">
        <f t="shared" si="41"/>
        <v>0</v>
      </c>
      <c r="BK37" s="287">
        <f t="shared" si="41"/>
        <v>0</v>
      </c>
      <c r="BL37" s="287"/>
      <c r="BM37" s="287"/>
    </row>
    <row r="38" spans="1:67" ht="12.75" customHeight="1">
      <c r="A38" s="88" t="s">
        <v>1036</v>
      </c>
      <c r="B38" s="86"/>
      <c r="C38" s="86"/>
      <c r="D38" s="86"/>
      <c r="E38" s="86"/>
      <c r="F38" s="86"/>
      <c r="G38" s="87"/>
      <c r="H38" s="86"/>
      <c r="I38" s="86"/>
      <c r="J38" s="86"/>
      <c r="K38" s="86"/>
      <c r="L38" s="86"/>
      <c r="M38" s="87"/>
      <c r="N38" s="86"/>
      <c r="O38" s="86"/>
      <c r="P38" s="86"/>
      <c r="Q38" s="86"/>
      <c r="R38" s="86"/>
      <c r="S38" s="87"/>
      <c r="T38" s="86"/>
      <c r="U38" s="86"/>
      <c r="V38" s="86"/>
      <c r="W38" s="86"/>
      <c r="X38" s="86"/>
      <c r="Y38" s="87"/>
      <c r="Z38" s="86"/>
      <c r="AA38" s="86"/>
      <c r="AB38" s="86"/>
      <c r="AC38" s="86"/>
      <c r="AD38" s="86"/>
      <c r="AE38" s="87"/>
      <c r="AF38" s="86"/>
      <c r="AG38" s="86"/>
      <c r="AH38" s="206"/>
      <c r="AI38" s="206"/>
      <c r="AJ38" s="286">
        <f t="shared" si="42"/>
        <v>0</v>
      </c>
      <c r="AK38" s="286">
        <f t="shared" si="37"/>
        <v>0</v>
      </c>
      <c r="AL38" s="286">
        <f t="shared" si="37"/>
        <v>0</v>
      </c>
      <c r="AM38" s="202"/>
      <c r="AN38" s="201"/>
      <c r="AO38" s="286">
        <f t="shared" si="38"/>
        <v>0</v>
      </c>
      <c r="AP38" s="286">
        <f t="shared" si="38"/>
        <v>0</v>
      </c>
      <c r="AQ38" s="286">
        <f t="shared" si="38"/>
        <v>-3014.9999999999995</v>
      </c>
      <c r="AR38" s="286">
        <f t="shared" si="38"/>
        <v>0</v>
      </c>
      <c r="AS38" s="286">
        <f t="shared" si="38"/>
        <v>0</v>
      </c>
      <c r="AT38" s="202"/>
      <c r="AU38" s="201"/>
      <c r="AV38" s="286">
        <f t="shared" si="39"/>
        <v>0</v>
      </c>
      <c r="AW38" s="286">
        <f t="shared" si="39"/>
        <v>0</v>
      </c>
      <c r="AX38" s="286">
        <f t="shared" si="39"/>
        <v>0</v>
      </c>
      <c r="AY38" s="286">
        <f t="shared" si="39"/>
        <v>0</v>
      </c>
      <c r="AZ38" s="286">
        <f t="shared" si="39"/>
        <v>0</v>
      </c>
      <c r="BA38" s="202"/>
      <c r="BB38" s="201"/>
      <c r="BC38" s="286">
        <f t="shared" si="40"/>
        <v>0</v>
      </c>
      <c r="BD38" s="287">
        <f t="shared" si="40"/>
        <v>0</v>
      </c>
      <c r="BE38" s="287">
        <f t="shared" si="40"/>
        <v>0</v>
      </c>
      <c r="BF38" s="286">
        <f t="shared" si="40"/>
        <v>0</v>
      </c>
      <c r="BG38" s="286">
        <f t="shared" si="40"/>
        <v>0</v>
      </c>
      <c r="BH38" s="202"/>
      <c r="BI38" s="201"/>
      <c r="BJ38" s="286">
        <f t="shared" si="41"/>
        <v>0</v>
      </c>
      <c r="BK38" s="287">
        <f t="shared" si="41"/>
        <v>0</v>
      </c>
      <c r="BL38" s="287"/>
      <c r="BM38" s="287"/>
    </row>
    <row r="39" spans="1:67" ht="12.75" customHeight="1">
      <c r="A39" s="88" t="s">
        <v>973</v>
      </c>
      <c r="B39" s="86"/>
      <c r="C39" s="86"/>
      <c r="D39" s="86"/>
      <c r="E39" s="86"/>
      <c r="F39" s="86"/>
      <c r="G39" s="87"/>
      <c r="H39" s="86"/>
      <c r="I39" s="86"/>
      <c r="J39" s="86"/>
      <c r="K39" s="86"/>
      <c r="L39" s="86"/>
      <c r="M39" s="87"/>
      <c r="N39" s="86"/>
      <c r="O39" s="86"/>
      <c r="P39" s="86"/>
      <c r="Q39" s="86"/>
      <c r="R39" s="86"/>
      <c r="S39" s="87"/>
      <c r="T39" s="86"/>
      <c r="U39" s="86"/>
      <c r="V39" s="86"/>
      <c r="W39" s="86"/>
      <c r="X39" s="86"/>
      <c r="Y39" s="87"/>
      <c r="Z39" s="86"/>
      <c r="AA39" s="86"/>
      <c r="AB39" s="86"/>
      <c r="AC39" s="86"/>
      <c r="AD39" s="86"/>
      <c r="AE39" s="87"/>
      <c r="AF39" s="86"/>
      <c r="AG39" s="86"/>
      <c r="AH39" s="206"/>
      <c r="AI39" s="206"/>
      <c r="AJ39" s="286">
        <f t="shared" si="42"/>
        <v>0</v>
      </c>
      <c r="AK39" s="286">
        <f t="shared" si="37"/>
        <v>0</v>
      </c>
      <c r="AL39" s="286">
        <f t="shared" si="37"/>
        <v>0</v>
      </c>
      <c r="AM39" s="202"/>
      <c r="AN39" s="201"/>
      <c r="AO39" s="286">
        <f t="shared" si="38"/>
        <v>0</v>
      </c>
      <c r="AP39" s="286">
        <f t="shared" si="38"/>
        <v>0</v>
      </c>
      <c r="AQ39" s="286">
        <f t="shared" si="38"/>
        <v>0</v>
      </c>
      <c r="AR39" s="286">
        <f t="shared" si="38"/>
        <v>0</v>
      </c>
      <c r="AS39" s="286">
        <f t="shared" si="38"/>
        <v>0</v>
      </c>
      <c r="AT39" s="202"/>
      <c r="AU39" s="201"/>
      <c r="AV39" s="286">
        <f t="shared" si="39"/>
        <v>-27.416399999999999</v>
      </c>
      <c r="AW39" s="286">
        <f t="shared" si="39"/>
        <v>0</v>
      </c>
      <c r="AX39" s="286">
        <f t="shared" si="39"/>
        <v>0</v>
      </c>
      <c r="AY39" s="286">
        <f t="shared" si="39"/>
        <v>0</v>
      </c>
      <c r="AZ39" s="286">
        <f t="shared" si="39"/>
        <v>0</v>
      </c>
      <c r="BA39" s="202"/>
      <c r="BB39" s="201"/>
      <c r="BC39" s="286">
        <f t="shared" si="40"/>
        <v>0</v>
      </c>
      <c r="BD39" s="287">
        <f t="shared" si="40"/>
        <v>0</v>
      </c>
      <c r="BE39" s="287">
        <f t="shared" si="40"/>
        <v>0</v>
      </c>
      <c r="BF39" s="286">
        <f t="shared" si="40"/>
        <v>0</v>
      </c>
      <c r="BG39" s="286">
        <f t="shared" si="40"/>
        <v>0</v>
      </c>
      <c r="BH39" s="202"/>
      <c r="BI39" s="201"/>
      <c r="BJ39" s="286">
        <f t="shared" si="41"/>
        <v>0</v>
      </c>
      <c r="BK39" s="287">
        <f t="shared" si="41"/>
        <v>0</v>
      </c>
      <c r="BL39" s="287"/>
      <c r="BM39" s="287"/>
    </row>
    <row r="40" spans="1:67" ht="12.75" customHeight="1">
      <c r="A40" s="88" t="s">
        <v>1023</v>
      </c>
      <c r="B40" s="86"/>
      <c r="C40" s="86"/>
      <c r="D40" s="86"/>
      <c r="E40" s="86"/>
      <c r="F40" s="86"/>
      <c r="G40" s="87"/>
      <c r="H40" s="86"/>
      <c r="I40" s="86"/>
      <c r="J40" s="86"/>
      <c r="K40" s="86"/>
      <c r="L40" s="86"/>
      <c r="M40" s="87"/>
      <c r="N40" s="86"/>
      <c r="O40" s="86"/>
      <c r="P40" s="86"/>
      <c r="Q40" s="86"/>
      <c r="R40" s="86"/>
      <c r="S40" s="87"/>
      <c r="T40" s="86"/>
      <c r="U40" s="86"/>
      <c r="V40" s="86"/>
      <c r="W40" s="86"/>
      <c r="X40" s="86"/>
      <c r="Y40" s="87"/>
      <c r="Z40" s="86"/>
      <c r="AA40" s="86"/>
      <c r="AB40" s="86"/>
      <c r="AC40" s="86"/>
      <c r="AD40" s="86"/>
      <c r="AE40" s="87"/>
      <c r="AF40" s="86"/>
      <c r="AG40" s="86"/>
      <c r="AH40" s="206"/>
      <c r="AI40" s="206"/>
      <c r="AJ40" s="286">
        <f t="shared" si="42"/>
        <v>0</v>
      </c>
      <c r="AK40" s="286">
        <f t="shared" si="37"/>
        <v>0</v>
      </c>
      <c r="AL40" s="286">
        <f t="shared" si="37"/>
        <v>0</v>
      </c>
      <c r="AM40" s="202"/>
      <c r="AN40" s="201"/>
      <c r="AO40" s="286">
        <f t="shared" si="38"/>
        <v>0</v>
      </c>
      <c r="AP40" s="286">
        <f t="shared" si="38"/>
        <v>-200.99999999999997</v>
      </c>
      <c r="AQ40" s="286">
        <f t="shared" si="38"/>
        <v>0</v>
      </c>
      <c r="AR40" s="286">
        <f t="shared" si="38"/>
        <v>0</v>
      </c>
      <c r="AS40" s="286">
        <f t="shared" si="38"/>
        <v>0</v>
      </c>
      <c r="AT40" s="202"/>
      <c r="AU40" s="201"/>
      <c r="AV40" s="286">
        <f t="shared" si="39"/>
        <v>-180.44774999999998</v>
      </c>
      <c r="AW40" s="286">
        <f t="shared" si="39"/>
        <v>0</v>
      </c>
      <c r="AX40" s="286">
        <f t="shared" si="39"/>
        <v>-164.82</v>
      </c>
      <c r="AY40" s="286">
        <f t="shared" si="39"/>
        <v>0</v>
      </c>
      <c r="AZ40" s="286">
        <f t="shared" si="39"/>
        <v>0</v>
      </c>
      <c r="BA40" s="202"/>
      <c r="BB40" s="201"/>
      <c r="BC40" s="286">
        <f t="shared" si="40"/>
        <v>-809.02499999999986</v>
      </c>
      <c r="BD40" s="287">
        <f t="shared" si="40"/>
        <v>0</v>
      </c>
      <c r="BE40" s="287">
        <f t="shared" si="40"/>
        <v>0</v>
      </c>
      <c r="BF40" s="286">
        <f t="shared" si="40"/>
        <v>0</v>
      </c>
      <c r="BG40" s="286">
        <f t="shared" si="40"/>
        <v>0</v>
      </c>
      <c r="BH40" s="202"/>
      <c r="BI40" s="201"/>
      <c r="BJ40" s="286">
        <f t="shared" si="41"/>
        <v>0</v>
      </c>
      <c r="BK40" s="287">
        <f t="shared" si="41"/>
        <v>0</v>
      </c>
      <c r="BL40" s="287"/>
      <c r="BM40" s="287"/>
    </row>
    <row r="41" spans="1:67" ht="12.75" customHeight="1">
      <c r="A41" s="88" t="s">
        <v>1024</v>
      </c>
      <c r="B41" s="86"/>
      <c r="C41" s="86"/>
      <c r="D41" s="86"/>
      <c r="E41" s="86"/>
      <c r="F41" s="86"/>
      <c r="G41" s="87"/>
      <c r="H41" s="86"/>
      <c r="I41" s="86"/>
      <c r="J41" s="86"/>
      <c r="K41" s="86"/>
      <c r="L41" s="86"/>
      <c r="M41" s="87"/>
      <c r="N41" s="86"/>
      <c r="O41" s="86"/>
      <c r="P41" s="86"/>
      <c r="Q41" s="86"/>
      <c r="R41" s="86"/>
      <c r="S41" s="87"/>
      <c r="T41" s="86"/>
      <c r="U41" s="86"/>
      <c r="V41" s="86"/>
      <c r="W41" s="86"/>
      <c r="X41" s="86"/>
      <c r="Y41" s="87"/>
      <c r="Z41" s="86"/>
      <c r="AA41" s="86"/>
      <c r="AB41" s="86"/>
      <c r="AC41" s="86"/>
      <c r="AD41" s="86"/>
      <c r="AE41" s="87"/>
      <c r="AF41" s="86"/>
      <c r="AG41" s="86"/>
      <c r="AH41" s="206"/>
      <c r="AI41" s="206"/>
      <c r="AJ41" s="286">
        <f t="shared" si="42"/>
        <v>0</v>
      </c>
      <c r="AK41" s="286">
        <f t="shared" si="37"/>
        <v>0</v>
      </c>
      <c r="AL41" s="286">
        <f t="shared" si="37"/>
        <v>0</v>
      </c>
      <c r="AM41" s="202"/>
      <c r="AN41" s="201"/>
      <c r="AO41" s="286">
        <f t="shared" si="38"/>
        <v>0</v>
      </c>
      <c r="AP41" s="286">
        <f t="shared" si="38"/>
        <v>0</v>
      </c>
      <c r="AQ41" s="286">
        <f t="shared" si="38"/>
        <v>0</v>
      </c>
      <c r="AR41" s="286">
        <f t="shared" si="38"/>
        <v>0</v>
      </c>
      <c r="AS41" s="286">
        <f t="shared" si="38"/>
        <v>0</v>
      </c>
      <c r="AT41" s="202"/>
      <c r="AU41" s="201"/>
      <c r="AV41" s="286">
        <f t="shared" si="39"/>
        <v>-602.99999999999989</v>
      </c>
      <c r="AW41" s="286">
        <f t="shared" si="39"/>
        <v>0</v>
      </c>
      <c r="AX41" s="286">
        <f t="shared" si="39"/>
        <v>0</v>
      </c>
      <c r="AY41" s="286">
        <f t="shared" si="39"/>
        <v>0</v>
      </c>
      <c r="AZ41" s="286">
        <f t="shared" si="39"/>
        <v>0</v>
      </c>
      <c r="BA41" s="202"/>
      <c r="BB41" s="201"/>
      <c r="BC41" s="286">
        <f t="shared" si="40"/>
        <v>0</v>
      </c>
      <c r="BD41" s="287">
        <f t="shared" si="40"/>
        <v>-74.460449999999994</v>
      </c>
      <c r="BE41" s="287">
        <f t="shared" si="40"/>
        <v>0</v>
      </c>
      <c r="BF41" s="286">
        <f t="shared" si="40"/>
        <v>0</v>
      </c>
      <c r="BG41" s="286">
        <f t="shared" si="40"/>
        <v>0</v>
      </c>
      <c r="BH41" s="202"/>
      <c r="BI41" s="201"/>
      <c r="BJ41" s="286">
        <f t="shared" si="41"/>
        <v>0</v>
      </c>
      <c r="BK41" s="287">
        <f t="shared" si="41"/>
        <v>0</v>
      </c>
      <c r="BL41" s="287"/>
      <c r="BM41" s="287"/>
    </row>
    <row r="42" spans="1:67" ht="12.75" customHeight="1">
      <c r="A42" s="88" t="s">
        <v>988</v>
      </c>
      <c r="B42" s="86"/>
      <c r="C42" s="86"/>
      <c r="D42" s="86"/>
      <c r="E42" s="86"/>
      <c r="F42" s="86"/>
      <c r="G42" s="87"/>
      <c r="H42" s="86"/>
      <c r="I42" s="86"/>
      <c r="J42" s="86"/>
      <c r="K42" s="86"/>
      <c r="L42" s="86"/>
      <c r="M42" s="87"/>
      <c r="N42" s="86"/>
      <c r="O42" s="86"/>
      <c r="P42" s="86"/>
      <c r="Q42" s="86"/>
      <c r="R42" s="86"/>
      <c r="S42" s="87"/>
      <c r="T42" s="86"/>
      <c r="U42" s="86"/>
      <c r="V42" s="86"/>
      <c r="W42" s="86"/>
      <c r="X42" s="86"/>
      <c r="Y42" s="87"/>
      <c r="Z42" s="86"/>
      <c r="AA42" s="86"/>
      <c r="AB42" s="86"/>
      <c r="AC42" s="86"/>
      <c r="AD42" s="86"/>
      <c r="AE42" s="87"/>
      <c r="AF42" s="86"/>
      <c r="AG42" s="86"/>
      <c r="AH42" s="206"/>
      <c r="AI42" s="206"/>
      <c r="AJ42" s="286">
        <f t="shared" si="42"/>
        <v>0</v>
      </c>
      <c r="AK42" s="286">
        <f t="shared" si="37"/>
        <v>-3123.5500499999998</v>
      </c>
      <c r="AL42" s="286">
        <f t="shared" si="37"/>
        <v>0</v>
      </c>
      <c r="AM42" s="202"/>
      <c r="AN42" s="201"/>
      <c r="AO42" s="286">
        <f t="shared" si="38"/>
        <v>0</v>
      </c>
      <c r="AP42" s="286">
        <f t="shared" si="38"/>
        <v>0</v>
      </c>
      <c r="AQ42" s="286">
        <f t="shared" si="38"/>
        <v>0</v>
      </c>
      <c r="AR42" s="286">
        <f t="shared" si="38"/>
        <v>0</v>
      </c>
      <c r="AS42" s="286">
        <f t="shared" si="38"/>
        <v>0</v>
      </c>
      <c r="AT42" s="202"/>
      <c r="AU42" s="201"/>
      <c r="AV42" s="286">
        <f t="shared" si="39"/>
        <v>0</v>
      </c>
      <c r="AW42" s="286">
        <f t="shared" si="39"/>
        <v>0</v>
      </c>
      <c r="AX42" s="286">
        <f t="shared" si="39"/>
        <v>0</v>
      </c>
      <c r="AY42" s="286">
        <f t="shared" si="39"/>
        <v>0</v>
      </c>
      <c r="AZ42" s="286">
        <f t="shared" si="39"/>
        <v>0</v>
      </c>
      <c r="BA42" s="202"/>
      <c r="BB42" s="201"/>
      <c r="BC42" s="286">
        <f t="shared" si="40"/>
        <v>0</v>
      </c>
      <c r="BD42" s="287">
        <f t="shared" si="40"/>
        <v>0</v>
      </c>
      <c r="BE42" s="287">
        <f t="shared" si="40"/>
        <v>0</v>
      </c>
      <c r="BF42" s="286">
        <f t="shared" si="40"/>
        <v>0</v>
      </c>
      <c r="BG42" s="286">
        <f t="shared" si="40"/>
        <v>0</v>
      </c>
      <c r="BH42" s="202"/>
      <c r="BI42" s="201"/>
      <c r="BJ42" s="286">
        <f t="shared" si="41"/>
        <v>-2512.4999999999995</v>
      </c>
      <c r="BK42" s="287">
        <f t="shared" si="41"/>
        <v>0</v>
      </c>
      <c r="BL42" s="287"/>
      <c r="BM42" s="287"/>
    </row>
    <row r="43" spans="1:67" ht="12.75" customHeight="1">
      <c r="A43" s="88" t="s">
        <v>271</v>
      </c>
      <c r="B43" s="86"/>
      <c r="C43" s="86"/>
      <c r="D43" s="86"/>
      <c r="E43" s="86"/>
      <c r="F43" s="86"/>
      <c r="G43" s="87"/>
      <c r="H43" s="86"/>
      <c r="I43" s="86"/>
      <c r="J43" s="86"/>
      <c r="K43" s="86"/>
      <c r="L43" s="86"/>
      <c r="M43" s="87"/>
      <c r="N43" s="86"/>
      <c r="O43" s="86"/>
      <c r="P43" s="86"/>
      <c r="Q43" s="86"/>
      <c r="R43" s="86"/>
      <c r="S43" s="87"/>
      <c r="T43" s="86"/>
      <c r="U43" s="86"/>
      <c r="V43" s="86"/>
      <c r="W43" s="86"/>
      <c r="X43" s="86"/>
      <c r="Y43" s="87"/>
      <c r="Z43" s="86"/>
      <c r="AA43" s="86"/>
      <c r="AB43" s="86"/>
      <c r="AC43" s="86"/>
      <c r="AD43" s="86"/>
      <c r="AE43" s="87"/>
      <c r="AF43" s="86"/>
      <c r="AG43" s="86"/>
      <c r="AH43" s="206"/>
      <c r="AI43" s="205"/>
      <c r="AJ43" s="286">
        <f t="shared" si="42"/>
        <v>1719.76605</v>
      </c>
      <c r="AK43" s="286">
        <f t="shared" si="37"/>
        <v>880.48049999999989</v>
      </c>
      <c r="AL43" s="286">
        <f t="shared" si="37"/>
        <v>1259.4961499999999</v>
      </c>
      <c r="AM43" s="202"/>
      <c r="AN43" s="201"/>
      <c r="AO43" s="286">
        <f t="shared" si="38"/>
        <v>1530.4742999999999</v>
      </c>
      <c r="AP43" s="286">
        <f t="shared" si="38"/>
        <v>1626.4719</v>
      </c>
      <c r="AQ43" s="286">
        <f t="shared" si="38"/>
        <v>237.37094999999997</v>
      </c>
      <c r="AR43" s="286">
        <f t="shared" si="38"/>
        <v>2434.6928999999996</v>
      </c>
      <c r="AS43" s="286">
        <f t="shared" si="38"/>
        <v>1427.6024999999997</v>
      </c>
      <c r="AT43" s="202"/>
      <c r="AU43" s="201"/>
      <c r="AV43" s="286">
        <f t="shared" si="39"/>
        <v>4823.1356999999998</v>
      </c>
      <c r="AW43" s="286">
        <f t="shared" si="39"/>
        <v>494.94239999999996</v>
      </c>
      <c r="AX43" s="286">
        <f t="shared" si="39"/>
        <v>1514.60535</v>
      </c>
      <c r="AY43" s="286">
        <f t="shared" si="39"/>
        <v>2735.7607499999999</v>
      </c>
      <c r="AZ43" s="286">
        <f t="shared" si="39"/>
        <v>1562.7850499999997</v>
      </c>
      <c r="BA43" s="202"/>
      <c r="BB43" s="201"/>
      <c r="BC43" s="286">
        <f t="shared" si="40"/>
        <v>4769.8907999999992</v>
      </c>
      <c r="BD43" s="287">
        <f t="shared" si="40"/>
        <v>359.51864999999998</v>
      </c>
      <c r="BE43" s="287">
        <f t="shared" si="40"/>
        <v>1625.1050999999998</v>
      </c>
      <c r="BF43" s="286">
        <f t="shared" si="40"/>
        <v>0</v>
      </c>
      <c r="BG43" s="286">
        <f t="shared" si="40"/>
        <v>0</v>
      </c>
      <c r="BH43" s="202"/>
      <c r="BI43" s="201"/>
      <c r="BJ43" s="286">
        <f t="shared" si="41"/>
        <v>5182.4835000000003</v>
      </c>
      <c r="BK43" s="287">
        <f t="shared" si="41"/>
        <v>0</v>
      </c>
      <c r="BL43" s="287"/>
      <c r="BM43" s="287"/>
    </row>
    <row r="44" spans="1:67" ht="12.75" customHeight="1">
      <c r="A44" s="88" t="s">
        <v>1025</v>
      </c>
      <c r="B44" s="88"/>
      <c r="C44" s="88"/>
      <c r="D44" s="88"/>
      <c r="E44" s="88"/>
      <c r="F44" s="88"/>
      <c r="G44" s="89"/>
      <c r="H44" s="88"/>
      <c r="I44" s="88"/>
      <c r="J44" s="88"/>
      <c r="K44" s="88"/>
      <c r="L44" s="350"/>
      <c r="M44" s="89"/>
      <c r="N44" s="88"/>
      <c r="O44" s="88"/>
      <c r="P44" s="88"/>
      <c r="Q44" s="88"/>
      <c r="R44" s="88"/>
      <c r="S44" s="89"/>
      <c r="T44" s="88"/>
      <c r="U44" s="88"/>
      <c r="V44" s="88"/>
      <c r="W44" s="88"/>
      <c r="X44" s="88"/>
      <c r="Y44" s="89"/>
      <c r="Z44" s="88"/>
      <c r="AA44" s="88"/>
      <c r="AB44" s="88"/>
      <c r="AC44" s="88"/>
      <c r="AD44" s="88"/>
      <c r="AE44" s="89"/>
      <c r="AF44" s="88"/>
      <c r="AG44" s="88"/>
      <c r="AH44" s="207"/>
      <c r="AI44" s="205"/>
      <c r="AJ44" s="286">
        <f t="shared" si="42"/>
        <v>0</v>
      </c>
      <c r="AK44" s="286">
        <f t="shared" si="37"/>
        <v>0</v>
      </c>
      <c r="AL44" s="286">
        <f t="shared" si="37"/>
        <v>0</v>
      </c>
      <c r="AM44" s="202"/>
      <c r="AN44" s="201"/>
      <c r="AO44" s="286">
        <f t="shared" si="38"/>
        <v>0</v>
      </c>
      <c r="AP44" s="286">
        <f t="shared" si="38"/>
        <v>0</v>
      </c>
      <c r="AQ44" s="286">
        <f t="shared" si="38"/>
        <v>0</v>
      </c>
      <c r="AR44" s="286">
        <f t="shared" si="38"/>
        <v>0</v>
      </c>
      <c r="AS44" s="286">
        <f t="shared" si="38"/>
        <v>0</v>
      </c>
      <c r="AT44" s="202"/>
      <c r="AU44" s="201"/>
      <c r="AV44" s="286">
        <f t="shared" si="39"/>
        <v>0</v>
      </c>
      <c r="AW44" s="286">
        <f t="shared" si="39"/>
        <v>-2148.6899999999996</v>
      </c>
      <c r="AX44" s="286">
        <f t="shared" si="39"/>
        <v>0</v>
      </c>
      <c r="AY44" s="286">
        <f t="shared" si="39"/>
        <v>0</v>
      </c>
      <c r="AZ44" s="286">
        <f t="shared" si="39"/>
        <v>0</v>
      </c>
      <c r="BA44" s="202"/>
      <c r="BB44" s="201"/>
      <c r="BC44" s="286">
        <f t="shared" si="40"/>
        <v>0</v>
      </c>
      <c r="BD44" s="287">
        <f t="shared" si="40"/>
        <v>0</v>
      </c>
      <c r="BE44" s="287">
        <f t="shared" si="40"/>
        <v>0</v>
      </c>
      <c r="BF44" s="286">
        <f t="shared" si="40"/>
        <v>0</v>
      </c>
      <c r="BG44" s="286">
        <f t="shared" si="40"/>
        <v>0</v>
      </c>
      <c r="BH44" s="202"/>
      <c r="BI44" s="201"/>
      <c r="BJ44" s="286">
        <f t="shared" si="41"/>
        <v>0</v>
      </c>
      <c r="BK44" s="287">
        <f t="shared" si="41"/>
        <v>0</v>
      </c>
      <c r="BL44" s="287"/>
      <c r="BM44" s="287"/>
    </row>
    <row r="45" spans="1:67" ht="12.75" customHeight="1">
      <c r="A45" s="88" t="s">
        <v>977</v>
      </c>
      <c r="B45" s="88"/>
      <c r="C45" s="88"/>
      <c r="D45" s="88"/>
      <c r="E45" s="88"/>
      <c r="F45" s="88"/>
      <c r="G45" s="89"/>
      <c r="H45" s="88"/>
      <c r="I45" s="88"/>
      <c r="J45" s="88"/>
      <c r="K45" s="88"/>
      <c r="L45" s="351"/>
      <c r="M45" s="89"/>
      <c r="N45" s="88"/>
      <c r="O45" s="88"/>
      <c r="P45" s="88"/>
      <c r="Q45" s="88"/>
      <c r="R45" s="88"/>
      <c r="S45" s="89"/>
      <c r="T45" s="88"/>
      <c r="U45" s="88"/>
      <c r="V45" s="88"/>
      <c r="W45" s="88"/>
      <c r="X45" s="88"/>
      <c r="Y45" s="89"/>
      <c r="Z45" s="88"/>
      <c r="AA45" s="88"/>
      <c r="AB45" s="88"/>
      <c r="AC45" s="88"/>
      <c r="AD45" s="88"/>
      <c r="AE45" s="89"/>
      <c r="AF45" s="88"/>
      <c r="AG45" s="88"/>
      <c r="AH45" s="207"/>
      <c r="AI45" s="205"/>
      <c r="AJ45" s="286">
        <f t="shared" si="42"/>
        <v>0</v>
      </c>
      <c r="AK45" s="286">
        <f t="shared" si="37"/>
        <v>0</v>
      </c>
      <c r="AL45" s="286">
        <f t="shared" si="37"/>
        <v>0</v>
      </c>
      <c r="AM45" s="202"/>
      <c r="AN45" s="201"/>
      <c r="AO45" s="286">
        <f t="shared" si="38"/>
        <v>-49.797749999999994</v>
      </c>
      <c r="AP45" s="286">
        <f t="shared" si="38"/>
        <v>0</v>
      </c>
      <c r="AQ45" s="286">
        <f t="shared" si="38"/>
        <v>0</v>
      </c>
      <c r="AR45" s="286">
        <f t="shared" si="38"/>
        <v>0</v>
      </c>
      <c r="AS45" s="286">
        <f t="shared" si="38"/>
        <v>0</v>
      </c>
      <c r="AT45" s="202"/>
      <c r="AU45" s="201"/>
      <c r="AV45" s="286">
        <f t="shared" si="39"/>
        <v>0</v>
      </c>
      <c r="AW45" s="286">
        <f t="shared" si="39"/>
        <v>0</v>
      </c>
      <c r="AX45" s="286">
        <f t="shared" si="39"/>
        <v>0</v>
      </c>
      <c r="AY45" s="286">
        <f t="shared" si="39"/>
        <v>0</v>
      </c>
      <c r="AZ45" s="286">
        <f t="shared" si="39"/>
        <v>0</v>
      </c>
      <c r="BA45" s="202"/>
      <c r="BB45" s="201"/>
      <c r="BC45" s="286">
        <f t="shared" si="40"/>
        <v>-75.374999999999986</v>
      </c>
      <c r="BD45" s="287">
        <f t="shared" si="40"/>
        <v>0</v>
      </c>
      <c r="BE45" s="287">
        <f t="shared" si="40"/>
        <v>0</v>
      </c>
      <c r="BF45" s="286">
        <f t="shared" si="40"/>
        <v>0</v>
      </c>
      <c r="BG45" s="286">
        <f t="shared" si="40"/>
        <v>0</v>
      </c>
      <c r="BH45" s="202"/>
      <c r="BI45" s="201"/>
      <c r="BJ45" s="286">
        <f t="shared" si="41"/>
        <v>-69.556049999999985</v>
      </c>
      <c r="BK45" s="287">
        <f t="shared" si="41"/>
        <v>0</v>
      </c>
      <c r="BL45" s="287"/>
      <c r="BM45" s="287"/>
    </row>
    <row r="46" spans="1:67" ht="12.75" customHeight="1">
      <c r="A46" s="88" t="s">
        <v>1026</v>
      </c>
      <c r="B46" s="88"/>
      <c r="C46" s="88"/>
      <c r="D46" s="88"/>
      <c r="E46" s="88"/>
      <c r="F46" s="88"/>
      <c r="G46" s="89"/>
      <c r="H46" s="88"/>
      <c r="I46" s="88"/>
      <c r="J46" s="88"/>
      <c r="K46" s="88"/>
      <c r="L46" s="351"/>
      <c r="M46" s="89"/>
      <c r="N46" s="88"/>
      <c r="O46" s="88"/>
      <c r="P46" s="88"/>
      <c r="Q46" s="88"/>
      <c r="R46" s="88"/>
      <c r="S46" s="89"/>
      <c r="T46" s="88"/>
      <c r="U46" s="88"/>
      <c r="V46" s="88"/>
      <c r="W46" s="88"/>
      <c r="X46" s="88"/>
      <c r="Y46" s="89"/>
      <c r="Z46" s="88"/>
      <c r="AA46" s="88"/>
      <c r="AB46" s="88"/>
      <c r="AC46" s="88"/>
      <c r="AD46" s="88"/>
      <c r="AE46" s="89"/>
      <c r="AF46" s="88"/>
      <c r="AG46" s="88"/>
      <c r="AH46" s="207"/>
      <c r="AI46" s="205"/>
      <c r="AJ46" s="286">
        <f t="shared" si="42"/>
        <v>0</v>
      </c>
      <c r="AK46" s="286">
        <f t="shared" si="37"/>
        <v>0</v>
      </c>
      <c r="AL46" s="286">
        <f t="shared" si="37"/>
        <v>0</v>
      </c>
      <c r="AM46" s="202"/>
      <c r="AN46" s="201"/>
      <c r="AO46" s="286">
        <f t="shared" si="38"/>
        <v>0</v>
      </c>
      <c r="AP46" s="286">
        <f t="shared" si="38"/>
        <v>0</v>
      </c>
      <c r="AQ46" s="286">
        <f t="shared" si="38"/>
        <v>0</v>
      </c>
      <c r="AR46" s="286">
        <f t="shared" si="38"/>
        <v>0</v>
      </c>
      <c r="AS46" s="286">
        <f t="shared" si="38"/>
        <v>0</v>
      </c>
      <c r="AT46" s="202"/>
      <c r="AU46" s="201"/>
      <c r="AV46" s="286">
        <f t="shared" si="39"/>
        <v>0</v>
      </c>
      <c r="AW46" s="286">
        <f t="shared" si="39"/>
        <v>0</v>
      </c>
      <c r="AX46" s="286">
        <f t="shared" si="39"/>
        <v>0</v>
      </c>
      <c r="AY46" s="286">
        <f t="shared" si="39"/>
        <v>0</v>
      </c>
      <c r="AZ46" s="286">
        <f t="shared" si="39"/>
        <v>0</v>
      </c>
      <c r="BA46" s="202"/>
      <c r="BB46" s="201"/>
      <c r="BC46" s="286">
        <f t="shared" si="40"/>
        <v>0</v>
      </c>
      <c r="BD46" s="287">
        <f t="shared" si="40"/>
        <v>0</v>
      </c>
      <c r="BE46" s="287">
        <f t="shared" si="40"/>
        <v>0</v>
      </c>
      <c r="BF46" s="286">
        <f t="shared" si="40"/>
        <v>0</v>
      </c>
      <c r="BG46" s="286">
        <f t="shared" si="40"/>
        <v>0</v>
      </c>
      <c r="BH46" s="202"/>
      <c r="BI46" s="201"/>
      <c r="BJ46" s="286">
        <f t="shared" si="41"/>
        <v>20.099999999999998</v>
      </c>
      <c r="BK46" s="287">
        <f t="shared" si="41"/>
        <v>0</v>
      </c>
      <c r="BL46" s="287"/>
      <c r="BM46" s="287"/>
    </row>
    <row r="47" spans="1:67" ht="12.75" customHeight="1">
      <c r="A47" s="88" t="s">
        <v>1027</v>
      </c>
      <c r="B47" s="88"/>
      <c r="C47" s="88"/>
      <c r="D47" s="88"/>
      <c r="E47" s="88"/>
      <c r="F47" s="88"/>
      <c r="G47" s="89"/>
      <c r="H47" s="88"/>
      <c r="I47" s="88"/>
      <c r="J47" s="88"/>
      <c r="K47" s="88"/>
      <c r="L47" s="351"/>
      <c r="M47" s="89"/>
      <c r="N47" s="88"/>
      <c r="O47" s="88"/>
      <c r="P47" s="88"/>
      <c r="Q47" s="88"/>
      <c r="R47" s="88"/>
      <c r="S47" s="89"/>
      <c r="T47" s="88"/>
      <c r="U47" s="88"/>
      <c r="V47" s="88"/>
      <c r="W47" s="88"/>
      <c r="X47" s="88"/>
      <c r="Y47" s="89"/>
      <c r="Z47" s="88"/>
      <c r="AA47" s="88"/>
      <c r="AB47" s="88"/>
      <c r="AC47" s="88"/>
      <c r="AD47" s="88"/>
      <c r="AE47" s="89"/>
      <c r="AF47" s="88"/>
      <c r="AG47" s="88"/>
      <c r="AH47" s="207"/>
      <c r="AI47" s="205"/>
      <c r="AJ47" s="286">
        <f t="shared" si="42"/>
        <v>0</v>
      </c>
      <c r="AK47" s="286">
        <f t="shared" si="37"/>
        <v>0</v>
      </c>
      <c r="AL47" s="286">
        <f t="shared" si="37"/>
        <v>0</v>
      </c>
      <c r="AM47" s="202"/>
      <c r="AN47" s="201"/>
      <c r="AO47" s="286">
        <f t="shared" si="38"/>
        <v>0</v>
      </c>
      <c r="AP47" s="286">
        <f t="shared" si="38"/>
        <v>0</v>
      </c>
      <c r="AQ47" s="286">
        <f t="shared" si="38"/>
        <v>0</v>
      </c>
      <c r="AR47" s="286">
        <f t="shared" si="38"/>
        <v>0</v>
      </c>
      <c r="AS47" s="286">
        <f t="shared" si="38"/>
        <v>0</v>
      </c>
      <c r="AT47" s="202"/>
      <c r="AU47" s="201"/>
      <c r="AV47" s="286">
        <f t="shared" si="39"/>
        <v>0</v>
      </c>
      <c r="AW47" s="286">
        <f t="shared" si="39"/>
        <v>0</v>
      </c>
      <c r="AX47" s="286">
        <f t="shared" si="39"/>
        <v>0</v>
      </c>
      <c r="AY47" s="286">
        <f t="shared" si="39"/>
        <v>0</v>
      </c>
      <c r="AZ47" s="286">
        <f t="shared" si="39"/>
        <v>0</v>
      </c>
      <c r="BA47" s="202"/>
      <c r="BB47" s="201"/>
      <c r="BC47" s="286">
        <f t="shared" si="40"/>
        <v>-40.199999999999996</v>
      </c>
      <c r="BD47" s="287">
        <f t="shared" si="40"/>
        <v>0</v>
      </c>
      <c r="BE47" s="287">
        <f t="shared" si="40"/>
        <v>0</v>
      </c>
      <c r="BF47" s="286">
        <f t="shared" si="40"/>
        <v>0</v>
      </c>
      <c r="BG47" s="286">
        <f t="shared" si="40"/>
        <v>0</v>
      </c>
      <c r="BH47" s="202"/>
      <c r="BI47" s="201"/>
      <c r="BJ47" s="286">
        <f t="shared" si="41"/>
        <v>-193.64339999999999</v>
      </c>
      <c r="BK47" s="287">
        <f t="shared" si="41"/>
        <v>0</v>
      </c>
      <c r="BL47" s="287"/>
      <c r="BM47" s="287"/>
    </row>
    <row r="48" spans="1:67" ht="13.5" customHeight="1" thickBot="1">
      <c r="A48" s="97" t="s">
        <v>204</v>
      </c>
      <c r="B48" s="98">
        <f>SUM(B31:B47)</f>
        <v>1051689.24</v>
      </c>
      <c r="C48" s="98">
        <f>SUM(C31:C47)</f>
        <v>1596892.23</v>
      </c>
      <c r="D48" s="98">
        <f>SUM(D31:D47)</f>
        <v>1336078.1400000001</v>
      </c>
      <c r="E48" s="98">
        <f>SUM(E31:E47)</f>
        <v>864897.47000000067</v>
      </c>
      <c r="F48" s="98">
        <f>SUM(F31:F47)</f>
        <v>8753630.6400000006</v>
      </c>
      <c r="G48" s="99"/>
      <c r="H48" s="98">
        <f>SUM(H31:H47)</f>
        <v>8753630.6400000006</v>
      </c>
      <c r="I48" s="98">
        <f>SUM(I31:I47)</f>
        <v>8753630.6400000006</v>
      </c>
      <c r="J48" s="98">
        <f>SUM(J31:J47)</f>
        <v>8753630.6400000006</v>
      </c>
      <c r="K48" s="98">
        <f>SUM(K31:K47)</f>
        <v>8753630.6400000006</v>
      </c>
      <c r="L48" s="98">
        <f>SUM(L31:L47)</f>
        <v>8753630.6400000006</v>
      </c>
      <c r="M48" s="99"/>
      <c r="N48" s="98">
        <f>SUM(N31:N47)</f>
        <v>8753630.6400000006</v>
      </c>
      <c r="O48" s="98">
        <f>SUM(O31:O47)</f>
        <v>8753630.6400000006</v>
      </c>
      <c r="P48" s="98">
        <f>SUM(P31:P47)</f>
        <v>8753630.6400000006</v>
      </c>
      <c r="Q48" s="98">
        <f>SUM(Q31:Q47)</f>
        <v>8753630.6400000006</v>
      </c>
      <c r="R48" s="98">
        <f>SUM(R31:R47)</f>
        <v>8753630.6400000006</v>
      </c>
      <c r="S48" s="99"/>
      <c r="T48" s="98">
        <f>SUM(T31:T47)</f>
        <v>8753630.6400000006</v>
      </c>
      <c r="U48" s="98">
        <f>SUM(U31:U47)</f>
        <v>8753630.6400000006</v>
      </c>
      <c r="V48" s="98">
        <f>SUM(V31:V47)</f>
        <v>8753630.6400000006</v>
      </c>
      <c r="W48" s="98">
        <f>SUM(W31:W47)</f>
        <v>8753630.6400000006</v>
      </c>
      <c r="X48" s="98">
        <f>SUM(X31:X47)</f>
        <v>8753630.6400000006</v>
      </c>
      <c r="Y48" s="99"/>
      <c r="Z48" s="98">
        <f>SUM(Z31:Z47)</f>
        <v>8753630.6400000006</v>
      </c>
      <c r="AA48" s="98">
        <f>SUM(AA31:AA47)</f>
        <v>8753630.6400000006</v>
      </c>
      <c r="AB48" s="98">
        <f>SUM(AB31:AB47)</f>
        <v>8753630.6400000006</v>
      </c>
      <c r="AC48" s="98">
        <f>SUM(AC31:AC47)</f>
        <v>8753630.6400000006</v>
      </c>
      <c r="AD48" s="98">
        <f>SUM(AD31:AD47)</f>
        <v>8753630.6400000006</v>
      </c>
      <c r="AE48" s="99"/>
      <c r="AF48" s="98">
        <f t="shared" ref="AF48:BM48" si="43">SUM(AF31:AF47)</f>
        <v>8753630.6400000006</v>
      </c>
      <c r="AG48" s="98">
        <f t="shared" si="43"/>
        <v>8753630.6400000006</v>
      </c>
      <c r="AH48" s="98">
        <f t="shared" si="43"/>
        <v>50198.5</v>
      </c>
      <c r="AI48" s="98">
        <f t="shared" si="43"/>
        <v>50198.5</v>
      </c>
      <c r="AJ48" s="98">
        <f t="shared" si="43"/>
        <v>48921.41635</v>
      </c>
      <c r="AK48" s="98">
        <f t="shared" si="43"/>
        <v>46139.224600000001</v>
      </c>
      <c r="AL48" s="98">
        <f t="shared" si="43"/>
        <v>45364.349500000004</v>
      </c>
      <c r="AM48" s="98">
        <f t="shared" si="43"/>
        <v>45364.349500000004</v>
      </c>
      <c r="AN48" s="98">
        <f t="shared" si="43"/>
        <v>45364.349500000004</v>
      </c>
      <c r="AO48" s="98">
        <f t="shared" si="43"/>
        <v>45098.044600000008</v>
      </c>
      <c r="AP48" s="98">
        <f t="shared" si="43"/>
        <v>46444.835050000009</v>
      </c>
      <c r="AQ48" s="98">
        <f t="shared" si="43"/>
        <v>43583.328700000005</v>
      </c>
      <c r="AR48" s="98">
        <f t="shared" si="43"/>
        <v>42291.511750000005</v>
      </c>
      <c r="AS48" s="98">
        <f t="shared" si="43"/>
        <v>43719.114250000006</v>
      </c>
      <c r="AT48" s="98">
        <f t="shared" si="43"/>
        <v>43719.114250000006</v>
      </c>
      <c r="AU48" s="98">
        <f t="shared" si="43"/>
        <v>43719.114250000006</v>
      </c>
      <c r="AV48" s="98">
        <f t="shared" si="43"/>
        <v>45839.503450000004</v>
      </c>
      <c r="AW48" s="98">
        <f t="shared" si="43"/>
        <v>43873.733500000002</v>
      </c>
      <c r="AX48" s="98">
        <f t="shared" si="43"/>
        <v>41418.106449999999</v>
      </c>
      <c r="AY48" s="98">
        <f t="shared" si="43"/>
        <v>43476.979599999999</v>
      </c>
      <c r="AZ48" s="98">
        <f t="shared" si="43"/>
        <v>44992.710549999996</v>
      </c>
      <c r="BA48" s="98">
        <f t="shared" si="43"/>
        <v>44992.710549999996</v>
      </c>
      <c r="BB48" s="98">
        <f t="shared" si="43"/>
        <v>44992.710549999996</v>
      </c>
      <c r="BC48" s="98">
        <f t="shared" si="43"/>
        <v>46982.178399999997</v>
      </c>
      <c r="BD48" s="98">
        <f t="shared" si="43"/>
        <v>47122.637199999997</v>
      </c>
      <c r="BE48" s="98">
        <f t="shared" si="43"/>
        <v>48352.04365</v>
      </c>
      <c r="BF48" s="98">
        <f t="shared" si="43"/>
        <v>48352.04365</v>
      </c>
      <c r="BG48" s="98">
        <f t="shared" si="43"/>
        <v>48352.04365</v>
      </c>
      <c r="BH48" s="98">
        <f t="shared" si="43"/>
        <v>48352.04365</v>
      </c>
      <c r="BI48" s="98">
        <f t="shared" si="43"/>
        <v>48352.04365</v>
      </c>
      <c r="BJ48" s="98">
        <f t="shared" si="43"/>
        <v>49697.256249999999</v>
      </c>
      <c r="BK48" s="98">
        <f t="shared" si="43"/>
        <v>49697.256249999999</v>
      </c>
      <c r="BL48" s="98">
        <f t="shared" si="43"/>
        <v>49697.256249999999</v>
      </c>
      <c r="BM48" s="98">
        <f t="shared" si="43"/>
        <v>49697.256249999999</v>
      </c>
      <c r="BN48" s="288"/>
      <c r="BO48" s="289"/>
    </row>
    <row r="49" spans="1:16384" ht="15" customHeight="1" thickTop="1"/>
    <row r="53" spans="1:16384" s="208" customFormat="1" ht="19.5">
      <c r="A53" s="5" t="s">
        <v>1018</v>
      </c>
      <c r="B53" s="209"/>
      <c r="C53" s="209"/>
      <c r="D53" s="209"/>
      <c r="E53" s="209"/>
      <c r="F53" s="209"/>
      <c r="G53" s="210"/>
      <c r="H53" s="209"/>
      <c r="I53" s="209"/>
      <c r="J53" s="209"/>
      <c r="K53" s="209"/>
      <c r="L53" s="209"/>
      <c r="M53" s="210"/>
      <c r="N53" s="209"/>
      <c r="O53" s="209"/>
      <c r="P53" s="209"/>
      <c r="Q53" s="209"/>
      <c r="R53" s="209"/>
      <c r="S53" s="210"/>
      <c r="T53" s="209"/>
      <c r="U53" s="209"/>
      <c r="V53" s="209"/>
      <c r="W53" s="209"/>
      <c r="X53" s="209"/>
      <c r="Y53" s="210"/>
      <c r="Z53" s="209"/>
      <c r="AA53" s="209"/>
      <c r="AB53" s="209"/>
      <c r="AC53" s="209"/>
      <c r="AD53" s="209"/>
      <c r="AE53" s="210"/>
      <c r="AF53" s="209"/>
      <c r="AG53" s="209"/>
      <c r="AH53" s="209"/>
      <c r="AI53" s="209"/>
      <c r="AJ53" s="209"/>
      <c r="AK53" s="209"/>
      <c r="AL53" s="209"/>
      <c r="AM53" s="209"/>
      <c r="AN53" s="209"/>
      <c r="AO53" s="209"/>
      <c r="AP53" s="209"/>
      <c r="AQ53" s="209"/>
      <c r="AR53" s="209"/>
      <c r="AS53" s="209"/>
      <c r="AT53" s="209"/>
      <c r="AU53" s="209"/>
      <c r="AV53" s="209"/>
      <c r="AW53" s="209"/>
      <c r="AX53" s="209"/>
      <c r="AY53" s="209"/>
      <c r="AZ53" s="209"/>
      <c r="BA53" s="209"/>
      <c r="BB53" s="209"/>
      <c r="BC53" s="209"/>
      <c r="BD53" s="209"/>
      <c r="BE53" s="209"/>
      <c r="BF53" s="209"/>
      <c r="BG53" s="209"/>
      <c r="BH53" s="209"/>
      <c r="BI53" s="209"/>
      <c r="BJ53" s="209"/>
      <c r="BK53" s="209"/>
      <c r="BL53" s="209"/>
      <c r="BM53" s="209"/>
    </row>
    <row r="54" spans="1:16384" s="208" customFormat="1" ht="19.5">
      <c r="A54" s="5" t="s">
        <v>1029</v>
      </c>
      <c r="B54" s="209"/>
      <c r="C54" s="209"/>
      <c r="D54" s="209"/>
      <c r="E54" s="209"/>
      <c r="F54" s="209"/>
      <c r="G54" s="210"/>
      <c r="H54" s="209"/>
      <c r="I54" s="209"/>
      <c r="J54" s="209"/>
      <c r="K54" s="209"/>
      <c r="L54" s="209"/>
      <c r="M54" s="210"/>
      <c r="N54" s="209"/>
      <c r="O54" s="209"/>
      <c r="P54" s="209"/>
      <c r="Q54" s="209"/>
      <c r="R54" s="209"/>
      <c r="S54" s="210"/>
      <c r="T54" s="209"/>
      <c r="U54" s="209"/>
      <c r="V54" s="209"/>
      <c r="W54" s="209"/>
      <c r="X54" s="209"/>
      <c r="Y54" s="210"/>
      <c r="Z54" s="209"/>
      <c r="AA54" s="209"/>
      <c r="AB54" s="209"/>
      <c r="AC54" s="209"/>
      <c r="AD54" s="209"/>
      <c r="AE54" s="210"/>
      <c r="AF54" s="209"/>
      <c r="AG54" s="209"/>
      <c r="AH54" s="209"/>
      <c r="AI54" s="209"/>
      <c r="AJ54" s="209"/>
      <c r="AK54" s="209"/>
      <c r="AL54" s="209"/>
      <c r="AM54" s="209"/>
      <c r="AN54" s="209"/>
      <c r="AO54" s="209"/>
      <c r="AP54" s="209"/>
      <c r="AQ54" s="209"/>
      <c r="AR54" s="209"/>
      <c r="AS54" s="209"/>
      <c r="AT54" s="209"/>
      <c r="AU54" s="209"/>
      <c r="AV54" s="209"/>
      <c r="AW54" s="209"/>
      <c r="AX54" s="209"/>
      <c r="AY54" s="209"/>
      <c r="AZ54" s="209"/>
      <c r="BA54" s="209"/>
      <c r="BB54" s="209"/>
      <c r="BC54" s="209"/>
      <c r="BD54" s="209"/>
      <c r="BE54" s="209"/>
      <c r="BF54" s="209"/>
      <c r="BG54" s="209"/>
      <c r="BH54" s="209"/>
      <c r="BI54" s="209"/>
      <c r="BJ54" s="209"/>
      <c r="BK54" s="209"/>
      <c r="BL54" s="209"/>
      <c r="BM54" s="209"/>
    </row>
    <row r="55" spans="1:16384" s="208" customFormat="1" ht="13.5" customHeight="1">
      <c r="A55" s="209"/>
      <c r="B55" s="209"/>
      <c r="C55" s="209"/>
      <c r="D55" s="209"/>
      <c r="E55" s="209"/>
      <c r="F55" s="209"/>
      <c r="G55" s="210"/>
      <c r="H55" s="209"/>
      <c r="I55" s="209"/>
      <c r="J55" s="209"/>
      <c r="K55" s="209"/>
      <c r="L55" s="209"/>
      <c r="M55" s="210"/>
      <c r="N55" s="209"/>
      <c r="O55" s="209"/>
      <c r="P55" s="209"/>
      <c r="Q55" s="209"/>
      <c r="R55" s="209"/>
      <c r="S55" s="210"/>
      <c r="T55" s="209"/>
      <c r="U55" s="209"/>
      <c r="V55" s="209"/>
      <c r="W55" s="209"/>
      <c r="X55" s="209"/>
      <c r="Y55" s="210"/>
      <c r="Z55" s="209"/>
      <c r="AA55" s="209"/>
      <c r="AB55" s="209"/>
      <c r="AC55" s="209"/>
      <c r="AD55" s="209"/>
      <c r="AE55" s="210"/>
      <c r="AF55" s="209"/>
      <c r="AG55" s="209"/>
      <c r="AH55" s="209"/>
      <c r="AI55" s="209"/>
      <c r="AJ55" s="209"/>
      <c r="AK55" s="209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09"/>
      <c r="AW55" s="209"/>
      <c r="AX55" s="209"/>
      <c r="AY55" s="209"/>
      <c r="AZ55" s="209"/>
      <c r="BA55" s="209"/>
      <c r="BB55" s="209"/>
      <c r="BC55" s="209"/>
      <c r="BD55" s="209"/>
      <c r="BE55" s="209"/>
      <c r="BF55" s="209"/>
      <c r="BG55" s="209"/>
      <c r="BH55" s="209"/>
      <c r="BI55" s="209"/>
      <c r="BJ55" s="209"/>
      <c r="BK55" s="209"/>
      <c r="BL55" s="209"/>
      <c r="BM55" s="209"/>
    </row>
    <row r="56" spans="1:16384" ht="12.75" customHeight="1">
      <c r="A56" s="82"/>
      <c r="B56" s="83">
        <f t="shared" ref="B56:F56" si="44">+B57</f>
        <v>41813</v>
      </c>
      <c r="C56" s="83">
        <f t="shared" si="44"/>
        <v>41814</v>
      </c>
      <c r="D56" s="83">
        <f t="shared" si="44"/>
        <v>41815</v>
      </c>
      <c r="E56" s="83">
        <f t="shared" si="44"/>
        <v>41816</v>
      </c>
      <c r="F56" s="83">
        <f t="shared" si="44"/>
        <v>41817</v>
      </c>
      <c r="G56" s="84"/>
      <c r="H56" s="83">
        <f t="shared" ref="H56:L56" si="45">+H57</f>
        <v>41820</v>
      </c>
      <c r="I56" s="83">
        <f t="shared" si="45"/>
        <v>41821</v>
      </c>
      <c r="J56" s="83">
        <f t="shared" si="45"/>
        <v>41822</v>
      </c>
      <c r="K56" s="83">
        <f t="shared" si="45"/>
        <v>41823</v>
      </c>
      <c r="L56" s="83">
        <f t="shared" si="45"/>
        <v>41824</v>
      </c>
      <c r="M56" s="84"/>
      <c r="N56" s="83">
        <f t="shared" ref="N56:R56" si="46">+N57</f>
        <v>41827</v>
      </c>
      <c r="O56" s="83">
        <f t="shared" si="46"/>
        <v>41828</v>
      </c>
      <c r="P56" s="83">
        <f t="shared" si="46"/>
        <v>41829</v>
      </c>
      <c r="Q56" s="83">
        <f t="shared" si="46"/>
        <v>41830</v>
      </c>
      <c r="R56" s="83">
        <f t="shared" si="46"/>
        <v>41831</v>
      </c>
      <c r="S56" s="84"/>
      <c r="T56" s="83">
        <f t="shared" ref="T56:X56" si="47">+T57</f>
        <v>41834</v>
      </c>
      <c r="U56" s="83">
        <f t="shared" si="47"/>
        <v>41835</v>
      </c>
      <c r="V56" s="83">
        <f t="shared" si="47"/>
        <v>41836</v>
      </c>
      <c r="W56" s="83">
        <f t="shared" si="47"/>
        <v>41837</v>
      </c>
      <c r="X56" s="83">
        <f t="shared" si="47"/>
        <v>41838</v>
      </c>
      <c r="Y56" s="84"/>
      <c r="Z56" s="83">
        <f t="shared" ref="Z56:AD56" si="48">+Z57</f>
        <v>41841</v>
      </c>
      <c r="AA56" s="83">
        <f t="shared" si="48"/>
        <v>41842</v>
      </c>
      <c r="AB56" s="83">
        <f t="shared" si="48"/>
        <v>41843</v>
      </c>
      <c r="AC56" s="83">
        <f t="shared" si="48"/>
        <v>41844</v>
      </c>
      <c r="AD56" s="83">
        <f t="shared" si="48"/>
        <v>41845</v>
      </c>
      <c r="AE56" s="84"/>
      <c r="AF56" s="83">
        <f t="shared" ref="AF56:AG56" si="49">+AF57</f>
        <v>41848</v>
      </c>
      <c r="AG56" s="83">
        <f t="shared" si="49"/>
        <v>41849</v>
      </c>
      <c r="AH56" s="83" t="s">
        <v>181</v>
      </c>
      <c r="AI56" s="273" t="s">
        <v>1020</v>
      </c>
      <c r="AJ56" s="273" t="s">
        <v>173</v>
      </c>
      <c r="AK56" s="273" t="s">
        <v>174</v>
      </c>
      <c r="AL56" s="273" t="s">
        <v>175</v>
      </c>
      <c r="AM56" s="273" t="s">
        <v>1010</v>
      </c>
      <c r="AN56" s="273" t="s">
        <v>176</v>
      </c>
      <c r="AO56" s="273" t="s">
        <v>177</v>
      </c>
      <c r="AP56" s="273" t="s">
        <v>1020</v>
      </c>
      <c r="AQ56" s="273" t="s">
        <v>173</v>
      </c>
      <c r="AR56" s="273" t="s">
        <v>174</v>
      </c>
      <c r="AS56" s="273" t="s">
        <v>175</v>
      </c>
      <c r="AT56" s="273" t="s">
        <v>1010</v>
      </c>
      <c r="AU56" s="273" t="s">
        <v>176</v>
      </c>
      <c r="AV56" s="273" t="s">
        <v>177</v>
      </c>
      <c r="AW56" s="273" t="s">
        <v>1020</v>
      </c>
      <c r="AX56" s="273" t="s">
        <v>173</v>
      </c>
      <c r="AY56" s="273" t="s">
        <v>174</v>
      </c>
      <c r="AZ56" s="273" t="s">
        <v>175</v>
      </c>
      <c r="BA56" s="273" t="s">
        <v>1010</v>
      </c>
      <c r="BB56" s="273" t="s">
        <v>176</v>
      </c>
      <c r="BC56" s="273" t="s">
        <v>177</v>
      </c>
      <c r="BD56" s="273" t="s">
        <v>1020</v>
      </c>
      <c r="BE56" s="273" t="s">
        <v>173</v>
      </c>
      <c r="BF56" s="273" t="s">
        <v>174</v>
      </c>
      <c r="BG56" s="273" t="s">
        <v>175</v>
      </c>
      <c r="BH56" s="273" t="s">
        <v>1010</v>
      </c>
      <c r="BI56" s="273" t="s">
        <v>176</v>
      </c>
      <c r="BJ56" s="273" t="s">
        <v>177</v>
      </c>
      <c r="BK56" s="273" t="s">
        <v>1020</v>
      </c>
      <c r="BL56" s="273" t="s">
        <v>173</v>
      </c>
      <c r="BM56" s="273"/>
    </row>
    <row r="57" spans="1:16384" ht="12.75" customHeight="1">
      <c r="A57" s="85" t="s">
        <v>182</v>
      </c>
      <c r="B57" s="85">
        <v>41813</v>
      </c>
      <c r="C57" s="85">
        <f t="shared" ref="C57:F57" si="50">+B57+1</f>
        <v>41814</v>
      </c>
      <c r="D57" s="85">
        <f t="shared" si="50"/>
        <v>41815</v>
      </c>
      <c r="E57" s="85">
        <f t="shared" si="50"/>
        <v>41816</v>
      </c>
      <c r="F57" s="85">
        <f t="shared" si="50"/>
        <v>41817</v>
      </c>
      <c r="G57" s="85" t="s">
        <v>183</v>
      </c>
      <c r="H57" s="85">
        <v>41820</v>
      </c>
      <c r="I57" s="85">
        <f t="shared" ref="I57:L57" si="51">+H57+1</f>
        <v>41821</v>
      </c>
      <c r="J57" s="85">
        <f t="shared" si="51"/>
        <v>41822</v>
      </c>
      <c r="K57" s="85">
        <f t="shared" si="51"/>
        <v>41823</v>
      </c>
      <c r="L57" s="85">
        <f t="shared" si="51"/>
        <v>41824</v>
      </c>
      <c r="M57" s="85" t="s">
        <v>183</v>
      </c>
      <c r="N57" s="85">
        <v>41827</v>
      </c>
      <c r="O57" s="85">
        <f t="shared" ref="O57:R57" si="52">+N57+1</f>
        <v>41828</v>
      </c>
      <c r="P57" s="85">
        <f t="shared" si="52"/>
        <v>41829</v>
      </c>
      <c r="Q57" s="85">
        <f t="shared" si="52"/>
        <v>41830</v>
      </c>
      <c r="R57" s="85">
        <f t="shared" si="52"/>
        <v>41831</v>
      </c>
      <c r="S57" s="85" t="s">
        <v>183</v>
      </c>
      <c r="T57" s="85">
        <v>41834</v>
      </c>
      <c r="U57" s="85">
        <f t="shared" ref="U57:X57" si="53">+T57+1</f>
        <v>41835</v>
      </c>
      <c r="V57" s="85">
        <f t="shared" si="53"/>
        <v>41836</v>
      </c>
      <c r="W57" s="85">
        <f t="shared" si="53"/>
        <v>41837</v>
      </c>
      <c r="X57" s="85">
        <f t="shared" si="53"/>
        <v>41838</v>
      </c>
      <c r="Y57" s="85" t="s">
        <v>183</v>
      </c>
      <c r="Z57" s="85">
        <v>41841</v>
      </c>
      <c r="AA57" s="85">
        <f t="shared" ref="AA57:AD57" si="54">+Z57+1</f>
        <v>41842</v>
      </c>
      <c r="AB57" s="85">
        <f t="shared" si="54"/>
        <v>41843</v>
      </c>
      <c r="AC57" s="85">
        <f t="shared" si="54"/>
        <v>41844</v>
      </c>
      <c r="AD57" s="85">
        <f t="shared" si="54"/>
        <v>41845</v>
      </c>
      <c r="AE57" s="85" t="s">
        <v>183</v>
      </c>
      <c r="AF57" s="85">
        <f>+AD57+3</f>
        <v>41848</v>
      </c>
      <c r="AG57" s="85">
        <f>+AF57+1</f>
        <v>41849</v>
      </c>
      <c r="AH57" s="85"/>
      <c r="AI57" s="85">
        <v>42979</v>
      </c>
      <c r="AJ57" s="85">
        <f>AI57+1</f>
        <v>42980</v>
      </c>
      <c r="AK57" s="85">
        <f t="shared" ref="AK57:BF57" si="55">AJ57+1</f>
        <v>42981</v>
      </c>
      <c r="AL57" s="85">
        <f t="shared" si="55"/>
        <v>42982</v>
      </c>
      <c r="AM57" s="85">
        <f t="shared" si="55"/>
        <v>42983</v>
      </c>
      <c r="AN57" s="85">
        <f t="shared" si="55"/>
        <v>42984</v>
      </c>
      <c r="AO57" s="85">
        <f t="shared" si="55"/>
        <v>42985</v>
      </c>
      <c r="AP57" s="85">
        <f t="shared" si="55"/>
        <v>42986</v>
      </c>
      <c r="AQ57" s="85">
        <f t="shared" si="55"/>
        <v>42987</v>
      </c>
      <c r="AR57" s="85">
        <f t="shared" si="55"/>
        <v>42988</v>
      </c>
      <c r="AS57" s="85">
        <f t="shared" si="55"/>
        <v>42989</v>
      </c>
      <c r="AT57" s="85">
        <f t="shared" si="55"/>
        <v>42990</v>
      </c>
      <c r="AU57" s="85">
        <f t="shared" si="55"/>
        <v>42991</v>
      </c>
      <c r="AV57" s="85">
        <f t="shared" si="55"/>
        <v>42992</v>
      </c>
      <c r="AW57" s="85">
        <f t="shared" si="55"/>
        <v>42993</v>
      </c>
      <c r="AX57" s="85">
        <f t="shared" si="55"/>
        <v>42994</v>
      </c>
      <c r="AY57" s="85">
        <f t="shared" si="55"/>
        <v>42995</v>
      </c>
      <c r="AZ57" s="85">
        <f t="shared" si="55"/>
        <v>42996</v>
      </c>
      <c r="BA57" s="85">
        <f t="shared" si="55"/>
        <v>42997</v>
      </c>
      <c r="BB57" s="85">
        <f t="shared" si="55"/>
        <v>42998</v>
      </c>
      <c r="BC57" s="85">
        <f t="shared" si="55"/>
        <v>42999</v>
      </c>
      <c r="BD57" s="85">
        <f t="shared" si="55"/>
        <v>43000</v>
      </c>
      <c r="BE57" s="85">
        <f t="shared" si="55"/>
        <v>43001</v>
      </c>
      <c r="BF57" s="85">
        <f t="shared" si="55"/>
        <v>43002</v>
      </c>
      <c r="BG57" s="85">
        <f>BF57+1</f>
        <v>43003</v>
      </c>
      <c r="BH57" s="85">
        <f t="shared" ref="BH57:BK57" si="56">BG57+1</f>
        <v>43004</v>
      </c>
      <c r="BI57" s="85">
        <f t="shared" si="56"/>
        <v>43005</v>
      </c>
      <c r="BJ57" s="85">
        <f t="shared" si="56"/>
        <v>43006</v>
      </c>
      <c r="BK57" s="85">
        <f t="shared" si="56"/>
        <v>43007</v>
      </c>
      <c r="BL57" s="85">
        <f>BK57+1</f>
        <v>43008</v>
      </c>
      <c r="BM57" s="85"/>
    </row>
    <row r="58" spans="1:16384" ht="12.75" customHeight="1">
      <c r="A58" s="86" t="s">
        <v>184</v>
      </c>
      <c r="B58" s="86">
        <v>1051689.24</v>
      </c>
      <c r="C58" s="86">
        <v>1596892.23</v>
      </c>
      <c r="D58" s="86">
        <v>1336078.1400000001</v>
      </c>
      <c r="E58" s="86">
        <v>864897.47000000067</v>
      </c>
      <c r="F58" s="86">
        <v>8753630.6400000006</v>
      </c>
      <c r="G58" s="87"/>
      <c r="H58" s="86">
        <f>+F75</f>
        <v>8753630.6400000006</v>
      </c>
      <c r="I58" s="86">
        <f t="shared" ref="I58:L58" si="57">+H75</f>
        <v>8753630.6400000006</v>
      </c>
      <c r="J58" s="86">
        <f t="shared" si="57"/>
        <v>8753630.6400000006</v>
      </c>
      <c r="K58" s="86">
        <f t="shared" si="57"/>
        <v>8753630.6400000006</v>
      </c>
      <c r="L58" s="86">
        <f t="shared" si="57"/>
        <v>8753630.6400000006</v>
      </c>
      <c r="M58" s="87"/>
      <c r="N58" s="86">
        <f>+L75</f>
        <v>8753630.6400000006</v>
      </c>
      <c r="O58" s="86">
        <f t="shared" ref="O58:R58" si="58">+N75</f>
        <v>8753630.6400000006</v>
      </c>
      <c r="P58" s="86">
        <f t="shared" si="58"/>
        <v>8753630.6400000006</v>
      </c>
      <c r="Q58" s="86">
        <f t="shared" si="58"/>
        <v>8753630.6400000006</v>
      </c>
      <c r="R58" s="86">
        <f t="shared" si="58"/>
        <v>8753630.6400000006</v>
      </c>
      <c r="S58" s="87"/>
      <c r="T58" s="86">
        <f>+R75</f>
        <v>8753630.6400000006</v>
      </c>
      <c r="U58" s="86">
        <f t="shared" ref="U58:X58" si="59">+T75</f>
        <v>8753630.6400000006</v>
      </c>
      <c r="V58" s="86">
        <f t="shared" si="59"/>
        <v>8753630.6400000006</v>
      </c>
      <c r="W58" s="86">
        <f t="shared" si="59"/>
        <v>8753630.6400000006</v>
      </c>
      <c r="X58" s="86">
        <f t="shared" si="59"/>
        <v>8753630.6400000006</v>
      </c>
      <c r="Y58" s="87"/>
      <c r="Z58" s="86">
        <f>+X75</f>
        <v>8753630.6400000006</v>
      </c>
      <c r="AA58" s="86">
        <f t="shared" ref="AA58:AD58" si="60">+Z75</f>
        <v>8753630.6400000006</v>
      </c>
      <c r="AB58" s="86">
        <f t="shared" si="60"/>
        <v>8753630.6400000006</v>
      </c>
      <c r="AC58" s="86">
        <f t="shared" si="60"/>
        <v>8753630.6400000006</v>
      </c>
      <c r="AD58" s="86">
        <f t="shared" si="60"/>
        <v>8753630.6400000006</v>
      </c>
      <c r="AE58" s="87"/>
      <c r="AF58" s="86">
        <f>+AD75</f>
        <v>8753630.6400000006</v>
      </c>
      <c r="AG58" s="86">
        <f>+AF75</f>
        <v>8753630.6400000006</v>
      </c>
      <c r="AH58" s="206">
        <f>BM48</f>
        <v>49697.256249999999</v>
      </c>
      <c r="AI58" s="206">
        <f>AH75</f>
        <v>49697.256249999999</v>
      </c>
      <c r="AJ58" s="206">
        <f t="shared" ref="AJ58:BL58" si="61">AI75</f>
        <v>48918.506774499998</v>
      </c>
      <c r="AK58" s="206">
        <f t="shared" si="61"/>
        <v>48918.506774499998</v>
      </c>
      <c r="AL58" s="206">
        <f t="shared" si="61"/>
        <v>48918.506774499998</v>
      </c>
      <c r="AM58" s="206">
        <f t="shared" si="61"/>
        <v>48650.870349999997</v>
      </c>
      <c r="AN58" s="206">
        <f t="shared" si="61"/>
        <v>50004.394752249995</v>
      </c>
      <c r="AO58" s="206">
        <f t="shared" si="61"/>
        <v>47128.580870500002</v>
      </c>
      <c r="AP58" s="206">
        <f t="shared" si="61"/>
        <v>45830.304835750001</v>
      </c>
      <c r="AQ58" s="206">
        <f t="shared" si="61"/>
        <v>47265.045348250002</v>
      </c>
      <c r="AR58" s="206">
        <f t="shared" si="61"/>
        <v>47265.045348250002</v>
      </c>
      <c r="AS58" s="206">
        <f t="shared" si="61"/>
        <v>47265.045348250002</v>
      </c>
      <c r="AT58" s="206">
        <f t="shared" si="61"/>
        <v>49396.036494250002</v>
      </c>
      <c r="AU58" s="206">
        <f t="shared" si="61"/>
        <v>47420.437694500011</v>
      </c>
      <c r="AV58" s="206">
        <f t="shared" si="61"/>
        <v>44952.532509250013</v>
      </c>
      <c r="AW58" s="206">
        <f t="shared" si="61"/>
        <v>47021.700025000013</v>
      </c>
      <c r="AX58" s="206">
        <f t="shared" si="61"/>
        <v>48545.009629750013</v>
      </c>
      <c r="AY58" s="206">
        <f t="shared" si="61"/>
        <v>48545.009629750013</v>
      </c>
      <c r="AZ58" s="206">
        <f t="shared" si="61"/>
        <v>48545.009629750013</v>
      </c>
      <c r="BA58" s="206">
        <f t="shared" si="61"/>
        <v>50544.424819000007</v>
      </c>
      <c r="BB58" s="206">
        <f t="shared" si="61"/>
        <v>50685.58591300001</v>
      </c>
      <c r="BC58" s="206">
        <f t="shared" si="61"/>
        <v>51921.139395250008</v>
      </c>
      <c r="BD58" s="206">
        <f t="shared" si="61"/>
        <v>51921.139395250008</v>
      </c>
      <c r="BE58" s="206">
        <f t="shared" si="61"/>
        <v>51921.139395250008</v>
      </c>
      <c r="BF58" s="206">
        <f t="shared" si="61"/>
        <v>51921.139395250008</v>
      </c>
      <c r="BG58" s="206">
        <f t="shared" si="61"/>
        <v>51921.139395250008</v>
      </c>
      <c r="BH58" s="206">
        <f t="shared" si="61"/>
        <v>53273.078058250008</v>
      </c>
      <c r="BI58" s="206">
        <f t="shared" si="61"/>
        <v>53273.078058250008</v>
      </c>
      <c r="BJ58" s="206">
        <f t="shared" si="61"/>
        <v>51989.608990000015</v>
      </c>
      <c r="BK58" s="206">
        <f t="shared" si="61"/>
        <v>49193.506281250018</v>
      </c>
      <c r="BL58" s="206">
        <f t="shared" si="61"/>
        <v>49193.506281250018</v>
      </c>
      <c r="BM58" s="206"/>
    </row>
    <row r="59" spans="1:16384" s="278" customFormat="1" ht="12.75" customHeight="1">
      <c r="A59" s="274" t="s">
        <v>1021</v>
      </c>
      <c r="B59" s="274"/>
      <c r="C59" s="274"/>
      <c r="D59" s="274"/>
      <c r="E59" s="274"/>
      <c r="F59" s="274"/>
      <c r="G59" s="275"/>
      <c r="H59" s="274"/>
      <c r="I59" s="274"/>
      <c r="J59" s="274"/>
      <c r="K59" s="274"/>
      <c r="L59" s="274"/>
      <c r="M59" s="275"/>
      <c r="N59" s="274"/>
      <c r="O59" s="274"/>
      <c r="P59" s="274"/>
      <c r="Q59" s="274"/>
      <c r="R59" s="274"/>
      <c r="S59" s="275"/>
      <c r="T59" s="274"/>
      <c r="U59" s="274"/>
      <c r="V59" s="274"/>
      <c r="W59" s="274"/>
      <c r="X59" s="274"/>
      <c r="Y59" s="275"/>
      <c r="Z59" s="274"/>
      <c r="AA59" s="274"/>
      <c r="AB59" s="274"/>
      <c r="AC59" s="274"/>
      <c r="AD59" s="274"/>
      <c r="AE59" s="275"/>
      <c r="AF59" s="274"/>
      <c r="AG59" s="274"/>
      <c r="AH59" s="284"/>
      <c r="AI59" s="284"/>
      <c r="AJ59" s="285"/>
      <c r="AK59" s="276"/>
      <c r="AL59" s="284"/>
      <c r="AM59" s="290"/>
      <c r="AN59" s="284"/>
      <c r="AP59" s="284"/>
      <c r="AQ59" s="285"/>
      <c r="AR59" s="276"/>
      <c r="AT59" s="290"/>
      <c r="AU59" s="284"/>
      <c r="AW59" s="284"/>
      <c r="AX59" s="285"/>
      <c r="AY59" s="276"/>
      <c r="BA59" s="290"/>
      <c r="BB59" s="284"/>
      <c r="BC59" s="279"/>
      <c r="BD59" s="279"/>
      <c r="BE59" s="285"/>
      <c r="BF59" s="276"/>
      <c r="BH59" s="290"/>
      <c r="BI59" s="284"/>
      <c r="BJ59" s="279"/>
      <c r="BK59" s="279"/>
      <c r="BL59" s="285"/>
      <c r="BM59" s="206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  <c r="IY59" s="74"/>
      <c r="IZ59" s="74"/>
      <c r="JA59" s="74"/>
      <c r="JB59" s="74"/>
      <c r="JC59" s="74"/>
      <c r="JD59" s="74"/>
      <c r="JE59" s="74"/>
      <c r="JF59" s="74"/>
      <c r="JG59" s="74"/>
      <c r="JH59" s="74"/>
      <c r="JI59" s="74"/>
      <c r="JJ59" s="74"/>
      <c r="JK59" s="74"/>
      <c r="JL59" s="74"/>
      <c r="JM59" s="74"/>
      <c r="JN59" s="74"/>
      <c r="JO59" s="74"/>
      <c r="JP59" s="74"/>
      <c r="JQ59" s="74"/>
      <c r="JR59" s="74"/>
      <c r="JS59" s="74"/>
      <c r="JT59" s="74"/>
      <c r="JU59" s="74"/>
      <c r="JV59" s="74"/>
      <c r="JW59" s="74"/>
      <c r="JX59" s="74"/>
      <c r="JY59" s="74"/>
      <c r="JZ59" s="74"/>
      <c r="KA59" s="74"/>
      <c r="KB59" s="74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  <c r="AMK59" s="74"/>
      <c r="AML59" s="74"/>
      <c r="AMM59" s="74"/>
      <c r="AMN59" s="74"/>
      <c r="AMO59" s="74"/>
      <c r="AMP59" s="74"/>
      <c r="AMQ59" s="74"/>
      <c r="AMR59" s="74"/>
      <c r="AMS59" s="74"/>
      <c r="AMT59" s="74"/>
      <c r="AMU59" s="74"/>
      <c r="AMV59" s="74"/>
      <c r="AMW59" s="74"/>
      <c r="AMX59" s="74"/>
      <c r="AMY59" s="74"/>
      <c r="AMZ59" s="74"/>
      <c r="ANA59" s="74"/>
      <c r="ANB59" s="74"/>
      <c r="ANC59" s="74"/>
      <c r="AND59" s="74"/>
      <c r="ANE59" s="74"/>
      <c r="ANF59" s="74"/>
      <c r="ANG59" s="74"/>
      <c r="ANH59" s="74"/>
      <c r="ANI59" s="74"/>
      <c r="ANJ59" s="74"/>
      <c r="ANK59" s="74"/>
      <c r="ANL59" s="74"/>
      <c r="ANM59" s="74"/>
      <c r="ANN59" s="74"/>
      <c r="ANO59" s="74"/>
      <c r="ANP59" s="74"/>
      <c r="ANQ59" s="74"/>
      <c r="ANR59" s="74"/>
      <c r="ANS59" s="74"/>
      <c r="ANT59" s="74"/>
      <c r="ANU59" s="74"/>
      <c r="ANV59" s="74"/>
      <c r="ANW59" s="74"/>
      <c r="ANX59" s="74"/>
      <c r="ANY59" s="74"/>
      <c r="ANZ59" s="74"/>
      <c r="AOA59" s="74"/>
      <c r="AOB59" s="74"/>
      <c r="AOC59" s="74"/>
      <c r="AOD59" s="74"/>
      <c r="AOE59" s="74"/>
      <c r="AOF59" s="74"/>
      <c r="AOG59" s="74"/>
      <c r="AOH59" s="74"/>
      <c r="AOI59" s="74"/>
      <c r="AOJ59" s="74"/>
      <c r="AOK59" s="74"/>
      <c r="AOL59" s="74"/>
      <c r="AOM59" s="74"/>
      <c r="AON59" s="74"/>
      <c r="AOO59" s="74"/>
      <c r="AOP59" s="74"/>
      <c r="AOQ59" s="74"/>
      <c r="AOR59" s="74"/>
      <c r="AOS59" s="74"/>
      <c r="AOT59" s="74"/>
      <c r="AOU59" s="74"/>
      <c r="AOV59" s="74"/>
      <c r="AOW59" s="74"/>
      <c r="AOX59" s="74"/>
      <c r="AOY59" s="74"/>
      <c r="AOZ59" s="74"/>
      <c r="APA59" s="74"/>
      <c r="APB59" s="74"/>
      <c r="APC59" s="74"/>
      <c r="APD59" s="74"/>
      <c r="APE59" s="74"/>
      <c r="APF59" s="74"/>
      <c r="APG59" s="74"/>
      <c r="APH59" s="74"/>
      <c r="API59" s="74"/>
      <c r="APJ59" s="74"/>
      <c r="APK59" s="74"/>
      <c r="APL59" s="74"/>
      <c r="APM59" s="74"/>
      <c r="APN59" s="74"/>
      <c r="APO59" s="74"/>
      <c r="APP59" s="74"/>
      <c r="APQ59" s="74"/>
      <c r="APR59" s="74"/>
      <c r="APS59" s="74"/>
      <c r="APT59" s="74"/>
      <c r="APU59" s="74"/>
      <c r="APV59" s="74"/>
      <c r="APW59" s="74"/>
      <c r="APX59" s="74"/>
      <c r="APY59" s="74"/>
      <c r="APZ59" s="74"/>
      <c r="AQA59" s="74"/>
      <c r="AQB59" s="74"/>
      <c r="AQC59" s="74"/>
      <c r="AQD59" s="74"/>
      <c r="AQE59" s="74"/>
      <c r="AQF59" s="74"/>
      <c r="AQG59" s="74"/>
      <c r="AQH59" s="74"/>
      <c r="AQI59" s="74"/>
      <c r="AQJ59" s="74"/>
      <c r="AQK59" s="74"/>
      <c r="AQL59" s="74"/>
      <c r="AQM59" s="74"/>
      <c r="AQN59" s="74"/>
      <c r="AQO59" s="74"/>
      <c r="AQP59" s="74"/>
      <c r="AQQ59" s="74"/>
      <c r="AQR59" s="74"/>
      <c r="AQS59" s="74"/>
      <c r="AQT59" s="74"/>
      <c r="AQU59" s="74"/>
      <c r="AQV59" s="74"/>
      <c r="AQW59" s="74"/>
      <c r="AQX59" s="74"/>
      <c r="AQY59" s="74"/>
      <c r="AQZ59" s="74"/>
      <c r="ARA59" s="74"/>
      <c r="ARB59" s="74"/>
      <c r="ARC59" s="74"/>
      <c r="ARD59" s="74"/>
      <c r="ARE59" s="74"/>
      <c r="ARF59" s="74"/>
      <c r="ARG59" s="74"/>
      <c r="ARH59" s="74"/>
      <c r="ARI59" s="74"/>
      <c r="ARJ59" s="74"/>
      <c r="ARK59" s="74"/>
      <c r="ARL59" s="74"/>
      <c r="ARM59" s="74"/>
      <c r="ARN59" s="74"/>
      <c r="ARO59" s="74"/>
      <c r="ARP59" s="74"/>
      <c r="ARQ59" s="74"/>
      <c r="ARR59" s="74"/>
      <c r="ARS59" s="74"/>
      <c r="ART59" s="74"/>
      <c r="ARU59" s="74"/>
      <c r="ARV59" s="74"/>
      <c r="ARW59" s="74"/>
      <c r="ARX59" s="74"/>
      <c r="ARY59" s="74"/>
      <c r="ARZ59" s="74"/>
      <c r="ASA59" s="74"/>
      <c r="ASB59" s="74"/>
      <c r="ASC59" s="74"/>
      <c r="ASD59" s="74"/>
      <c r="ASE59" s="74"/>
      <c r="ASF59" s="74"/>
      <c r="ASG59" s="74"/>
      <c r="ASH59" s="74"/>
      <c r="ASI59" s="74"/>
      <c r="ASJ59" s="74"/>
      <c r="ASK59" s="74"/>
      <c r="ASL59" s="74"/>
      <c r="ASM59" s="74"/>
      <c r="ASN59" s="74"/>
      <c r="ASO59" s="74"/>
      <c r="ASP59" s="74"/>
      <c r="ASQ59" s="74"/>
      <c r="ASR59" s="74"/>
      <c r="ASS59" s="74"/>
      <c r="AST59" s="74"/>
      <c r="ASU59" s="74"/>
      <c r="ASV59" s="74"/>
      <c r="ASW59" s="74"/>
      <c r="ASX59" s="74"/>
      <c r="ASY59" s="74"/>
      <c r="ASZ59" s="74"/>
      <c r="ATA59" s="74"/>
      <c r="ATB59" s="74"/>
      <c r="ATC59" s="74"/>
      <c r="ATD59" s="74"/>
      <c r="ATE59" s="74"/>
      <c r="ATF59" s="74"/>
      <c r="ATG59" s="74"/>
      <c r="ATH59" s="74"/>
      <c r="ATI59" s="74"/>
      <c r="ATJ59" s="74"/>
      <c r="ATK59" s="74"/>
      <c r="ATL59" s="74"/>
      <c r="ATM59" s="74"/>
      <c r="ATN59" s="74"/>
      <c r="ATO59" s="74"/>
      <c r="ATP59" s="74"/>
      <c r="ATQ59" s="74"/>
      <c r="ATR59" s="74"/>
      <c r="ATS59" s="74"/>
      <c r="ATT59" s="74"/>
      <c r="ATU59" s="74"/>
      <c r="ATV59" s="74"/>
      <c r="ATW59" s="74"/>
      <c r="ATX59" s="74"/>
      <c r="ATY59" s="74"/>
      <c r="ATZ59" s="74"/>
      <c r="AUA59" s="74"/>
      <c r="AUB59" s="74"/>
      <c r="AUC59" s="74"/>
      <c r="AUD59" s="74"/>
      <c r="AUE59" s="74"/>
      <c r="AUF59" s="74"/>
      <c r="AUG59" s="74"/>
      <c r="AUH59" s="74"/>
      <c r="AUI59" s="74"/>
      <c r="AUJ59" s="74"/>
      <c r="AUK59" s="74"/>
      <c r="AUL59" s="74"/>
      <c r="AUM59" s="74"/>
      <c r="AUN59" s="74"/>
      <c r="AUO59" s="74"/>
      <c r="AUP59" s="74"/>
      <c r="AUQ59" s="74"/>
      <c r="AUR59" s="74"/>
      <c r="AUS59" s="74"/>
      <c r="AUT59" s="74"/>
      <c r="AUU59" s="74"/>
      <c r="AUV59" s="74"/>
      <c r="AUW59" s="74"/>
      <c r="AUX59" s="74"/>
      <c r="AUY59" s="74"/>
      <c r="AUZ59" s="74"/>
      <c r="AVA59" s="74"/>
      <c r="AVB59" s="74"/>
      <c r="AVC59" s="74"/>
      <c r="AVD59" s="74"/>
      <c r="AVE59" s="74"/>
      <c r="AVF59" s="74"/>
      <c r="AVG59" s="74"/>
      <c r="AVH59" s="74"/>
      <c r="AVI59" s="74"/>
      <c r="AVJ59" s="74"/>
      <c r="AVK59" s="74"/>
      <c r="AVL59" s="74"/>
      <c r="AVM59" s="74"/>
      <c r="AVN59" s="74"/>
      <c r="AVO59" s="74"/>
      <c r="AVP59" s="74"/>
      <c r="AVQ59" s="74"/>
      <c r="AVR59" s="74"/>
      <c r="AVS59" s="74"/>
      <c r="AVT59" s="74"/>
      <c r="AVU59" s="74"/>
      <c r="AVV59" s="74"/>
      <c r="AVW59" s="74"/>
      <c r="AVX59" s="74"/>
      <c r="AVY59" s="74"/>
      <c r="AVZ59" s="74"/>
      <c r="AWA59" s="74"/>
      <c r="AWB59" s="74"/>
      <c r="AWC59" s="74"/>
      <c r="AWD59" s="74"/>
      <c r="AWE59" s="74"/>
      <c r="AWF59" s="74"/>
      <c r="AWG59" s="74"/>
      <c r="AWH59" s="74"/>
      <c r="AWI59" s="74"/>
      <c r="AWJ59" s="74"/>
      <c r="AWK59" s="74"/>
      <c r="AWL59" s="74"/>
      <c r="AWM59" s="74"/>
      <c r="AWN59" s="74"/>
      <c r="AWO59" s="74"/>
      <c r="AWP59" s="74"/>
      <c r="AWQ59" s="74"/>
      <c r="AWR59" s="74"/>
      <c r="AWS59" s="74"/>
      <c r="AWT59" s="74"/>
      <c r="AWU59" s="74"/>
      <c r="AWV59" s="74"/>
      <c r="AWW59" s="74"/>
      <c r="AWX59" s="74"/>
      <c r="AWY59" s="74"/>
      <c r="AWZ59" s="74"/>
      <c r="AXA59" s="74"/>
      <c r="AXB59" s="74"/>
      <c r="AXC59" s="74"/>
      <c r="AXD59" s="74"/>
      <c r="AXE59" s="74"/>
      <c r="AXF59" s="74"/>
      <c r="AXG59" s="74"/>
      <c r="AXH59" s="74"/>
      <c r="AXI59" s="74"/>
      <c r="AXJ59" s="74"/>
      <c r="AXK59" s="74"/>
      <c r="AXL59" s="74"/>
      <c r="AXM59" s="74"/>
      <c r="AXN59" s="74"/>
      <c r="AXO59" s="74"/>
      <c r="AXP59" s="74"/>
      <c r="AXQ59" s="74"/>
      <c r="AXR59" s="74"/>
      <c r="AXS59" s="74"/>
      <c r="AXT59" s="74"/>
      <c r="AXU59" s="74"/>
      <c r="AXV59" s="74"/>
      <c r="AXW59" s="74"/>
      <c r="AXX59" s="74"/>
      <c r="AXY59" s="74"/>
      <c r="AXZ59" s="74"/>
      <c r="AYA59" s="74"/>
      <c r="AYB59" s="74"/>
      <c r="AYC59" s="74"/>
      <c r="AYD59" s="74"/>
      <c r="AYE59" s="74"/>
      <c r="AYF59" s="74"/>
      <c r="AYG59" s="74"/>
      <c r="AYH59" s="74"/>
      <c r="AYI59" s="74"/>
      <c r="AYJ59" s="74"/>
      <c r="AYK59" s="74"/>
      <c r="AYL59" s="74"/>
      <c r="AYM59" s="74"/>
      <c r="AYN59" s="74"/>
      <c r="AYO59" s="74"/>
      <c r="AYP59" s="74"/>
      <c r="AYQ59" s="74"/>
      <c r="AYR59" s="74"/>
      <c r="AYS59" s="74"/>
      <c r="AYT59" s="74"/>
      <c r="AYU59" s="74"/>
      <c r="AYV59" s="74"/>
      <c r="AYW59" s="74"/>
      <c r="AYX59" s="74"/>
      <c r="AYY59" s="74"/>
      <c r="AYZ59" s="74"/>
      <c r="AZA59" s="74"/>
      <c r="AZB59" s="74"/>
      <c r="AZC59" s="74"/>
      <c r="AZD59" s="74"/>
      <c r="AZE59" s="74"/>
      <c r="AZF59" s="74"/>
      <c r="AZG59" s="74"/>
      <c r="AZH59" s="74"/>
      <c r="AZI59" s="74"/>
      <c r="AZJ59" s="74"/>
      <c r="AZK59" s="74"/>
      <c r="AZL59" s="74"/>
      <c r="AZM59" s="74"/>
      <c r="AZN59" s="74"/>
      <c r="AZO59" s="74"/>
      <c r="AZP59" s="74"/>
      <c r="AZQ59" s="74"/>
      <c r="AZR59" s="74"/>
      <c r="AZS59" s="74"/>
      <c r="AZT59" s="74"/>
      <c r="AZU59" s="74"/>
      <c r="AZV59" s="74"/>
      <c r="AZW59" s="74"/>
      <c r="AZX59" s="74"/>
      <c r="AZY59" s="74"/>
      <c r="AZZ59" s="74"/>
      <c r="BAA59" s="74"/>
      <c r="BAB59" s="74"/>
      <c r="BAC59" s="74"/>
      <c r="BAD59" s="74"/>
      <c r="BAE59" s="74"/>
      <c r="BAF59" s="74"/>
      <c r="BAG59" s="74"/>
      <c r="BAH59" s="74"/>
      <c r="BAI59" s="74"/>
      <c r="BAJ59" s="74"/>
      <c r="BAK59" s="74"/>
      <c r="BAL59" s="74"/>
      <c r="BAM59" s="74"/>
      <c r="BAN59" s="74"/>
      <c r="BAO59" s="74"/>
      <c r="BAP59" s="74"/>
      <c r="BAQ59" s="74"/>
      <c r="BAR59" s="74"/>
      <c r="BAS59" s="74"/>
      <c r="BAT59" s="74"/>
      <c r="BAU59" s="74"/>
      <c r="BAV59" s="74"/>
      <c r="BAW59" s="74"/>
      <c r="BAX59" s="74"/>
      <c r="BAY59" s="74"/>
      <c r="BAZ59" s="74"/>
      <c r="BBA59" s="74"/>
      <c r="BBB59" s="74"/>
      <c r="BBC59" s="74"/>
      <c r="BBD59" s="74"/>
      <c r="BBE59" s="74"/>
      <c r="BBF59" s="74"/>
      <c r="BBG59" s="74"/>
      <c r="BBH59" s="74"/>
      <c r="BBI59" s="74"/>
      <c r="BBJ59" s="74"/>
      <c r="BBK59" s="74"/>
      <c r="BBL59" s="74"/>
      <c r="BBM59" s="74"/>
      <c r="BBN59" s="74"/>
      <c r="BBO59" s="74"/>
      <c r="BBP59" s="74"/>
      <c r="BBQ59" s="74"/>
      <c r="BBR59" s="74"/>
      <c r="BBS59" s="74"/>
      <c r="BBT59" s="74"/>
      <c r="BBU59" s="74"/>
      <c r="BBV59" s="74"/>
      <c r="BBW59" s="74"/>
      <c r="BBX59" s="74"/>
      <c r="BBY59" s="74"/>
      <c r="BBZ59" s="74"/>
      <c r="BCA59" s="74"/>
      <c r="BCB59" s="74"/>
      <c r="BCC59" s="74"/>
      <c r="BCD59" s="74"/>
      <c r="BCE59" s="74"/>
      <c r="BCF59" s="74"/>
      <c r="BCG59" s="74"/>
      <c r="BCH59" s="74"/>
      <c r="BCI59" s="74"/>
      <c r="BCJ59" s="74"/>
      <c r="BCK59" s="74"/>
      <c r="BCL59" s="74"/>
      <c r="BCM59" s="74"/>
      <c r="BCN59" s="74"/>
      <c r="BCO59" s="74"/>
      <c r="BCP59" s="74"/>
      <c r="BCQ59" s="74"/>
      <c r="BCR59" s="74"/>
      <c r="BCS59" s="74"/>
      <c r="BCT59" s="74"/>
      <c r="BCU59" s="74"/>
      <c r="BCV59" s="74"/>
      <c r="BCW59" s="74"/>
      <c r="BCX59" s="74"/>
      <c r="BCY59" s="74"/>
      <c r="BCZ59" s="74"/>
      <c r="BDA59" s="74"/>
      <c r="BDB59" s="74"/>
      <c r="BDC59" s="74"/>
      <c r="BDD59" s="74"/>
      <c r="BDE59" s="74"/>
      <c r="BDF59" s="74"/>
      <c r="BDG59" s="74"/>
      <c r="BDH59" s="74"/>
      <c r="BDI59" s="74"/>
      <c r="BDJ59" s="74"/>
      <c r="BDK59" s="74"/>
      <c r="BDL59" s="74"/>
      <c r="BDM59" s="74"/>
      <c r="BDN59" s="74"/>
      <c r="BDO59" s="74"/>
      <c r="BDP59" s="74"/>
      <c r="BDQ59" s="74"/>
      <c r="BDR59" s="74"/>
      <c r="BDS59" s="74"/>
      <c r="BDT59" s="74"/>
      <c r="BDU59" s="74"/>
      <c r="BDV59" s="74"/>
      <c r="BDW59" s="74"/>
      <c r="BDX59" s="74"/>
      <c r="BDY59" s="74"/>
      <c r="BDZ59" s="74"/>
      <c r="BEA59" s="74"/>
      <c r="BEB59" s="74"/>
      <c r="BEC59" s="74"/>
      <c r="BED59" s="74"/>
      <c r="BEE59" s="74"/>
      <c r="BEF59" s="74"/>
      <c r="BEG59" s="74"/>
      <c r="BEH59" s="74"/>
      <c r="BEI59" s="74"/>
      <c r="BEJ59" s="74"/>
      <c r="BEK59" s="74"/>
      <c r="BEL59" s="74"/>
      <c r="BEM59" s="74"/>
      <c r="BEN59" s="74"/>
      <c r="BEO59" s="74"/>
      <c r="BEP59" s="74"/>
      <c r="BEQ59" s="74"/>
      <c r="BER59" s="74"/>
      <c r="BES59" s="74"/>
      <c r="BET59" s="74"/>
      <c r="BEU59" s="74"/>
      <c r="BEV59" s="74"/>
      <c r="BEW59" s="74"/>
      <c r="BEX59" s="74"/>
      <c r="BEY59" s="74"/>
      <c r="BEZ59" s="74"/>
      <c r="BFA59" s="74"/>
      <c r="BFB59" s="74"/>
      <c r="BFC59" s="74"/>
      <c r="BFD59" s="74"/>
      <c r="BFE59" s="74"/>
      <c r="BFF59" s="74"/>
      <c r="BFG59" s="74"/>
      <c r="BFH59" s="74"/>
      <c r="BFI59" s="74"/>
      <c r="BFJ59" s="74"/>
      <c r="BFK59" s="74"/>
      <c r="BFL59" s="74"/>
      <c r="BFM59" s="74"/>
      <c r="BFN59" s="74"/>
      <c r="BFO59" s="74"/>
      <c r="BFP59" s="74"/>
      <c r="BFQ59" s="74"/>
      <c r="BFR59" s="74"/>
      <c r="BFS59" s="74"/>
      <c r="BFT59" s="74"/>
      <c r="BFU59" s="74"/>
      <c r="BFV59" s="74"/>
      <c r="BFW59" s="74"/>
      <c r="BFX59" s="74"/>
      <c r="BFY59" s="74"/>
      <c r="BFZ59" s="74"/>
      <c r="BGA59" s="74"/>
      <c r="BGB59" s="74"/>
      <c r="BGC59" s="74"/>
      <c r="BGD59" s="74"/>
      <c r="BGE59" s="74"/>
      <c r="BGF59" s="74"/>
      <c r="BGG59" s="74"/>
      <c r="BGH59" s="74"/>
      <c r="BGI59" s="74"/>
      <c r="BGJ59" s="74"/>
      <c r="BGK59" s="74"/>
      <c r="BGL59" s="74"/>
      <c r="BGM59" s="74"/>
      <c r="BGN59" s="74"/>
      <c r="BGO59" s="74"/>
      <c r="BGP59" s="74"/>
      <c r="BGQ59" s="74"/>
      <c r="BGR59" s="74"/>
      <c r="BGS59" s="74"/>
      <c r="BGT59" s="74"/>
      <c r="BGU59" s="74"/>
      <c r="BGV59" s="74"/>
      <c r="BGW59" s="74"/>
      <c r="BGX59" s="74"/>
      <c r="BGY59" s="74"/>
      <c r="BGZ59" s="74"/>
      <c r="BHA59" s="74"/>
      <c r="BHB59" s="74"/>
      <c r="BHC59" s="74"/>
      <c r="BHD59" s="74"/>
      <c r="BHE59" s="74"/>
      <c r="BHF59" s="74"/>
      <c r="BHG59" s="74"/>
      <c r="BHH59" s="74"/>
      <c r="BHI59" s="74"/>
      <c r="BHJ59" s="74"/>
      <c r="BHK59" s="74"/>
      <c r="BHL59" s="74"/>
      <c r="BHM59" s="74"/>
      <c r="BHN59" s="74"/>
      <c r="BHO59" s="74"/>
      <c r="BHP59" s="74"/>
      <c r="BHQ59" s="74"/>
      <c r="BHR59" s="74"/>
      <c r="BHS59" s="74"/>
      <c r="BHT59" s="74"/>
      <c r="BHU59" s="74"/>
      <c r="BHV59" s="74"/>
      <c r="BHW59" s="74"/>
      <c r="BHX59" s="74"/>
      <c r="BHY59" s="74"/>
      <c r="BHZ59" s="74"/>
      <c r="BIA59" s="74"/>
      <c r="BIB59" s="74"/>
      <c r="BIC59" s="74"/>
      <c r="BID59" s="74"/>
      <c r="BIE59" s="74"/>
      <c r="BIF59" s="74"/>
      <c r="BIG59" s="74"/>
      <c r="BIH59" s="74"/>
      <c r="BII59" s="74"/>
      <c r="BIJ59" s="74"/>
      <c r="BIK59" s="74"/>
      <c r="BIL59" s="74"/>
      <c r="BIM59" s="74"/>
      <c r="BIN59" s="74"/>
      <c r="BIO59" s="74"/>
      <c r="BIP59" s="74"/>
      <c r="BIQ59" s="74"/>
      <c r="BIR59" s="74"/>
      <c r="BIS59" s="74"/>
      <c r="BIT59" s="74"/>
      <c r="BIU59" s="74"/>
      <c r="BIV59" s="74"/>
      <c r="BIW59" s="74"/>
      <c r="BIX59" s="74"/>
      <c r="BIY59" s="74"/>
      <c r="BIZ59" s="74"/>
      <c r="BJA59" s="74"/>
      <c r="BJB59" s="74"/>
      <c r="BJC59" s="74"/>
      <c r="BJD59" s="74"/>
      <c r="BJE59" s="74"/>
      <c r="BJF59" s="74"/>
      <c r="BJG59" s="74"/>
      <c r="BJH59" s="74"/>
      <c r="BJI59" s="74"/>
      <c r="BJJ59" s="74"/>
      <c r="BJK59" s="74"/>
      <c r="BJL59" s="74"/>
      <c r="BJM59" s="74"/>
      <c r="BJN59" s="74"/>
      <c r="BJO59" s="74"/>
      <c r="BJP59" s="74"/>
      <c r="BJQ59" s="74"/>
      <c r="BJR59" s="74"/>
      <c r="BJS59" s="74"/>
      <c r="BJT59" s="74"/>
      <c r="BJU59" s="74"/>
      <c r="BJV59" s="74"/>
      <c r="BJW59" s="74"/>
      <c r="BJX59" s="74"/>
      <c r="BJY59" s="74"/>
      <c r="BJZ59" s="74"/>
      <c r="BKA59" s="74"/>
      <c r="BKB59" s="74"/>
      <c r="BKC59" s="74"/>
      <c r="BKD59" s="74"/>
      <c r="BKE59" s="74"/>
      <c r="BKF59" s="74"/>
      <c r="BKG59" s="74"/>
      <c r="BKH59" s="74"/>
      <c r="BKI59" s="74"/>
      <c r="BKJ59" s="74"/>
      <c r="BKK59" s="74"/>
      <c r="BKL59" s="74"/>
      <c r="BKM59" s="74"/>
      <c r="BKN59" s="74"/>
      <c r="BKO59" s="74"/>
      <c r="BKP59" s="74"/>
      <c r="BKQ59" s="74"/>
      <c r="BKR59" s="74"/>
      <c r="BKS59" s="74"/>
      <c r="BKT59" s="74"/>
      <c r="BKU59" s="74"/>
      <c r="BKV59" s="74"/>
      <c r="BKW59" s="74"/>
      <c r="BKX59" s="74"/>
      <c r="BKY59" s="74"/>
      <c r="BKZ59" s="74"/>
      <c r="BLA59" s="74"/>
      <c r="BLB59" s="74"/>
      <c r="BLC59" s="74"/>
      <c r="BLD59" s="74"/>
      <c r="BLE59" s="74"/>
      <c r="BLF59" s="74"/>
      <c r="BLG59" s="74"/>
      <c r="BLH59" s="74"/>
      <c r="BLI59" s="74"/>
      <c r="BLJ59" s="74"/>
      <c r="BLK59" s="74"/>
      <c r="BLL59" s="74"/>
      <c r="BLM59" s="74"/>
      <c r="BLN59" s="74"/>
      <c r="BLO59" s="74"/>
      <c r="BLP59" s="74"/>
      <c r="BLQ59" s="74"/>
      <c r="BLR59" s="74"/>
      <c r="BLS59" s="74"/>
      <c r="BLT59" s="74"/>
      <c r="BLU59" s="74"/>
      <c r="BLV59" s="74"/>
      <c r="BLW59" s="74"/>
      <c r="BLX59" s="74"/>
      <c r="BLY59" s="74"/>
      <c r="BLZ59" s="74"/>
      <c r="BMA59" s="74"/>
      <c r="BMB59" s="74"/>
      <c r="BMC59" s="74"/>
      <c r="BMD59" s="74"/>
      <c r="BME59" s="74"/>
      <c r="BMF59" s="74"/>
      <c r="BMG59" s="74"/>
      <c r="BMH59" s="74"/>
      <c r="BMI59" s="74"/>
      <c r="BMJ59" s="74"/>
      <c r="BMK59" s="74"/>
      <c r="BML59" s="74"/>
      <c r="BMM59" s="74"/>
      <c r="BMN59" s="74"/>
      <c r="BMO59" s="74"/>
      <c r="BMP59" s="74"/>
      <c r="BMQ59" s="74"/>
      <c r="BMR59" s="74"/>
      <c r="BMS59" s="74"/>
      <c r="BMT59" s="74"/>
      <c r="BMU59" s="74"/>
      <c r="BMV59" s="74"/>
      <c r="BMW59" s="74"/>
      <c r="BMX59" s="74"/>
      <c r="BMY59" s="74"/>
      <c r="BMZ59" s="74"/>
      <c r="BNA59" s="74"/>
      <c r="BNB59" s="74"/>
      <c r="BNC59" s="74"/>
      <c r="BND59" s="74"/>
      <c r="BNE59" s="74"/>
      <c r="BNF59" s="74"/>
      <c r="BNG59" s="74"/>
      <c r="BNH59" s="74"/>
      <c r="BNI59" s="74"/>
      <c r="BNJ59" s="74"/>
      <c r="BNK59" s="74"/>
      <c r="BNL59" s="74"/>
      <c r="BNM59" s="74"/>
      <c r="BNN59" s="74"/>
      <c r="BNO59" s="74"/>
      <c r="BNP59" s="74"/>
      <c r="BNQ59" s="74"/>
      <c r="BNR59" s="74"/>
      <c r="BNS59" s="74"/>
      <c r="BNT59" s="74"/>
      <c r="BNU59" s="74"/>
      <c r="BNV59" s="74"/>
      <c r="BNW59" s="74"/>
      <c r="BNX59" s="74"/>
      <c r="BNY59" s="74"/>
      <c r="BNZ59" s="74"/>
      <c r="BOA59" s="74"/>
      <c r="BOB59" s="74"/>
      <c r="BOC59" s="74"/>
      <c r="BOD59" s="74"/>
      <c r="BOE59" s="74"/>
      <c r="BOF59" s="74"/>
      <c r="BOG59" s="74"/>
      <c r="BOH59" s="74"/>
      <c r="BOI59" s="74"/>
      <c r="BOJ59" s="74"/>
      <c r="BOK59" s="74"/>
      <c r="BOL59" s="74"/>
      <c r="BOM59" s="74"/>
      <c r="BON59" s="74"/>
      <c r="BOO59" s="74"/>
      <c r="BOP59" s="74"/>
      <c r="BOQ59" s="74"/>
      <c r="BOR59" s="74"/>
      <c r="BOS59" s="74"/>
      <c r="BOT59" s="74"/>
      <c r="BOU59" s="74"/>
      <c r="BOV59" s="74"/>
      <c r="BOW59" s="74"/>
      <c r="BOX59" s="74"/>
      <c r="BOY59" s="74"/>
      <c r="BOZ59" s="74"/>
      <c r="BPA59" s="74"/>
      <c r="BPB59" s="74"/>
      <c r="BPC59" s="74"/>
      <c r="BPD59" s="74"/>
      <c r="BPE59" s="74"/>
      <c r="BPF59" s="74"/>
      <c r="BPG59" s="74"/>
      <c r="BPH59" s="74"/>
      <c r="BPI59" s="74"/>
      <c r="BPJ59" s="74"/>
      <c r="BPK59" s="74"/>
      <c r="BPL59" s="74"/>
      <c r="BPM59" s="74"/>
      <c r="BPN59" s="74"/>
      <c r="BPO59" s="74"/>
      <c r="BPP59" s="74"/>
      <c r="BPQ59" s="74"/>
      <c r="BPR59" s="74"/>
      <c r="BPS59" s="74"/>
      <c r="BPT59" s="74"/>
      <c r="BPU59" s="74"/>
      <c r="BPV59" s="74"/>
      <c r="BPW59" s="74"/>
      <c r="BPX59" s="74"/>
      <c r="BPY59" s="74"/>
      <c r="BPZ59" s="74"/>
      <c r="BQA59" s="74"/>
      <c r="BQB59" s="74"/>
      <c r="BQC59" s="74"/>
      <c r="BQD59" s="74"/>
      <c r="BQE59" s="74"/>
      <c r="BQF59" s="74"/>
      <c r="BQG59" s="74"/>
      <c r="BQH59" s="74"/>
      <c r="BQI59" s="74"/>
      <c r="BQJ59" s="74"/>
      <c r="BQK59" s="74"/>
      <c r="BQL59" s="74"/>
      <c r="BQM59" s="74"/>
      <c r="BQN59" s="74"/>
      <c r="BQO59" s="74"/>
      <c r="BQP59" s="74"/>
      <c r="BQQ59" s="74"/>
      <c r="BQR59" s="74"/>
      <c r="BQS59" s="74"/>
      <c r="BQT59" s="74"/>
      <c r="BQU59" s="74"/>
      <c r="BQV59" s="74"/>
      <c r="BQW59" s="74"/>
      <c r="BQX59" s="74"/>
      <c r="BQY59" s="74"/>
      <c r="BQZ59" s="74"/>
      <c r="BRA59" s="74"/>
      <c r="BRB59" s="74"/>
      <c r="BRC59" s="74"/>
      <c r="BRD59" s="74"/>
      <c r="BRE59" s="74"/>
      <c r="BRF59" s="74"/>
      <c r="BRG59" s="74"/>
      <c r="BRH59" s="74"/>
      <c r="BRI59" s="74"/>
      <c r="BRJ59" s="74"/>
      <c r="BRK59" s="74"/>
      <c r="BRL59" s="74"/>
      <c r="BRM59" s="74"/>
      <c r="BRN59" s="74"/>
      <c r="BRO59" s="74"/>
      <c r="BRP59" s="74"/>
      <c r="BRQ59" s="74"/>
      <c r="BRR59" s="74"/>
      <c r="BRS59" s="74"/>
      <c r="BRT59" s="74"/>
      <c r="BRU59" s="74"/>
      <c r="BRV59" s="74"/>
      <c r="BRW59" s="74"/>
      <c r="BRX59" s="74"/>
      <c r="BRY59" s="74"/>
      <c r="BRZ59" s="74"/>
      <c r="BSA59" s="74"/>
      <c r="BSB59" s="74"/>
      <c r="BSC59" s="74"/>
      <c r="BSD59" s="74"/>
      <c r="BSE59" s="74"/>
      <c r="BSF59" s="74"/>
      <c r="BSG59" s="74"/>
      <c r="BSH59" s="74"/>
      <c r="BSI59" s="74"/>
      <c r="BSJ59" s="74"/>
      <c r="BSK59" s="74"/>
      <c r="BSL59" s="74"/>
      <c r="BSM59" s="74"/>
      <c r="BSN59" s="74"/>
      <c r="BSO59" s="74"/>
      <c r="BSP59" s="74"/>
      <c r="BSQ59" s="74"/>
      <c r="BSR59" s="74"/>
      <c r="BSS59" s="74"/>
      <c r="BST59" s="74"/>
      <c r="BSU59" s="74"/>
      <c r="BSV59" s="74"/>
      <c r="BSW59" s="74"/>
      <c r="BSX59" s="74"/>
      <c r="BSY59" s="74"/>
      <c r="BSZ59" s="74"/>
      <c r="BTA59" s="74"/>
      <c r="BTB59" s="74"/>
      <c r="BTC59" s="74"/>
      <c r="BTD59" s="74"/>
      <c r="BTE59" s="74"/>
      <c r="BTF59" s="74"/>
      <c r="BTG59" s="74"/>
      <c r="BTH59" s="74"/>
      <c r="BTI59" s="74"/>
      <c r="BTJ59" s="74"/>
      <c r="BTK59" s="74"/>
      <c r="BTL59" s="74"/>
      <c r="BTM59" s="74"/>
      <c r="BTN59" s="74"/>
      <c r="BTO59" s="74"/>
      <c r="BTP59" s="74"/>
      <c r="BTQ59" s="74"/>
      <c r="BTR59" s="74"/>
      <c r="BTS59" s="74"/>
      <c r="BTT59" s="74"/>
      <c r="BTU59" s="74"/>
      <c r="BTV59" s="74"/>
      <c r="BTW59" s="74"/>
      <c r="BTX59" s="74"/>
      <c r="BTY59" s="74"/>
      <c r="BTZ59" s="74"/>
      <c r="BUA59" s="74"/>
      <c r="BUB59" s="74"/>
      <c r="BUC59" s="74"/>
      <c r="BUD59" s="74"/>
      <c r="BUE59" s="74"/>
      <c r="BUF59" s="74"/>
      <c r="BUG59" s="74"/>
      <c r="BUH59" s="74"/>
      <c r="BUI59" s="74"/>
      <c r="BUJ59" s="74"/>
      <c r="BUK59" s="74"/>
      <c r="BUL59" s="74"/>
      <c r="BUM59" s="74"/>
      <c r="BUN59" s="74"/>
      <c r="BUO59" s="74"/>
      <c r="BUP59" s="74"/>
      <c r="BUQ59" s="74"/>
      <c r="BUR59" s="74"/>
      <c r="BUS59" s="74"/>
      <c r="BUT59" s="74"/>
      <c r="BUU59" s="74"/>
      <c r="BUV59" s="74"/>
      <c r="BUW59" s="74"/>
      <c r="BUX59" s="74"/>
      <c r="BUY59" s="74"/>
      <c r="BUZ59" s="74"/>
      <c r="BVA59" s="74"/>
      <c r="BVB59" s="74"/>
      <c r="BVC59" s="74"/>
      <c r="BVD59" s="74"/>
      <c r="BVE59" s="74"/>
      <c r="BVF59" s="74"/>
      <c r="BVG59" s="74"/>
      <c r="BVH59" s="74"/>
      <c r="BVI59" s="74"/>
      <c r="BVJ59" s="74"/>
      <c r="BVK59" s="74"/>
      <c r="BVL59" s="74"/>
      <c r="BVM59" s="74"/>
      <c r="BVN59" s="74"/>
      <c r="BVO59" s="74"/>
      <c r="BVP59" s="74"/>
      <c r="BVQ59" s="74"/>
      <c r="BVR59" s="74"/>
      <c r="BVS59" s="74"/>
      <c r="BVT59" s="74"/>
      <c r="BVU59" s="74"/>
      <c r="BVV59" s="74"/>
      <c r="BVW59" s="74"/>
      <c r="BVX59" s="74"/>
      <c r="BVY59" s="74"/>
      <c r="BVZ59" s="74"/>
      <c r="BWA59" s="74"/>
      <c r="BWB59" s="74"/>
      <c r="BWC59" s="74"/>
      <c r="BWD59" s="74"/>
      <c r="BWE59" s="74"/>
      <c r="BWF59" s="74"/>
      <c r="BWG59" s="74"/>
      <c r="BWH59" s="74"/>
      <c r="BWI59" s="74"/>
      <c r="BWJ59" s="74"/>
      <c r="BWK59" s="74"/>
      <c r="BWL59" s="74"/>
      <c r="BWM59" s="74"/>
      <c r="BWN59" s="74"/>
      <c r="BWO59" s="74"/>
      <c r="BWP59" s="74"/>
      <c r="BWQ59" s="74"/>
      <c r="BWR59" s="74"/>
      <c r="BWS59" s="74"/>
      <c r="BWT59" s="74"/>
      <c r="BWU59" s="74"/>
      <c r="BWV59" s="74"/>
      <c r="BWW59" s="74"/>
      <c r="BWX59" s="74"/>
      <c r="BWY59" s="74"/>
      <c r="BWZ59" s="74"/>
      <c r="BXA59" s="74"/>
      <c r="BXB59" s="74"/>
      <c r="BXC59" s="74"/>
      <c r="BXD59" s="74"/>
      <c r="BXE59" s="74"/>
      <c r="BXF59" s="74"/>
      <c r="BXG59" s="74"/>
      <c r="BXH59" s="74"/>
      <c r="BXI59" s="74"/>
      <c r="BXJ59" s="74"/>
      <c r="BXK59" s="74"/>
      <c r="BXL59" s="74"/>
      <c r="BXM59" s="74"/>
      <c r="BXN59" s="74"/>
      <c r="BXO59" s="74"/>
      <c r="BXP59" s="74"/>
      <c r="BXQ59" s="74"/>
      <c r="BXR59" s="74"/>
      <c r="BXS59" s="74"/>
      <c r="BXT59" s="74"/>
      <c r="BXU59" s="74"/>
      <c r="BXV59" s="74"/>
      <c r="BXW59" s="74"/>
      <c r="BXX59" s="74"/>
      <c r="BXY59" s="74"/>
      <c r="BXZ59" s="74"/>
      <c r="BYA59" s="74"/>
      <c r="BYB59" s="74"/>
      <c r="BYC59" s="74"/>
      <c r="BYD59" s="74"/>
      <c r="BYE59" s="74"/>
      <c r="BYF59" s="74"/>
      <c r="BYG59" s="74"/>
      <c r="BYH59" s="74"/>
      <c r="BYI59" s="74"/>
      <c r="BYJ59" s="74"/>
      <c r="BYK59" s="74"/>
      <c r="BYL59" s="74"/>
      <c r="BYM59" s="74"/>
      <c r="BYN59" s="74"/>
      <c r="BYO59" s="74"/>
      <c r="BYP59" s="74"/>
      <c r="BYQ59" s="74"/>
      <c r="BYR59" s="74"/>
      <c r="BYS59" s="74"/>
      <c r="BYT59" s="74"/>
      <c r="BYU59" s="74"/>
      <c r="BYV59" s="74"/>
      <c r="BYW59" s="74"/>
      <c r="BYX59" s="74"/>
      <c r="BYY59" s="74"/>
      <c r="BYZ59" s="74"/>
      <c r="BZA59" s="74"/>
      <c r="BZB59" s="74"/>
      <c r="BZC59" s="74"/>
      <c r="BZD59" s="74"/>
      <c r="BZE59" s="74"/>
      <c r="BZF59" s="74"/>
      <c r="BZG59" s="74"/>
      <c r="BZH59" s="74"/>
      <c r="BZI59" s="74"/>
      <c r="BZJ59" s="74"/>
      <c r="BZK59" s="74"/>
      <c r="BZL59" s="74"/>
      <c r="BZM59" s="74"/>
      <c r="BZN59" s="74"/>
      <c r="BZO59" s="74"/>
      <c r="BZP59" s="74"/>
      <c r="BZQ59" s="74"/>
      <c r="BZR59" s="74"/>
      <c r="BZS59" s="74"/>
      <c r="BZT59" s="74"/>
      <c r="BZU59" s="74"/>
      <c r="BZV59" s="74"/>
      <c r="BZW59" s="74"/>
      <c r="BZX59" s="74"/>
      <c r="BZY59" s="74"/>
      <c r="BZZ59" s="74"/>
      <c r="CAA59" s="74"/>
      <c r="CAB59" s="74"/>
      <c r="CAC59" s="74"/>
      <c r="CAD59" s="74"/>
      <c r="CAE59" s="74"/>
      <c r="CAF59" s="74"/>
      <c r="CAG59" s="74"/>
      <c r="CAH59" s="74"/>
      <c r="CAI59" s="74"/>
      <c r="CAJ59" s="74"/>
      <c r="CAK59" s="74"/>
      <c r="CAL59" s="74"/>
      <c r="CAM59" s="74"/>
      <c r="CAN59" s="74"/>
      <c r="CAO59" s="74"/>
      <c r="CAP59" s="74"/>
      <c r="CAQ59" s="74"/>
      <c r="CAR59" s="74"/>
      <c r="CAS59" s="74"/>
      <c r="CAT59" s="74"/>
      <c r="CAU59" s="74"/>
      <c r="CAV59" s="74"/>
      <c r="CAW59" s="74"/>
      <c r="CAX59" s="74"/>
      <c r="CAY59" s="74"/>
      <c r="CAZ59" s="74"/>
      <c r="CBA59" s="74"/>
      <c r="CBB59" s="74"/>
      <c r="CBC59" s="74"/>
      <c r="CBD59" s="74"/>
      <c r="CBE59" s="74"/>
      <c r="CBF59" s="74"/>
      <c r="CBG59" s="74"/>
      <c r="CBH59" s="74"/>
      <c r="CBI59" s="74"/>
      <c r="CBJ59" s="74"/>
      <c r="CBK59" s="74"/>
      <c r="CBL59" s="74"/>
      <c r="CBM59" s="74"/>
      <c r="CBN59" s="74"/>
      <c r="CBO59" s="74"/>
      <c r="CBP59" s="74"/>
      <c r="CBQ59" s="74"/>
      <c r="CBR59" s="74"/>
      <c r="CBS59" s="74"/>
      <c r="CBT59" s="74"/>
      <c r="CBU59" s="74"/>
      <c r="CBV59" s="74"/>
      <c r="CBW59" s="74"/>
      <c r="CBX59" s="74"/>
      <c r="CBY59" s="74"/>
      <c r="CBZ59" s="74"/>
      <c r="CCA59" s="74"/>
      <c r="CCB59" s="74"/>
      <c r="CCC59" s="74"/>
      <c r="CCD59" s="74"/>
      <c r="CCE59" s="74"/>
      <c r="CCF59" s="74"/>
      <c r="CCG59" s="74"/>
      <c r="CCH59" s="74"/>
      <c r="CCI59" s="74"/>
      <c r="CCJ59" s="74"/>
      <c r="CCK59" s="74"/>
      <c r="CCL59" s="74"/>
      <c r="CCM59" s="74"/>
      <c r="CCN59" s="74"/>
      <c r="CCO59" s="74"/>
      <c r="CCP59" s="74"/>
      <c r="CCQ59" s="74"/>
      <c r="CCR59" s="74"/>
      <c r="CCS59" s="74"/>
      <c r="CCT59" s="74"/>
      <c r="CCU59" s="74"/>
      <c r="CCV59" s="74"/>
      <c r="CCW59" s="74"/>
      <c r="CCX59" s="74"/>
      <c r="CCY59" s="74"/>
      <c r="CCZ59" s="74"/>
      <c r="CDA59" s="74"/>
      <c r="CDB59" s="74"/>
      <c r="CDC59" s="74"/>
      <c r="CDD59" s="74"/>
      <c r="CDE59" s="74"/>
      <c r="CDF59" s="74"/>
      <c r="CDG59" s="74"/>
      <c r="CDH59" s="74"/>
      <c r="CDI59" s="74"/>
      <c r="CDJ59" s="74"/>
      <c r="CDK59" s="74"/>
      <c r="CDL59" s="74"/>
      <c r="CDM59" s="74"/>
      <c r="CDN59" s="74"/>
      <c r="CDO59" s="74"/>
      <c r="CDP59" s="74"/>
      <c r="CDQ59" s="74"/>
      <c r="CDR59" s="74"/>
      <c r="CDS59" s="74"/>
      <c r="CDT59" s="74"/>
      <c r="CDU59" s="74"/>
      <c r="CDV59" s="74"/>
      <c r="CDW59" s="74"/>
      <c r="CDX59" s="74"/>
      <c r="CDY59" s="74"/>
      <c r="CDZ59" s="74"/>
      <c r="CEA59" s="74"/>
      <c r="CEB59" s="74"/>
      <c r="CEC59" s="74"/>
      <c r="CED59" s="74"/>
      <c r="CEE59" s="74"/>
      <c r="CEF59" s="74"/>
      <c r="CEG59" s="74"/>
      <c r="CEH59" s="74"/>
      <c r="CEI59" s="74"/>
      <c r="CEJ59" s="74"/>
      <c r="CEK59" s="74"/>
      <c r="CEL59" s="74"/>
      <c r="CEM59" s="74"/>
      <c r="CEN59" s="74"/>
      <c r="CEO59" s="74"/>
      <c r="CEP59" s="74"/>
      <c r="CEQ59" s="74"/>
      <c r="CER59" s="74"/>
      <c r="CES59" s="74"/>
      <c r="CET59" s="74"/>
      <c r="CEU59" s="74"/>
      <c r="CEV59" s="74"/>
      <c r="CEW59" s="74"/>
      <c r="CEX59" s="74"/>
      <c r="CEY59" s="74"/>
      <c r="CEZ59" s="74"/>
      <c r="CFA59" s="74"/>
      <c r="CFB59" s="74"/>
      <c r="CFC59" s="74"/>
      <c r="CFD59" s="74"/>
      <c r="CFE59" s="74"/>
      <c r="CFF59" s="74"/>
      <c r="CFG59" s="74"/>
      <c r="CFH59" s="74"/>
      <c r="CFI59" s="74"/>
      <c r="CFJ59" s="74"/>
      <c r="CFK59" s="74"/>
      <c r="CFL59" s="74"/>
      <c r="CFM59" s="74"/>
      <c r="CFN59" s="74"/>
      <c r="CFO59" s="74"/>
      <c r="CFP59" s="74"/>
      <c r="CFQ59" s="74"/>
      <c r="CFR59" s="74"/>
      <c r="CFS59" s="74"/>
      <c r="CFT59" s="74"/>
      <c r="CFU59" s="74"/>
      <c r="CFV59" s="74"/>
      <c r="CFW59" s="74"/>
      <c r="CFX59" s="74"/>
      <c r="CFY59" s="74"/>
      <c r="CFZ59" s="74"/>
      <c r="CGA59" s="74"/>
      <c r="CGB59" s="74"/>
      <c r="CGC59" s="74"/>
      <c r="CGD59" s="74"/>
      <c r="CGE59" s="74"/>
      <c r="CGF59" s="74"/>
      <c r="CGG59" s="74"/>
      <c r="CGH59" s="74"/>
      <c r="CGI59" s="74"/>
      <c r="CGJ59" s="74"/>
      <c r="CGK59" s="74"/>
      <c r="CGL59" s="74"/>
      <c r="CGM59" s="74"/>
      <c r="CGN59" s="74"/>
      <c r="CGO59" s="74"/>
      <c r="CGP59" s="74"/>
      <c r="CGQ59" s="74"/>
      <c r="CGR59" s="74"/>
      <c r="CGS59" s="74"/>
      <c r="CGT59" s="74"/>
      <c r="CGU59" s="74"/>
      <c r="CGV59" s="74"/>
      <c r="CGW59" s="74"/>
      <c r="CGX59" s="74"/>
      <c r="CGY59" s="74"/>
      <c r="CGZ59" s="74"/>
      <c r="CHA59" s="74"/>
      <c r="CHB59" s="74"/>
      <c r="CHC59" s="74"/>
      <c r="CHD59" s="74"/>
      <c r="CHE59" s="74"/>
      <c r="CHF59" s="74"/>
      <c r="CHG59" s="74"/>
      <c r="CHH59" s="74"/>
      <c r="CHI59" s="74"/>
      <c r="CHJ59" s="74"/>
      <c r="CHK59" s="74"/>
      <c r="CHL59" s="74"/>
      <c r="CHM59" s="74"/>
      <c r="CHN59" s="74"/>
      <c r="CHO59" s="74"/>
      <c r="CHP59" s="74"/>
      <c r="CHQ59" s="74"/>
      <c r="CHR59" s="74"/>
      <c r="CHS59" s="74"/>
      <c r="CHT59" s="74"/>
      <c r="CHU59" s="74"/>
      <c r="CHV59" s="74"/>
      <c r="CHW59" s="74"/>
      <c r="CHX59" s="74"/>
      <c r="CHY59" s="74"/>
      <c r="CHZ59" s="74"/>
      <c r="CIA59" s="74"/>
      <c r="CIB59" s="74"/>
      <c r="CIC59" s="74"/>
      <c r="CID59" s="74"/>
      <c r="CIE59" s="74"/>
      <c r="CIF59" s="74"/>
      <c r="CIG59" s="74"/>
      <c r="CIH59" s="74"/>
      <c r="CII59" s="74"/>
      <c r="CIJ59" s="74"/>
      <c r="CIK59" s="74"/>
      <c r="CIL59" s="74"/>
      <c r="CIM59" s="74"/>
      <c r="CIN59" s="74"/>
      <c r="CIO59" s="74"/>
      <c r="CIP59" s="74"/>
      <c r="CIQ59" s="74"/>
      <c r="CIR59" s="74"/>
      <c r="CIS59" s="74"/>
      <c r="CIT59" s="74"/>
      <c r="CIU59" s="74"/>
      <c r="CIV59" s="74"/>
      <c r="CIW59" s="74"/>
      <c r="CIX59" s="74"/>
      <c r="CIY59" s="74"/>
      <c r="CIZ59" s="74"/>
      <c r="CJA59" s="74"/>
      <c r="CJB59" s="74"/>
      <c r="CJC59" s="74"/>
      <c r="CJD59" s="74"/>
      <c r="CJE59" s="74"/>
      <c r="CJF59" s="74"/>
      <c r="CJG59" s="74"/>
      <c r="CJH59" s="74"/>
      <c r="CJI59" s="74"/>
      <c r="CJJ59" s="74"/>
      <c r="CJK59" s="74"/>
      <c r="CJL59" s="74"/>
      <c r="CJM59" s="74"/>
      <c r="CJN59" s="74"/>
      <c r="CJO59" s="74"/>
      <c r="CJP59" s="74"/>
      <c r="CJQ59" s="74"/>
      <c r="CJR59" s="74"/>
      <c r="CJS59" s="74"/>
      <c r="CJT59" s="74"/>
      <c r="CJU59" s="74"/>
      <c r="CJV59" s="74"/>
      <c r="CJW59" s="74"/>
      <c r="CJX59" s="74"/>
      <c r="CJY59" s="74"/>
      <c r="CJZ59" s="74"/>
      <c r="CKA59" s="74"/>
      <c r="CKB59" s="74"/>
      <c r="CKC59" s="74"/>
      <c r="CKD59" s="74"/>
      <c r="CKE59" s="74"/>
      <c r="CKF59" s="74"/>
      <c r="CKG59" s="74"/>
      <c r="CKH59" s="74"/>
      <c r="CKI59" s="74"/>
      <c r="CKJ59" s="74"/>
      <c r="CKK59" s="74"/>
      <c r="CKL59" s="74"/>
      <c r="CKM59" s="74"/>
      <c r="CKN59" s="74"/>
      <c r="CKO59" s="74"/>
      <c r="CKP59" s="74"/>
      <c r="CKQ59" s="74"/>
      <c r="CKR59" s="74"/>
      <c r="CKS59" s="74"/>
      <c r="CKT59" s="74"/>
      <c r="CKU59" s="74"/>
      <c r="CKV59" s="74"/>
      <c r="CKW59" s="74"/>
      <c r="CKX59" s="74"/>
      <c r="CKY59" s="74"/>
      <c r="CKZ59" s="74"/>
      <c r="CLA59" s="74"/>
      <c r="CLB59" s="74"/>
      <c r="CLC59" s="74"/>
      <c r="CLD59" s="74"/>
      <c r="CLE59" s="74"/>
      <c r="CLF59" s="74"/>
      <c r="CLG59" s="74"/>
      <c r="CLH59" s="74"/>
      <c r="CLI59" s="74"/>
      <c r="CLJ59" s="74"/>
      <c r="CLK59" s="74"/>
      <c r="CLL59" s="74"/>
      <c r="CLM59" s="74"/>
      <c r="CLN59" s="74"/>
      <c r="CLO59" s="74"/>
      <c r="CLP59" s="74"/>
      <c r="CLQ59" s="74"/>
      <c r="CLR59" s="74"/>
      <c r="CLS59" s="74"/>
      <c r="CLT59" s="74"/>
      <c r="CLU59" s="74"/>
      <c r="CLV59" s="74"/>
      <c r="CLW59" s="74"/>
      <c r="CLX59" s="74"/>
      <c r="CLY59" s="74"/>
      <c r="CLZ59" s="74"/>
      <c r="CMA59" s="74"/>
      <c r="CMB59" s="74"/>
      <c r="CMC59" s="74"/>
      <c r="CMD59" s="74"/>
      <c r="CME59" s="74"/>
      <c r="CMF59" s="74"/>
      <c r="CMG59" s="74"/>
      <c r="CMH59" s="74"/>
      <c r="CMI59" s="74"/>
      <c r="CMJ59" s="74"/>
      <c r="CMK59" s="74"/>
      <c r="CML59" s="74"/>
      <c r="CMM59" s="74"/>
      <c r="CMN59" s="74"/>
      <c r="CMO59" s="74"/>
      <c r="CMP59" s="74"/>
      <c r="CMQ59" s="74"/>
      <c r="CMR59" s="74"/>
      <c r="CMS59" s="74"/>
      <c r="CMT59" s="74"/>
      <c r="CMU59" s="74"/>
      <c r="CMV59" s="74"/>
      <c r="CMW59" s="74"/>
      <c r="CMX59" s="74"/>
      <c r="CMY59" s="74"/>
      <c r="CMZ59" s="74"/>
      <c r="CNA59" s="74"/>
      <c r="CNB59" s="74"/>
      <c r="CNC59" s="74"/>
      <c r="CND59" s="74"/>
      <c r="CNE59" s="74"/>
      <c r="CNF59" s="74"/>
      <c r="CNG59" s="74"/>
      <c r="CNH59" s="74"/>
      <c r="CNI59" s="74"/>
      <c r="CNJ59" s="74"/>
      <c r="CNK59" s="74"/>
      <c r="CNL59" s="74"/>
      <c r="CNM59" s="74"/>
      <c r="CNN59" s="74"/>
      <c r="CNO59" s="74"/>
      <c r="CNP59" s="74"/>
      <c r="CNQ59" s="74"/>
      <c r="CNR59" s="74"/>
      <c r="CNS59" s="74"/>
      <c r="CNT59" s="74"/>
      <c r="CNU59" s="74"/>
      <c r="CNV59" s="74"/>
      <c r="CNW59" s="74"/>
      <c r="CNX59" s="74"/>
      <c r="CNY59" s="74"/>
      <c r="CNZ59" s="74"/>
      <c r="COA59" s="74"/>
      <c r="COB59" s="74"/>
      <c r="COC59" s="74"/>
      <c r="COD59" s="74"/>
      <c r="COE59" s="74"/>
      <c r="COF59" s="74"/>
      <c r="COG59" s="74"/>
      <c r="COH59" s="74"/>
      <c r="COI59" s="74"/>
      <c r="COJ59" s="74"/>
      <c r="COK59" s="74"/>
      <c r="COL59" s="74"/>
      <c r="COM59" s="74"/>
      <c r="CON59" s="74"/>
      <c r="COO59" s="74"/>
      <c r="COP59" s="74"/>
      <c r="COQ59" s="74"/>
      <c r="COR59" s="74"/>
      <c r="COS59" s="74"/>
      <c r="COT59" s="74"/>
      <c r="COU59" s="74"/>
      <c r="COV59" s="74"/>
      <c r="COW59" s="74"/>
      <c r="COX59" s="74"/>
      <c r="COY59" s="74"/>
      <c r="COZ59" s="74"/>
      <c r="CPA59" s="74"/>
      <c r="CPB59" s="74"/>
      <c r="CPC59" s="74"/>
      <c r="CPD59" s="74"/>
      <c r="CPE59" s="74"/>
      <c r="CPF59" s="74"/>
      <c r="CPG59" s="74"/>
      <c r="CPH59" s="74"/>
      <c r="CPI59" s="74"/>
      <c r="CPJ59" s="74"/>
      <c r="CPK59" s="74"/>
      <c r="CPL59" s="74"/>
      <c r="CPM59" s="74"/>
      <c r="CPN59" s="74"/>
      <c r="CPO59" s="74"/>
      <c r="CPP59" s="74"/>
      <c r="CPQ59" s="74"/>
      <c r="CPR59" s="74"/>
      <c r="CPS59" s="74"/>
      <c r="CPT59" s="74"/>
      <c r="CPU59" s="74"/>
      <c r="CPV59" s="74"/>
      <c r="CPW59" s="74"/>
      <c r="CPX59" s="74"/>
      <c r="CPY59" s="74"/>
      <c r="CPZ59" s="74"/>
      <c r="CQA59" s="74"/>
      <c r="CQB59" s="74"/>
      <c r="CQC59" s="74"/>
      <c r="CQD59" s="74"/>
      <c r="CQE59" s="74"/>
      <c r="CQF59" s="74"/>
      <c r="CQG59" s="74"/>
      <c r="CQH59" s="74"/>
      <c r="CQI59" s="74"/>
      <c r="CQJ59" s="74"/>
      <c r="CQK59" s="74"/>
      <c r="CQL59" s="74"/>
      <c r="CQM59" s="74"/>
      <c r="CQN59" s="74"/>
      <c r="CQO59" s="74"/>
      <c r="CQP59" s="74"/>
      <c r="CQQ59" s="74"/>
      <c r="CQR59" s="74"/>
      <c r="CQS59" s="74"/>
      <c r="CQT59" s="74"/>
      <c r="CQU59" s="74"/>
      <c r="CQV59" s="74"/>
      <c r="CQW59" s="74"/>
      <c r="CQX59" s="74"/>
      <c r="CQY59" s="74"/>
      <c r="CQZ59" s="74"/>
      <c r="CRA59" s="74"/>
      <c r="CRB59" s="74"/>
      <c r="CRC59" s="74"/>
      <c r="CRD59" s="74"/>
      <c r="CRE59" s="74"/>
      <c r="CRF59" s="74"/>
      <c r="CRG59" s="74"/>
      <c r="CRH59" s="74"/>
      <c r="CRI59" s="74"/>
      <c r="CRJ59" s="74"/>
      <c r="CRK59" s="74"/>
      <c r="CRL59" s="74"/>
      <c r="CRM59" s="74"/>
      <c r="CRN59" s="74"/>
      <c r="CRO59" s="74"/>
      <c r="CRP59" s="74"/>
      <c r="CRQ59" s="74"/>
      <c r="CRR59" s="74"/>
      <c r="CRS59" s="74"/>
      <c r="CRT59" s="74"/>
      <c r="CRU59" s="74"/>
      <c r="CRV59" s="74"/>
      <c r="CRW59" s="74"/>
      <c r="CRX59" s="74"/>
      <c r="CRY59" s="74"/>
      <c r="CRZ59" s="74"/>
      <c r="CSA59" s="74"/>
      <c r="CSB59" s="74"/>
      <c r="CSC59" s="74"/>
      <c r="CSD59" s="74"/>
      <c r="CSE59" s="74"/>
      <c r="CSF59" s="74"/>
      <c r="CSG59" s="74"/>
      <c r="CSH59" s="74"/>
      <c r="CSI59" s="74"/>
      <c r="CSJ59" s="74"/>
      <c r="CSK59" s="74"/>
      <c r="CSL59" s="74"/>
      <c r="CSM59" s="74"/>
      <c r="CSN59" s="74"/>
      <c r="CSO59" s="74"/>
      <c r="CSP59" s="74"/>
      <c r="CSQ59" s="74"/>
      <c r="CSR59" s="74"/>
      <c r="CSS59" s="74"/>
      <c r="CST59" s="74"/>
      <c r="CSU59" s="74"/>
      <c r="CSV59" s="74"/>
      <c r="CSW59" s="74"/>
      <c r="CSX59" s="74"/>
      <c r="CSY59" s="74"/>
      <c r="CSZ59" s="74"/>
      <c r="CTA59" s="74"/>
      <c r="CTB59" s="74"/>
      <c r="CTC59" s="74"/>
      <c r="CTD59" s="74"/>
      <c r="CTE59" s="74"/>
      <c r="CTF59" s="74"/>
      <c r="CTG59" s="74"/>
      <c r="CTH59" s="74"/>
      <c r="CTI59" s="74"/>
      <c r="CTJ59" s="74"/>
      <c r="CTK59" s="74"/>
      <c r="CTL59" s="74"/>
      <c r="CTM59" s="74"/>
      <c r="CTN59" s="74"/>
      <c r="CTO59" s="74"/>
      <c r="CTP59" s="74"/>
      <c r="CTQ59" s="74"/>
      <c r="CTR59" s="74"/>
      <c r="CTS59" s="74"/>
      <c r="CTT59" s="74"/>
      <c r="CTU59" s="74"/>
      <c r="CTV59" s="74"/>
      <c r="CTW59" s="74"/>
      <c r="CTX59" s="74"/>
      <c r="CTY59" s="74"/>
      <c r="CTZ59" s="74"/>
      <c r="CUA59" s="74"/>
      <c r="CUB59" s="74"/>
      <c r="CUC59" s="74"/>
      <c r="CUD59" s="74"/>
      <c r="CUE59" s="74"/>
      <c r="CUF59" s="74"/>
      <c r="CUG59" s="74"/>
      <c r="CUH59" s="74"/>
      <c r="CUI59" s="74"/>
      <c r="CUJ59" s="74"/>
      <c r="CUK59" s="74"/>
      <c r="CUL59" s="74"/>
      <c r="CUM59" s="74"/>
      <c r="CUN59" s="74"/>
      <c r="CUO59" s="74"/>
      <c r="CUP59" s="74"/>
      <c r="CUQ59" s="74"/>
      <c r="CUR59" s="74"/>
      <c r="CUS59" s="74"/>
      <c r="CUT59" s="74"/>
      <c r="CUU59" s="74"/>
      <c r="CUV59" s="74"/>
      <c r="CUW59" s="74"/>
      <c r="CUX59" s="74"/>
      <c r="CUY59" s="74"/>
      <c r="CUZ59" s="74"/>
      <c r="CVA59" s="74"/>
      <c r="CVB59" s="74"/>
      <c r="CVC59" s="74"/>
      <c r="CVD59" s="74"/>
      <c r="CVE59" s="74"/>
      <c r="CVF59" s="74"/>
      <c r="CVG59" s="74"/>
      <c r="CVH59" s="74"/>
      <c r="CVI59" s="74"/>
      <c r="CVJ59" s="74"/>
      <c r="CVK59" s="74"/>
      <c r="CVL59" s="74"/>
      <c r="CVM59" s="74"/>
      <c r="CVN59" s="74"/>
      <c r="CVO59" s="74"/>
      <c r="CVP59" s="74"/>
      <c r="CVQ59" s="74"/>
      <c r="CVR59" s="74"/>
      <c r="CVS59" s="74"/>
      <c r="CVT59" s="74"/>
      <c r="CVU59" s="74"/>
      <c r="CVV59" s="74"/>
      <c r="CVW59" s="74"/>
      <c r="CVX59" s="74"/>
      <c r="CVY59" s="74"/>
      <c r="CVZ59" s="74"/>
      <c r="CWA59" s="74"/>
      <c r="CWB59" s="74"/>
      <c r="CWC59" s="74"/>
      <c r="CWD59" s="74"/>
      <c r="CWE59" s="74"/>
      <c r="CWF59" s="74"/>
      <c r="CWG59" s="74"/>
      <c r="CWH59" s="74"/>
      <c r="CWI59" s="74"/>
      <c r="CWJ59" s="74"/>
      <c r="CWK59" s="74"/>
      <c r="CWL59" s="74"/>
      <c r="CWM59" s="74"/>
      <c r="CWN59" s="74"/>
      <c r="CWO59" s="74"/>
      <c r="CWP59" s="74"/>
      <c r="CWQ59" s="74"/>
      <c r="CWR59" s="74"/>
      <c r="CWS59" s="74"/>
      <c r="CWT59" s="74"/>
      <c r="CWU59" s="74"/>
      <c r="CWV59" s="74"/>
      <c r="CWW59" s="74"/>
      <c r="CWX59" s="74"/>
      <c r="CWY59" s="74"/>
      <c r="CWZ59" s="74"/>
      <c r="CXA59" s="74"/>
      <c r="CXB59" s="74"/>
      <c r="CXC59" s="74"/>
      <c r="CXD59" s="74"/>
      <c r="CXE59" s="74"/>
      <c r="CXF59" s="74"/>
      <c r="CXG59" s="74"/>
      <c r="CXH59" s="74"/>
      <c r="CXI59" s="74"/>
      <c r="CXJ59" s="74"/>
      <c r="CXK59" s="74"/>
      <c r="CXL59" s="74"/>
      <c r="CXM59" s="74"/>
      <c r="CXN59" s="74"/>
      <c r="CXO59" s="74"/>
      <c r="CXP59" s="74"/>
      <c r="CXQ59" s="74"/>
      <c r="CXR59" s="74"/>
      <c r="CXS59" s="74"/>
      <c r="CXT59" s="74"/>
      <c r="CXU59" s="74"/>
      <c r="CXV59" s="74"/>
      <c r="CXW59" s="74"/>
      <c r="CXX59" s="74"/>
      <c r="CXY59" s="74"/>
      <c r="CXZ59" s="74"/>
      <c r="CYA59" s="74"/>
      <c r="CYB59" s="74"/>
      <c r="CYC59" s="74"/>
      <c r="CYD59" s="74"/>
      <c r="CYE59" s="74"/>
      <c r="CYF59" s="74"/>
      <c r="CYG59" s="74"/>
      <c r="CYH59" s="74"/>
      <c r="CYI59" s="74"/>
      <c r="CYJ59" s="74"/>
      <c r="CYK59" s="74"/>
      <c r="CYL59" s="74"/>
      <c r="CYM59" s="74"/>
      <c r="CYN59" s="74"/>
      <c r="CYO59" s="74"/>
      <c r="CYP59" s="74"/>
      <c r="CYQ59" s="74"/>
      <c r="CYR59" s="74"/>
      <c r="CYS59" s="74"/>
      <c r="CYT59" s="74"/>
      <c r="CYU59" s="74"/>
      <c r="CYV59" s="74"/>
      <c r="CYW59" s="74"/>
      <c r="CYX59" s="74"/>
      <c r="CYY59" s="74"/>
      <c r="CYZ59" s="74"/>
      <c r="CZA59" s="74"/>
      <c r="CZB59" s="74"/>
      <c r="CZC59" s="74"/>
      <c r="CZD59" s="74"/>
      <c r="CZE59" s="74"/>
      <c r="CZF59" s="74"/>
      <c r="CZG59" s="74"/>
      <c r="CZH59" s="74"/>
      <c r="CZI59" s="74"/>
      <c r="CZJ59" s="74"/>
      <c r="CZK59" s="74"/>
      <c r="CZL59" s="74"/>
      <c r="CZM59" s="74"/>
      <c r="CZN59" s="74"/>
      <c r="CZO59" s="74"/>
      <c r="CZP59" s="74"/>
      <c r="CZQ59" s="74"/>
      <c r="CZR59" s="74"/>
      <c r="CZS59" s="74"/>
      <c r="CZT59" s="74"/>
      <c r="CZU59" s="74"/>
      <c r="CZV59" s="74"/>
      <c r="CZW59" s="74"/>
      <c r="CZX59" s="74"/>
      <c r="CZY59" s="74"/>
      <c r="CZZ59" s="74"/>
      <c r="DAA59" s="74"/>
      <c r="DAB59" s="74"/>
      <c r="DAC59" s="74"/>
      <c r="DAD59" s="74"/>
      <c r="DAE59" s="74"/>
      <c r="DAF59" s="74"/>
      <c r="DAG59" s="74"/>
      <c r="DAH59" s="74"/>
      <c r="DAI59" s="74"/>
      <c r="DAJ59" s="74"/>
      <c r="DAK59" s="74"/>
      <c r="DAL59" s="74"/>
      <c r="DAM59" s="74"/>
      <c r="DAN59" s="74"/>
      <c r="DAO59" s="74"/>
      <c r="DAP59" s="74"/>
      <c r="DAQ59" s="74"/>
      <c r="DAR59" s="74"/>
      <c r="DAS59" s="74"/>
      <c r="DAT59" s="74"/>
      <c r="DAU59" s="74"/>
      <c r="DAV59" s="74"/>
      <c r="DAW59" s="74"/>
      <c r="DAX59" s="74"/>
      <c r="DAY59" s="74"/>
      <c r="DAZ59" s="74"/>
      <c r="DBA59" s="74"/>
      <c r="DBB59" s="74"/>
      <c r="DBC59" s="74"/>
      <c r="DBD59" s="74"/>
      <c r="DBE59" s="74"/>
      <c r="DBF59" s="74"/>
      <c r="DBG59" s="74"/>
      <c r="DBH59" s="74"/>
      <c r="DBI59" s="74"/>
      <c r="DBJ59" s="74"/>
      <c r="DBK59" s="74"/>
      <c r="DBL59" s="74"/>
      <c r="DBM59" s="74"/>
      <c r="DBN59" s="74"/>
      <c r="DBO59" s="74"/>
      <c r="DBP59" s="74"/>
      <c r="DBQ59" s="74"/>
      <c r="DBR59" s="74"/>
      <c r="DBS59" s="74"/>
      <c r="DBT59" s="74"/>
      <c r="DBU59" s="74"/>
      <c r="DBV59" s="74"/>
      <c r="DBW59" s="74"/>
      <c r="DBX59" s="74"/>
      <c r="DBY59" s="74"/>
      <c r="DBZ59" s="74"/>
      <c r="DCA59" s="74"/>
      <c r="DCB59" s="74"/>
      <c r="DCC59" s="74"/>
      <c r="DCD59" s="74"/>
      <c r="DCE59" s="74"/>
      <c r="DCF59" s="74"/>
      <c r="DCG59" s="74"/>
      <c r="DCH59" s="74"/>
      <c r="DCI59" s="74"/>
      <c r="DCJ59" s="74"/>
      <c r="DCK59" s="74"/>
      <c r="DCL59" s="74"/>
      <c r="DCM59" s="74"/>
      <c r="DCN59" s="74"/>
      <c r="DCO59" s="74"/>
      <c r="DCP59" s="74"/>
      <c r="DCQ59" s="74"/>
      <c r="DCR59" s="74"/>
      <c r="DCS59" s="74"/>
      <c r="DCT59" s="74"/>
      <c r="DCU59" s="74"/>
      <c r="DCV59" s="74"/>
      <c r="DCW59" s="74"/>
      <c r="DCX59" s="74"/>
      <c r="DCY59" s="74"/>
      <c r="DCZ59" s="74"/>
      <c r="DDA59" s="74"/>
      <c r="DDB59" s="74"/>
      <c r="DDC59" s="74"/>
      <c r="DDD59" s="74"/>
      <c r="DDE59" s="74"/>
      <c r="DDF59" s="74"/>
      <c r="DDG59" s="74"/>
      <c r="DDH59" s="74"/>
      <c r="DDI59" s="74"/>
      <c r="DDJ59" s="74"/>
      <c r="DDK59" s="74"/>
      <c r="DDL59" s="74"/>
      <c r="DDM59" s="74"/>
      <c r="DDN59" s="74"/>
      <c r="DDO59" s="74"/>
      <c r="DDP59" s="74"/>
      <c r="DDQ59" s="74"/>
      <c r="DDR59" s="74"/>
      <c r="DDS59" s="74"/>
      <c r="DDT59" s="74"/>
      <c r="DDU59" s="74"/>
      <c r="DDV59" s="74"/>
      <c r="DDW59" s="74"/>
      <c r="DDX59" s="74"/>
      <c r="DDY59" s="74"/>
      <c r="DDZ59" s="74"/>
      <c r="DEA59" s="74"/>
      <c r="DEB59" s="74"/>
      <c r="DEC59" s="74"/>
      <c r="DED59" s="74"/>
      <c r="DEE59" s="74"/>
      <c r="DEF59" s="74"/>
      <c r="DEG59" s="74"/>
      <c r="DEH59" s="74"/>
      <c r="DEI59" s="74"/>
      <c r="DEJ59" s="74"/>
      <c r="DEK59" s="74"/>
      <c r="DEL59" s="74"/>
      <c r="DEM59" s="74"/>
      <c r="DEN59" s="74"/>
      <c r="DEO59" s="74"/>
      <c r="DEP59" s="74"/>
      <c r="DEQ59" s="74"/>
      <c r="DER59" s="74"/>
      <c r="DES59" s="74"/>
      <c r="DET59" s="74"/>
      <c r="DEU59" s="74"/>
      <c r="DEV59" s="74"/>
      <c r="DEW59" s="74"/>
      <c r="DEX59" s="74"/>
      <c r="DEY59" s="74"/>
      <c r="DEZ59" s="74"/>
      <c r="DFA59" s="74"/>
      <c r="DFB59" s="74"/>
      <c r="DFC59" s="74"/>
      <c r="DFD59" s="74"/>
      <c r="DFE59" s="74"/>
      <c r="DFF59" s="74"/>
      <c r="DFG59" s="74"/>
      <c r="DFH59" s="74"/>
      <c r="DFI59" s="74"/>
      <c r="DFJ59" s="74"/>
      <c r="DFK59" s="74"/>
      <c r="DFL59" s="74"/>
      <c r="DFM59" s="74"/>
      <c r="DFN59" s="74"/>
      <c r="DFO59" s="74"/>
      <c r="DFP59" s="74"/>
      <c r="DFQ59" s="74"/>
      <c r="DFR59" s="74"/>
      <c r="DFS59" s="74"/>
      <c r="DFT59" s="74"/>
      <c r="DFU59" s="74"/>
      <c r="DFV59" s="74"/>
      <c r="DFW59" s="74"/>
      <c r="DFX59" s="74"/>
      <c r="DFY59" s="74"/>
      <c r="DFZ59" s="74"/>
      <c r="DGA59" s="74"/>
      <c r="DGB59" s="74"/>
      <c r="DGC59" s="74"/>
      <c r="DGD59" s="74"/>
      <c r="DGE59" s="74"/>
      <c r="DGF59" s="74"/>
      <c r="DGG59" s="74"/>
      <c r="DGH59" s="74"/>
      <c r="DGI59" s="74"/>
      <c r="DGJ59" s="74"/>
      <c r="DGK59" s="74"/>
      <c r="DGL59" s="74"/>
      <c r="DGM59" s="74"/>
      <c r="DGN59" s="74"/>
      <c r="DGO59" s="74"/>
      <c r="DGP59" s="74"/>
      <c r="DGQ59" s="74"/>
      <c r="DGR59" s="74"/>
      <c r="DGS59" s="74"/>
      <c r="DGT59" s="74"/>
      <c r="DGU59" s="74"/>
      <c r="DGV59" s="74"/>
      <c r="DGW59" s="74"/>
      <c r="DGX59" s="74"/>
      <c r="DGY59" s="74"/>
      <c r="DGZ59" s="74"/>
      <c r="DHA59" s="74"/>
      <c r="DHB59" s="74"/>
      <c r="DHC59" s="74"/>
      <c r="DHD59" s="74"/>
      <c r="DHE59" s="74"/>
      <c r="DHF59" s="74"/>
      <c r="DHG59" s="74"/>
      <c r="DHH59" s="74"/>
      <c r="DHI59" s="74"/>
      <c r="DHJ59" s="74"/>
      <c r="DHK59" s="74"/>
      <c r="DHL59" s="74"/>
      <c r="DHM59" s="74"/>
      <c r="DHN59" s="74"/>
      <c r="DHO59" s="74"/>
      <c r="DHP59" s="74"/>
      <c r="DHQ59" s="74"/>
      <c r="DHR59" s="74"/>
      <c r="DHS59" s="74"/>
      <c r="DHT59" s="74"/>
      <c r="DHU59" s="74"/>
      <c r="DHV59" s="74"/>
      <c r="DHW59" s="74"/>
      <c r="DHX59" s="74"/>
      <c r="DHY59" s="74"/>
      <c r="DHZ59" s="74"/>
      <c r="DIA59" s="74"/>
      <c r="DIB59" s="74"/>
      <c r="DIC59" s="74"/>
      <c r="DID59" s="74"/>
      <c r="DIE59" s="74"/>
      <c r="DIF59" s="74"/>
      <c r="DIG59" s="74"/>
      <c r="DIH59" s="74"/>
      <c r="DII59" s="74"/>
      <c r="DIJ59" s="74"/>
      <c r="DIK59" s="74"/>
      <c r="DIL59" s="74"/>
      <c r="DIM59" s="74"/>
      <c r="DIN59" s="74"/>
      <c r="DIO59" s="74"/>
      <c r="DIP59" s="74"/>
      <c r="DIQ59" s="74"/>
      <c r="DIR59" s="74"/>
      <c r="DIS59" s="74"/>
      <c r="DIT59" s="74"/>
      <c r="DIU59" s="74"/>
      <c r="DIV59" s="74"/>
      <c r="DIW59" s="74"/>
      <c r="DIX59" s="74"/>
      <c r="DIY59" s="74"/>
      <c r="DIZ59" s="74"/>
      <c r="DJA59" s="74"/>
      <c r="DJB59" s="74"/>
      <c r="DJC59" s="74"/>
      <c r="DJD59" s="74"/>
      <c r="DJE59" s="74"/>
      <c r="DJF59" s="74"/>
      <c r="DJG59" s="74"/>
      <c r="DJH59" s="74"/>
      <c r="DJI59" s="74"/>
      <c r="DJJ59" s="74"/>
      <c r="DJK59" s="74"/>
      <c r="DJL59" s="74"/>
      <c r="DJM59" s="74"/>
      <c r="DJN59" s="74"/>
      <c r="DJO59" s="74"/>
      <c r="DJP59" s="74"/>
      <c r="DJQ59" s="74"/>
      <c r="DJR59" s="74"/>
      <c r="DJS59" s="74"/>
      <c r="DJT59" s="74"/>
      <c r="DJU59" s="74"/>
      <c r="DJV59" s="74"/>
      <c r="DJW59" s="74"/>
      <c r="DJX59" s="74"/>
      <c r="DJY59" s="74"/>
      <c r="DJZ59" s="74"/>
      <c r="DKA59" s="74"/>
      <c r="DKB59" s="74"/>
      <c r="DKC59" s="74"/>
      <c r="DKD59" s="74"/>
      <c r="DKE59" s="74"/>
      <c r="DKF59" s="74"/>
      <c r="DKG59" s="74"/>
      <c r="DKH59" s="74"/>
      <c r="DKI59" s="74"/>
      <c r="DKJ59" s="74"/>
      <c r="DKK59" s="74"/>
      <c r="DKL59" s="74"/>
      <c r="DKM59" s="74"/>
      <c r="DKN59" s="74"/>
      <c r="DKO59" s="74"/>
      <c r="DKP59" s="74"/>
      <c r="DKQ59" s="74"/>
      <c r="DKR59" s="74"/>
      <c r="DKS59" s="74"/>
      <c r="DKT59" s="74"/>
      <c r="DKU59" s="74"/>
      <c r="DKV59" s="74"/>
      <c r="DKW59" s="74"/>
      <c r="DKX59" s="74"/>
      <c r="DKY59" s="74"/>
      <c r="DKZ59" s="74"/>
      <c r="DLA59" s="74"/>
      <c r="DLB59" s="74"/>
      <c r="DLC59" s="74"/>
      <c r="DLD59" s="74"/>
      <c r="DLE59" s="74"/>
      <c r="DLF59" s="74"/>
      <c r="DLG59" s="74"/>
      <c r="DLH59" s="74"/>
      <c r="DLI59" s="74"/>
      <c r="DLJ59" s="74"/>
      <c r="DLK59" s="74"/>
      <c r="DLL59" s="74"/>
      <c r="DLM59" s="74"/>
      <c r="DLN59" s="74"/>
      <c r="DLO59" s="74"/>
      <c r="DLP59" s="74"/>
      <c r="DLQ59" s="74"/>
      <c r="DLR59" s="74"/>
      <c r="DLS59" s="74"/>
      <c r="DLT59" s="74"/>
      <c r="DLU59" s="74"/>
      <c r="DLV59" s="74"/>
      <c r="DLW59" s="74"/>
      <c r="DLX59" s="74"/>
      <c r="DLY59" s="74"/>
      <c r="DLZ59" s="74"/>
      <c r="DMA59" s="74"/>
      <c r="DMB59" s="74"/>
      <c r="DMC59" s="74"/>
      <c r="DMD59" s="74"/>
      <c r="DME59" s="74"/>
      <c r="DMF59" s="74"/>
      <c r="DMG59" s="74"/>
      <c r="DMH59" s="74"/>
      <c r="DMI59" s="74"/>
      <c r="DMJ59" s="74"/>
      <c r="DMK59" s="74"/>
      <c r="DML59" s="74"/>
      <c r="DMM59" s="74"/>
      <c r="DMN59" s="74"/>
      <c r="DMO59" s="74"/>
      <c r="DMP59" s="74"/>
      <c r="DMQ59" s="74"/>
      <c r="DMR59" s="74"/>
      <c r="DMS59" s="74"/>
      <c r="DMT59" s="74"/>
      <c r="DMU59" s="74"/>
      <c r="DMV59" s="74"/>
      <c r="DMW59" s="74"/>
      <c r="DMX59" s="74"/>
      <c r="DMY59" s="74"/>
      <c r="DMZ59" s="74"/>
      <c r="DNA59" s="74"/>
      <c r="DNB59" s="74"/>
      <c r="DNC59" s="74"/>
      <c r="DND59" s="74"/>
      <c r="DNE59" s="74"/>
      <c r="DNF59" s="74"/>
      <c r="DNG59" s="74"/>
      <c r="DNH59" s="74"/>
      <c r="DNI59" s="74"/>
      <c r="DNJ59" s="74"/>
      <c r="DNK59" s="74"/>
      <c r="DNL59" s="74"/>
      <c r="DNM59" s="74"/>
      <c r="DNN59" s="74"/>
      <c r="DNO59" s="74"/>
      <c r="DNP59" s="74"/>
      <c r="DNQ59" s="74"/>
      <c r="DNR59" s="74"/>
      <c r="DNS59" s="74"/>
      <c r="DNT59" s="74"/>
      <c r="DNU59" s="74"/>
      <c r="DNV59" s="74"/>
      <c r="DNW59" s="74"/>
      <c r="DNX59" s="74"/>
      <c r="DNY59" s="74"/>
      <c r="DNZ59" s="74"/>
      <c r="DOA59" s="74"/>
      <c r="DOB59" s="74"/>
      <c r="DOC59" s="74"/>
      <c r="DOD59" s="74"/>
      <c r="DOE59" s="74"/>
      <c r="DOF59" s="74"/>
      <c r="DOG59" s="74"/>
      <c r="DOH59" s="74"/>
      <c r="DOI59" s="74"/>
      <c r="DOJ59" s="74"/>
      <c r="DOK59" s="74"/>
      <c r="DOL59" s="74"/>
      <c r="DOM59" s="74"/>
      <c r="DON59" s="74"/>
      <c r="DOO59" s="74"/>
      <c r="DOP59" s="74"/>
      <c r="DOQ59" s="74"/>
      <c r="DOR59" s="74"/>
      <c r="DOS59" s="74"/>
      <c r="DOT59" s="74"/>
      <c r="DOU59" s="74"/>
      <c r="DOV59" s="74"/>
      <c r="DOW59" s="74"/>
      <c r="DOX59" s="74"/>
      <c r="DOY59" s="74"/>
      <c r="DOZ59" s="74"/>
      <c r="DPA59" s="74"/>
      <c r="DPB59" s="74"/>
      <c r="DPC59" s="74"/>
      <c r="DPD59" s="74"/>
      <c r="DPE59" s="74"/>
      <c r="DPF59" s="74"/>
      <c r="DPG59" s="74"/>
      <c r="DPH59" s="74"/>
      <c r="DPI59" s="74"/>
      <c r="DPJ59" s="74"/>
      <c r="DPK59" s="74"/>
      <c r="DPL59" s="74"/>
      <c r="DPM59" s="74"/>
      <c r="DPN59" s="74"/>
      <c r="DPO59" s="74"/>
      <c r="DPP59" s="74"/>
      <c r="DPQ59" s="74"/>
      <c r="DPR59" s="74"/>
      <c r="DPS59" s="74"/>
      <c r="DPT59" s="74"/>
      <c r="DPU59" s="74"/>
      <c r="DPV59" s="74"/>
      <c r="DPW59" s="74"/>
      <c r="DPX59" s="74"/>
      <c r="DPY59" s="74"/>
      <c r="DPZ59" s="74"/>
      <c r="DQA59" s="74"/>
      <c r="DQB59" s="74"/>
      <c r="DQC59" s="74"/>
      <c r="DQD59" s="74"/>
      <c r="DQE59" s="74"/>
      <c r="DQF59" s="74"/>
      <c r="DQG59" s="74"/>
      <c r="DQH59" s="74"/>
      <c r="DQI59" s="74"/>
      <c r="DQJ59" s="74"/>
      <c r="DQK59" s="74"/>
      <c r="DQL59" s="74"/>
      <c r="DQM59" s="74"/>
      <c r="DQN59" s="74"/>
      <c r="DQO59" s="74"/>
      <c r="DQP59" s="74"/>
      <c r="DQQ59" s="74"/>
      <c r="DQR59" s="74"/>
      <c r="DQS59" s="74"/>
      <c r="DQT59" s="74"/>
      <c r="DQU59" s="74"/>
      <c r="DQV59" s="74"/>
      <c r="DQW59" s="74"/>
      <c r="DQX59" s="74"/>
      <c r="DQY59" s="74"/>
      <c r="DQZ59" s="74"/>
      <c r="DRA59" s="74"/>
      <c r="DRB59" s="74"/>
      <c r="DRC59" s="74"/>
      <c r="DRD59" s="74"/>
      <c r="DRE59" s="74"/>
      <c r="DRF59" s="74"/>
      <c r="DRG59" s="74"/>
      <c r="DRH59" s="74"/>
      <c r="DRI59" s="74"/>
      <c r="DRJ59" s="74"/>
      <c r="DRK59" s="74"/>
      <c r="DRL59" s="74"/>
      <c r="DRM59" s="74"/>
      <c r="DRN59" s="74"/>
      <c r="DRO59" s="74"/>
      <c r="DRP59" s="74"/>
      <c r="DRQ59" s="74"/>
      <c r="DRR59" s="74"/>
      <c r="DRS59" s="74"/>
      <c r="DRT59" s="74"/>
      <c r="DRU59" s="74"/>
      <c r="DRV59" s="74"/>
      <c r="DRW59" s="74"/>
      <c r="DRX59" s="74"/>
      <c r="DRY59" s="74"/>
      <c r="DRZ59" s="74"/>
      <c r="DSA59" s="74"/>
      <c r="DSB59" s="74"/>
      <c r="DSC59" s="74"/>
      <c r="DSD59" s="74"/>
      <c r="DSE59" s="74"/>
      <c r="DSF59" s="74"/>
      <c r="DSG59" s="74"/>
      <c r="DSH59" s="74"/>
      <c r="DSI59" s="74"/>
      <c r="DSJ59" s="74"/>
      <c r="DSK59" s="74"/>
      <c r="DSL59" s="74"/>
      <c r="DSM59" s="74"/>
      <c r="DSN59" s="74"/>
      <c r="DSO59" s="74"/>
      <c r="DSP59" s="74"/>
      <c r="DSQ59" s="74"/>
      <c r="DSR59" s="74"/>
      <c r="DSS59" s="74"/>
      <c r="DST59" s="74"/>
      <c r="DSU59" s="74"/>
      <c r="DSV59" s="74"/>
      <c r="DSW59" s="74"/>
      <c r="DSX59" s="74"/>
      <c r="DSY59" s="74"/>
      <c r="DSZ59" s="74"/>
      <c r="DTA59" s="74"/>
      <c r="DTB59" s="74"/>
      <c r="DTC59" s="74"/>
      <c r="DTD59" s="74"/>
      <c r="DTE59" s="74"/>
      <c r="DTF59" s="74"/>
      <c r="DTG59" s="74"/>
      <c r="DTH59" s="74"/>
      <c r="DTI59" s="74"/>
      <c r="DTJ59" s="74"/>
      <c r="DTK59" s="74"/>
      <c r="DTL59" s="74"/>
      <c r="DTM59" s="74"/>
      <c r="DTN59" s="74"/>
      <c r="DTO59" s="74"/>
      <c r="DTP59" s="74"/>
      <c r="DTQ59" s="74"/>
      <c r="DTR59" s="74"/>
      <c r="DTS59" s="74"/>
      <c r="DTT59" s="74"/>
      <c r="DTU59" s="74"/>
      <c r="DTV59" s="74"/>
      <c r="DTW59" s="74"/>
      <c r="DTX59" s="74"/>
      <c r="DTY59" s="74"/>
      <c r="DTZ59" s="74"/>
      <c r="DUA59" s="74"/>
      <c r="DUB59" s="74"/>
      <c r="DUC59" s="74"/>
      <c r="DUD59" s="74"/>
      <c r="DUE59" s="74"/>
      <c r="DUF59" s="74"/>
      <c r="DUG59" s="74"/>
      <c r="DUH59" s="74"/>
      <c r="DUI59" s="74"/>
      <c r="DUJ59" s="74"/>
      <c r="DUK59" s="74"/>
      <c r="DUL59" s="74"/>
      <c r="DUM59" s="74"/>
      <c r="DUN59" s="74"/>
      <c r="DUO59" s="74"/>
      <c r="DUP59" s="74"/>
      <c r="DUQ59" s="74"/>
      <c r="DUR59" s="74"/>
      <c r="DUS59" s="74"/>
      <c r="DUT59" s="74"/>
      <c r="DUU59" s="74"/>
      <c r="DUV59" s="74"/>
      <c r="DUW59" s="74"/>
      <c r="DUX59" s="74"/>
      <c r="DUY59" s="74"/>
      <c r="DUZ59" s="74"/>
      <c r="DVA59" s="74"/>
      <c r="DVB59" s="74"/>
      <c r="DVC59" s="74"/>
      <c r="DVD59" s="74"/>
      <c r="DVE59" s="74"/>
      <c r="DVF59" s="74"/>
      <c r="DVG59" s="74"/>
      <c r="DVH59" s="74"/>
      <c r="DVI59" s="74"/>
      <c r="DVJ59" s="74"/>
      <c r="DVK59" s="74"/>
      <c r="DVL59" s="74"/>
      <c r="DVM59" s="74"/>
      <c r="DVN59" s="74"/>
      <c r="DVO59" s="74"/>
      <c r="DVP59" s="74"/>
      <c r="DVQ59" s="74"/>
      <c r="DVR59" s="74"/>
      <c r="DVS59" s="74"/>
      <c r="DVT59" s="74"/>
      <c r="DVU59" s="74"/>
      <c r="DVV59" s="74"/>
      <c r="DVW59" s="74"/>
      <c r="DVX59" s="74"/>
      <c r="DVY59" s="74"/>
      <c r="DVZ59" s="74"/>
      <c r="DWA59" s="74"/>
      <c r="DWB59" s="74"/>
      <c r="DWC59" s="74"/>
      <c r="DWD59" s="74"/>
      <c r="DWE59" s="74"/>
      <c r="DWF59" s="74"/>
      <c r="DWG59" s="74"/>
      <c r="DWH59" s="74"/>
      <c r="DWI59" s="74"/>
      <c r="DWJ59" s="74"/>
      <c r="DWK59" s="74"/>
      <c r="DWL59" s="74"/>
      <c r="DWM59" s="74"/>
      <c r="DWN59" s="74"/>
      <c r="DWO59" s="74"/>
      <c r="DWP59" s="74"/>
      <c r="DWQ59" s="74"/>
      <c r="DWR59" s="74"/>
      <c r="DWS59" s="74"/>
      <c r="DWT59" s="74"/>
      <c r="DWU59" s="74"/>
      <c r="DWV59" s="74"/>
      <c r="DWW59" s="74"/>
      <c r="DWX59" s="74"/>
      <c r="DWY59" s="74"/>
      <c r="DWZ59" s="74"/>
      <c r="DXA59" s="74"/>
      <c r="DXB59" s="74"/>
      <c r="DXC59" s="74"/>
      <c r="DXD59" s="74"/>
      <c r="DXE59" s="74"/>
      <c r="DXF59" s="74"/>
      <c r="DXG59" s="74"/>
      <c r="DXH59" s="74"/>
      <c r="DXI59" s="74"/>
      <c r="DXJ59" s="74"/>
      <c r="DXK59" s="74"/>
      <c r="DXL59" s="74"/>
      <c r="DXM59" s="74"/>
      <c r="DXN59" s="74"/>
      <c r="DXO59" s="74"/>
      <c r="DXP59" s="74"/>
      <c r="DXQ59" s="74"/>
      <c r="DXR59" s="74"/>
      <c r="DXS59" s="74"/>
      <c r="DXT59" s="74"/>
      <c r="DXU59" s="74"/>
      <c r="DXV59" s="74"/>
      <c r="DXW59" s="74"/>
      <c r="DXX59" s="74"/>
      <c r="DXY59" s="74"/>
      <c r="DXZ59" s="74"/>
      <c r="DYA59" s="74"/>
      <c r="DYB59" s="74"/>
      <c r="DYC59" s="74"/>
      <c r="DYD59" s="74"/>
      <c r="DYE59" s="74"/>
      <c r="DYF59" s="74"/>
      <c r="DYG59" s="74"/>
      <c r="DYH59" s="74"/>
      <c r="DYI59" s="74"/>
      <c r="DYJ59" s="74"/>
      <c r="DYK59" s="74"/>
      <c r="DYL59" s="74"/>
      <c r="DYM59" s="74"/>
      <c r="DYN59" s="74"/>
      <c r="DYO59" s="74"/>
      <c r="DYP59" s="74"/>
      <c r="DYQ59" s="74"/>
      <c r="DYR59" s="74"/>
      <c r="DYS59" s="74"/>
      <c r="DYT59" s="74"/>
      <c r="DYU59" s="74"/>
      <c r="DYV59" s="74"/>
      <c r="DYW59" s="74"/>
      <c r="DYX59" s="74"/>
      <c r="DYY59" s="74"/>
      <c r="DYZ59" s="74"/>
      <c r="DZA59" s="74"/>
      <c r="DZB59" s="74"/>
      <c r="DZC59" s="74"/>
      <c r="DZD59" s="74"/>
      <c r="DZE59" s="74"/>
      <c r="DZF59" s="74"/>
      <c r="DZG59" s="74"/>
      <c r="DZH59" s="74"/>
      <c r="DZI59" s="74"/>
      <c r="DZJ59" s="74"/>
      <c r="DZK59" s="74"/>
      <c r="DZL59" s="74"/>
      <c r="DZM59" s="74"/>
      <c r="DZN59" s="74"/>
      <c r="DZO59" s="74"/>
      <c r="DZP59" s="74"/>
      <c r="DZQ59" s="74"/>
      <c r="DZR59" s="74"/>
      <c r="DZS59" s="74"/>
      <c r="DZT59" s="74"/>
      <c r="DZU59" s="74"/>
      <c r="DZV59" s="74"/>
      <c r="DZW59" s="74"/>
      <c r="DZX59" s="74"/>
      <c r="DZY59" s="74"/>
      <c r="DZZ59" s="74"/>
      <c r="EAA59" s="74"/>
      <c r="EAB59" s="74"/>
      <c r="EAC59" s="74"/>
      <c r="EAD59" s="74"/>
      <c r="EAE59" s="74"/>
      <c r="EAF59" s="74"/>
      <c r="EAG59" s="74"/>
      <c r="EAH59" s="74"/>
      <c r="EAI59" s="74"/>
      <c r="EAJ59" s="74"/>
      <c r="EAK59" s="74"/>
      <c r="EAL59" s="74"/>
      <c r="EAM59" s="74"/>
      <c r="EAN59" s="74"/>
      <c r="EAO59" s="74"/>
      <c r="EAP59" s="74"/>
      <c r="EAQ59" s="74"/>
      <c r="EAR59" s="74"/>
      <c r="EAS59" s="74"/>
      <c r="EAT59" s="74"/>
      <c r="EAU59" s="74"/>
      <c r="EAV59" s="74"/>
      <c r="EAW59" s="74"/>
      <c r="EAX59" s="74"/>
      <c r="EAY59" s="74"/>
      <c r="EAZ59" s="74"/>
      <c r="EBA59" s="74"/>
      <c r="EBB59" s="74"/>
      <c r="EBC59" s="74"/>
      <c r="EBD59" s="74"/>
      <c r="EBE59" s="74"/>
      <c r="EBF59" s="74"/>
      <c r="EBG59" s="74"/>
      <c r="EBH59" s="74"/>
      <c r="EBI59" s="74"/>
      <c r="EBJ59" s="74"/>
      <c r="EBK59" s="74"/>
      <c r="EBL59" s="74"/>
      <c r="EBM59" s="74"/>
      <c r="EBN59" s="74"/>
      <c r="EBO59" s="74"/>
      <c r="EBP59" s="74"/>
      <c r="EBQ59" s="74"/>
      <c r="EBR59" s="74"/>
      <c r="EBS59" s="74"/>
      <c r="EBT59" s="74"/>
      <c r="EBU59" s="74"/>
      <c r="EBV59" s="74"/>
      <c r="EBW59" s="74"/>
      <c r="EBX59" s="74"/>
      <c r="EBY59" s="74"/>
      <c r="EBZ59" s="74"/>
      <c r="ECA59" s="74"/>
      <c r="ECB59" s="74"/>
      <c r="ECC59" s="74"/>
      <c r="ECD59" s="74"/>
      <c r="ECE59" s="74"/>
      <c r="ECF59" s="74"/>
      <c r="ECG59" s="74"/>
      <c r="ECH59" s="74"/>
      <c r="ECI59" s="74"/>
      <c r="ECJ59" s="74"/>
      <c r="ECK59" s="74"/>
      <c r="ECL59" s="74"/>
      <c r="ECM59" s="74"/>
      <c r="ECN59" s="74"/>
      <c r="ECO59" s="74"/>
      <c r="ECP59" s="74"/>
      <c r="ECQ59" s="74"/>
      <c r="ECR59" s="74"/>
      <c r="ECS59" s="74"/>
      <c r="ECT59" s="74"/>
      <c r="ECU59" s="74"/>
      <c r="ECV59" s="74"/>
      <c r="ECW59" s="74"/>
      <c r="ECX59" s="74"/>
      <c r="ECY59" s="74"/>
      <c r="ECZ59" s="74"/>
      <c r="EDA59" s="74"/>
      <c r="EDB59" s="74"/>
      <c r="EDC59" s="74"/>
      <c r="EDD59" s="74"/>
      <c r="EDE59" s="74"/>
      <c r="EDF59" s="74"/>
      <c r="EDG59" s="74"/>
      <c r="EDH59" s="74"/>
      <c r="EDI59" s="74"/>
      <c r="EDJ59" s="74"/>
      <c r="EDK59" s="74"/>
      <c r="EDL59" s="74"/>
      <c r="EDM59" s="74"/>
      <c r="EDN59" s="74"/>
      <c r="EDO59" s="74"/>
      <c r="EDP59" s="74"/>
      <c r="EDQ59" s="74"/>
      <c r="EDR59" s="74"/>
      <c r="EDS59" s="74"/>
      <c r="EDT59" s="74"/>
      <c r="EDU59" s="74"/>
      <c r="EDV59" s="74"/>
      <c r="EDW59" s="74"/>
      <c r="EDX59" s="74"/>
      <c r="EDY59" s="74"/>
      <c r="EDZ59" s="74"/>
      <c r="EEA59" s="74"/>
      <c r="EEB59" s="74"/>
      <c r="EEC59" s="74"/>
      <c r="EED59" s="74"/>
      <c r="EEE59" s="74"/>
      <c r="EEF59" s="74"/>
      <c r="EEG59" s="74"/>
      <c r="EEH59" s="74"/>
      <c r="EEI59" s="74"/>
      <c r="EEJ59" s="74"/>
      <c r="EEK59" s="74"/>
      <c r="EEL59" s="74"/>
      <c r="EEM59" s="74"/>
      <c r="EEN59" s="74"/>
      <c r="EEO59" s="74"/>
      <c r="EEP59" s="74"/>
      <c r="EEQ59" s="74"/>
      <c r="EER59" s="74"/>
      <c r="EES59" s="74"/>
      <c r="EET59" s="74"/>
      <c r="EEU59" s="74"/>
      <c r="EEV59" s="74"/>
      <c r="EEW59" s="74"/>
      <c r="EEX59" s="74"/>
      <c r="EEY59" s="74"/>
      <c r="EEZ59" s="74"/>
      <c r="EFA59" s="74"/>
      <c r="EFB59" s="74"/>
      <c r="EFC59" s="74"/>
      <c r="EFD59" s="74"/>
      <c r="EFE59" s="74"/>
      <c r="EFF59" s="74"/>
      <c r="EFG59" s="74"/>
      <c r="EFH59" s="74"/>
      <c r="EFI59" s="74"/>
      <c r="EFJ59" s="74"/>
      <c r="EFK59" s="74"/>
      <c r="EFL59" s="74"/>
      <c r="EFM59" s="74"/>
      <c r="EFN59" s="74"/>
      <c r="EFO59" s="74"/>
      <c r="EFP59" s="74"/>
      <c r="EFQ59" s="74"/>
      <c r="EFR59" s="74"/>
      <c r="EFS59" s="74"/>
      <c r="EFT59" s="74"/>
      <c r="EFU59" s="74"/>
      <c r="EFV59" s="74"/>
      <c r="EFW59" s="74"/>
      <c r="EFX59" s="74"/>
      <c r="EFY59" s="74"/>
      <c r="EFZ59" s="74"/>
      <c r="EGA59" s="74"/>
      <c r="EGB59" s="74"/>
      <c r="EGC59" s="74"/>
      <c r="EGD59" s="74"/>
      <c r="EGE59" s="74"/>
      <c r="EGF59" s="74"/>
      <c r="EGG59" s="74"/>
      <c r="EGH59" s="74"/>
      <c r="EGI59" s="74"/>
      <c r="EGJ59" s="74"/>
      <c r="EGK59" s="74"/>
      <c r="EGL59" s="74"/>
      <c r="EGM59" s="74"/>
      <c r="EGN59" s="74"/>
      <c r="EGO59" s="74"/>
      <c r="EGP59" s="74"/>
      <c r="EGQ59" s="74"/>
      <c r="EGR59" s="74"/>
      <c r="EGS59" s="74"/>
      <c r="EGT59" s="74"/>
      <c r="EGU59" s="74"/>
      <c r="EGV59" s="74"/>
      <c r="EGW59" s="74"/>
      <c r="EGX59" s="74"/>
      <c r="EGY59" s="74"/>
      <c r="EGZ59" s="74"/>
      <c r="EHA59" s="74"/>
      <c r="EHB59" s="74"/>
      <c r="EHC59" s="74"/>
      <c r="EHD59" s="74"/>
      <c r="EHE59" s="74"/>
      <c r="EHF59" s="74"/>
      <c r="EHG59" s="74"/>
      <c r="EHH59" s="74"/>
      <c r="EHI59" s="74"/>
      <c r="EHJ59" s="74"/>
      <c r="EHK59" s="74"/>
      <c r="EHL59" s="74"/>
      <c r="EHM59" s="74"/>
      <c r="EHN59" s="74"/>
      <c r="EHO59" s="74"/>
      <c r="EHP59" s="74"/>
      <c r="EHQ59" s="74"/>
      <c r="EHR59" s="74"/>
      <c r="EHS59" s="74"/>
      <c r="EHT59" s="74"/>
      <c r="EHU59" s="74"/>
      <c r="EHV59" s="74"/>
      <c r="EHW59" s="74"/>
      <c r="EHX59" s="74"/>
      <c r="EHY59" s="74"/>
      <c r="EHZ59" s="74"/>
      <c r="EIA59" s="74"/>
      <c r="EIB59" s="74"/>
      <c r="EIC59" s="74"/>
      <c r="EID59" s="74"/>
      <c r="EIE59" s="74"/>
      <c r="EIF59" s="74"/>
      <c r="EIG59" s="74"/>
      <c r="EIH59" s="74"/>
      <c r="EII59" s="74"/>
      <c r="EIJ59" s="74"/>
      <c r="EIK59" s="74"/>
      <c r="EIL59" s="74"/>
      <c r="EIM59" s="74"/>
      <c r="EIN59" s="74"/>
      <c r="EIO59" s="74"/>
      <c r="EIP59" s="74"/>
      <c r="EIQ59" s="74"/>
      <c r="EIR59" s="74"/>
      <c r="EIS59" s="74"/>
      <c r="EIT59" s="74"/>
      <c r="EIU59" s="74"/>
      <c r="EIV59" s="74"/>
      <c r="EIW59" s="74"/>
      <c r="EIX59" s="74"/>
      <c r="EIY59" s="74"/>
      <c r="EIZ59" s="74"/>
      <c r="EJA59" s="74"/>
      <c r="EJB59" s="74"/>
      <c r="EJC59" s="74"/>
      <c r="EJD59" s="74"/>
      <c r="EJE59" s="74"/>
      <c r="EJF59" s="74"/>
      <c r="EJG59" s="74"/>
      <c r="EJH59" s="74"/>
      <c r="EJI59" s="74"/>
      <c r="EJJ59" s="74"/>
      <c r="EJK59" s="74"/>
      <c r="EJL59" s="74"/>
      <c r="EJM59" s="74"/>
      <c r="EJN59" s="74"/>
      <c r="EJO59" s="74"/>
      <c r="EJP59" s="74"/>
      <c r="EJQ59" s="74"/>
      <c r="EJR59" s="74"/>
      <c r="EJS59" s="74"/>
      <c r="EJT59" s="74"/>
      <c r="EJU59" s="74"/>
      <c r="EJV59" s="74"/>
      <c r="EJW59" s="74"/>
      <c r="EJX59" s="74"/>
      <c r="EJY59" s="74"/>
      <c r="EJZ59" s="74"/>
      <c r="EKA59" s="74"/>
      <c r="EKB59" s="74"/>
      <c r="EKC59" s="74"/>
      <c r="EKD59" s="74"/>
      <c r="EKE59" s="74"/>
      <c r="EKF59" s="74"/>
      <c r="EKG59" s="74"/>
      <c r="EKH59" s="74"/>
      <c r="EKI59" s="74"/>
      <c r="EKJ59" s="74"/>
      <c r="EKK59" s="74"/>
      <c r="EKL59" s="74"/>
      <c r="EKM59" s="74"/>
      <c r="EKN59" s="74"/>
      <c r="EKO59" s="74"/>
      <c r="EKP59" s="74"/>
      <c r="EKQ59" s="74"/>
      <c r="EKR59" s="74"/>
      <c r="EKS59" s="74"/>
      <c r="EKT59" s="74"/>
      <c r="EKU59" s="74"/>
      <c r="EKV59" s="74"/>
      <c r="EKW59" s="74"/>
      <c r="EKX59" s="74"/>
      <c r="EKY59" s="74"/>
      <c r="EKZ59" s="74"/>
      <c r="ELA59" s="74"/>
      <c r="ELB59" s="74"/>
      <c r="ELC59" s="74"/>
      <c r="ELD59" s="74"/>
      <c r="ELE59" s="74"/>
      <c r="ELF59" s="74"/>
      <c r="ELG59" s="74"/>
      <c r="ELH59" s="74"/>
      <c r="ELI59" s="74"/>
      <c r="ELJ59" s="74"/>
      <c r="ELK59" s="74"/>
      <c r="ELL59" s="74"/>
      <c r="ELM59" s="74"/>
      <c r="ELN59" s="74"/>
      <c r="ELO59" s="74"/>
      <c r="ELP59" s="74"/>
      <c r="ELQ59" s="74"/>
      <c r="ELR59" s="74"/>
      <c r="ELS59" s="74"/>
      <c r="ELT59" s="74"/>
      <c r="ELU59" s="74"/>
      <c r="ELV59" s="74"/>
      <c r="ELW59" s="74"/>
      <c r="ELX59" s="74"/>
      <c r="ELY59" s="74"/>
      <c r="ELZ59" s="74"/>
      <c r="EMA59" s="74"/>
      <c r="EMB59" s="74"/>
      <c r="EMC59" s="74"/>
      <c r="EMD59" s="74"/>
      <c r="EME59" s="74"/>
      <c r="EMF59" s="74"/>
      <c r="EMG59" s="74"/>
      <c r="EMH59" s="74"/>
      <c r="EMI59" s="74"/>
      <c r="EMJ59" s="74"/>
      <c r="EMK59" s="74"/>
      <c r="EML59" s="74"/>
      <c r="EMM59" s="74"/>
      <c r="EMN59" s="74"/>
      <c r="EMO59" s="74"/>
      <c r="EMP59" s="74"/>
      <c r="EMQ59" s="74"/>
      <c r="EMR59" s="74"/>
      <c r="EMS59" s="74"/>
      <c r="EMT59" s="74"/>
      <c r="EMU59" s="74"/>
      <c r="EMV59" s="74"/>
      <c r="EMW59" s="74"/>
      <c r="EMX59" s="74"/>
      <c r="EMY59" s="74"/>
      <c r="EMZ59" s="74"/>
      <c r="ENA59" s="74"/>
      <c r="ENB59" s="74"/>
      <c r="ENC59" s="74"/>
      <c r="END59" s="74"/>
      <c r="ENE59" s="74"/>
      <c r="ENF59" s="74"/>
      <c r="ENG59" s="74"/>
      <c r="ENH59" s="74"/>
      <c r="ENI59" s="74"/>
      <c r="ENJ59" s="74"/>
      <c r="ENK59" s="74"/>
      <c r="ENL59" s="74"/>
      <c r="ENM59" s="74"/>
      <c r="ENN59" s="74"/>
      <c r="ENO59" s="74"/>
      <c r="ENP59" s="74"/>
      <c r="ENQ59" s="74"/>
      <c r="ENR59" s="74"/>
      <c r="ENS59" s="74"/>
      <c r="ENT59" s="74"/>
      <c r="ENU59" s="74"/>
      <c r="ENV59" s="74"/>
      <c r="ENW59" s="74"/>
      <c r="ENX59" s="74"/>
      <c r="ENY59" s="74"/>
      <c r="ENZ59" s="74"/>
      <c r="EOA59" s="74"/>
      <c r="EOB59" s="74"/>
      <c r="EOC59" s="74"/>
      <c r="EOD59" s="74"/>
      <c r="EOE59" s="74"/>
      <c r="EOF59" s="74"/>
      <c r="EOG59" s="74"/>
      <c r="EOH59" s="74"/>
      <c r="EOI59" s="74"/>
      <c r="EOJ59" s="74"/>
      <c r="EOK59" s="74"/>
      <c r="EOL59" s="74"/>
      <c r="EOM59" s="74"/>
      <c r="EON59" s="74"/>
      <c r="EOO59" s="74"/>
      <c r="EOP59" s="74"/>
      <c r="EOQ59" s="74"/>
      <c r="EOR59" s="74"/>
      <c r="EOS59" s="74"/>
      <c r="EOT59" s="74"/>
      <c r="EOU59" s="74"/>
      <c r="EOV59" s="74"/>
      <c r="EOW59" s="74"/>
      <c r="EOX59" s="74"/>
      <c r="EOY59" s="74"/>
      <c r="EOZ59" s="74"/>
      <c r="EPA59" s="74"/>
      <c r="EPB59" s="74"/>
      <c r="EPC59" s="74"/>
      <c r="EPD59" s="74"/>
      <c r="EPE59" s="74"/>
      <c r="EPF59" s="74"/>
      <c r="EPG59" s="74"/>
      <c r="EPH59" s="74"/>
      <c r="EPI59" s="74"/>
      <c r="EPJ59" s="74"/>
      <c r="EPK59" s="74"/>
      <c r="EPL59" s="74"/>
      <c r="EPM59" s="74"/>
      <c r="EPN59" s="74"/>
      <c r="EPO59" s="74"/>
      <c r="EPP59" s="74"/>
      <c r="EPQ59" s="74"/>
      <c r="EPR59" s="74"/>
      <c r="EPS59" s="74"/>
      <c r="EPT59" s="74"/>
      <c r="EPU59" s="74"/>
      <c r="EPV59" s="74"/>
      <c r="EPW59" s="74"/>
      <c r="EPX59" s="74"/>
      <c r="EPY59" s="74"/>
      <c r="EPZ59" s="74"/>
      <c r="EQA59" s="74"/>
      <c r="EQB59" s="74"/>
      <c r="EQC59" s="74"/>
      <c r="EQD59" s="74"/>
      <c r="EQE59" s="74"/>
      <c r="EQF59" s="74"/>
      <c r="EQG59" s="74"/>
      <c r="EQH59" s="74"/>
      <c r="EQI59" s="74"/>
      <c r="EQJ59" s="74"/>
      <c r="EQK59" s="74"/>
      <c r="EQL59" s="74"/>
      <c r="EQM59" s="74"/>
      <c r="EQN59" s="74"/>
      <c r="EQO59" s="74"/>
      <c r="EQP59" s="74"/>
      <c r="EQQ59" s="74"/>
      <c r="EQR59" s="74"/>
      <c r="EQS59" s="74"/>
      <c r="EQT59" s="74"/>
      <c r="EQU59" s="74"/>
      <c r="EQV59" s="74"/>
      <c r="EQW59" s="74"/>
      <c r="EQX59" s="74"/>
      <c r="EQY59" s="74"/>
      <c r="EQZ59" s="74"/>
      <c r="ERA59" s="74"/>
      <c r="ERB59" s="74"/>
      <c r="ERC59" s="74"/>
      <c r="ERD59" s="74"/>
      <c r="ERE59" s="74"/>
      <c r="ERF59" s="74"/>
      <c r="ERG59" s="74"/>
      <c r="ERH59" s="74"/>
      <c r="ERI59" s="74"/>
      <c r="ERJ59" s="74"/>
      <c r="ERK59" s="74"/>
      <c r="ERL59" s="74"/>
      <c r="ERM59" s="74"/>
      <c r="ERN59" s="74"/>
      <c r="ERO59" s="74"/>
      <c r="ERP59" s="74"/>
      <c r="ERQ59" s="74"/>
      <c r="ERR59" s="74"/>
      <c r="ERS59" s="74"/>
      <c r="ERT59" s="74"/>
      <c r="ERU59" s="74"/>
      <c r="ERV59" s="74"/>
      <c r="ERW59" s="74"/>
      <c r="ERX59" s="74"/>
      <c r="ERY59" s="74"/>
      <c r="ERZ59" s="74"/>
      <c r="ESA59" s="74"/>
      <c r="ESB59" s="74"/>
      <c r="ESC59" s="74"/>
      <c r="ESD59" s="74"/>
      <c r="ESE59" s="74"/>
      <c r="ESF59" s="74"/>
      <c r="ESG59" s="74"/>
      <c r="ESH59" s="74"/>
      <c r="ESI59" s="74"/>
      <c r="ESJ59" s="74"/>
      <c r="ESK59" s="74"/>
      <c r="ESL59" s="74"/>
      <c r="ESM59" s="74"/>
      <c r="ESN59" s="74"/>
      <c r="ESO59" s="74"/>
      <c r="ESP59" s="74"/>
      <c r="ESQ59" s="74"/>
      <c r="ESR59" s="74"/>
      <c r="ESS59" s="74"/>
      <c r="EST59" s="74"/>
      <c r="ESU59" s="74"/>
      <c r="ESV59" s="74"/>
      <c r="ESW59" s="74"/>
      <c r="ESX59" s="74"/>
      <c r="ESY59" s="74"/>
      <c r="ESZ59" s="74"/>
      <c r="ETA59" s="74"/>
      <c r="ETB59" s="74"/>
      <c r="ETC59" s="74"/>
      <c r="ETD59" s="74"/>
      <c r="ETE59" s="74"/>
      <c r="ETF59" s="74"/>
      <c r="ETG59" s="74"/>
      <c r="ETH59" s="74"/>
      <c r="ETI59" s="74"/>
      <c r="ETJ59" s="74"/>
      <c r="ETK59" s="74"/>
      <c r="ETL59" s="74"/>
      <c r="ETM59" s="74"/>
      <c r="ETN59" s="74"/>
      <c r="ETO59" s="74"/>
      <c r="ETP59" s="74"/>
      <c r="ETQ59" s="74"/>
      <c r="ETR59" s="74"/>
      <c r="ETS59" s="74"/>
      <c r="ETT59" s="74"/>
      <c r="ETU59" s="74"/>
      <c r="ETV59" s="74"/>
      <c r="ETW59" s="74"/>
      <c r="ETX59" s="74"/>
      <c r="ETY59" s="74"/>
      <c r="ETZ59" s="74"/>
      <c r="EUA59" s="74"/>
      <c r="EUB59" s="74"/>
      <c r="EUC59" s="74"/>
      <c r="EUD59" s="74"/>
      <c r="EUE59" s="74"/>
      <c r="EUF59" s="74"/>
      <c r="EUG59" s="74"/>
      <c r="EUH59" s="74"/>
      <c r="EUI59" s="74"/>
      <c r="EUJ59" s="74"/>
      <c r="EUK59" s="74"/>
      <c r="EUL59" s="74"/>
      <c r="EUM59" s="74"/>
      <c r="EUN59" s="74"/>
      <c r="EUO59" s="74"/>
      <c r="EUP59" s="74"/>
      <c r="EUQ59" s="74"/>
      <c r="EUR59" s="74"/>
      <c r="EUS59" s="74"/>
      <c r="EUT59" s="74"/>
      <c r="EUU59" s="74"/>
      <c r="EUV59" s="74"/>
      <c r="EUW59" s="74"/>
      <c r="EUX59" s="74"/>
      <c r="EUY59" s="74"/>
      <c r="EUZ59" s="74"/>
      <c r="EVA59" s="74"/>
      <c r="EVB59" s="74"/>
      <c r="EVC59" s="74"/>
      <c r="EVD59" s="74"/>
      <c r="EVE59" s="74"/>
      <c r="EVF59" s="74"/>
      <c r="EVG59" s="74"/>
      <c r="EVH59" s="74"/>
      <c r="EVI59" s="74"/>
      <c r="EVJ59" s="74"/>
      <c r="EVK59" s="74"/>
      <c r="EVL59" s="74"/>
      <c r="EVM59" s="74"/>
      <c r="EVN59" s="74"/>
      <c r="EVO59" s="74"/>
      <c r="EVP59" s="74"/>
      <c r="EVQ59" s="74"/>
      <c r="EVR59" s="74"/>
      <c r="EVS59" s="74"/>
      <c r="EVT59" s="74"/>
      <c r="EVU59" s="74"/>
      <c r="EVV59" s="74"/>
      <c r="EVW59" s="74"/>
      <c r="EVX59" s="74"/>
      <c r="EVY59" s="74"/>
      <c r="EVZ59" s="74"/>
      <c r="EWA59" s="74"/>
      <c r="EWB59" s="74"/>
      <c r="EWC59" s="74"/>
      <c r="EWD59" s="74"/>
      <c r="EWE59" s="74"/>
      <c r="EWF59" s="74"/>
      <c r="EWG59" s="74"/>
      <c r="EWH59" s="74"/>
      <c r="EWI59" s="74"/>
      <c r="EWJ59" s="74"/>
      <c r="EWK59" s="74"/>
      <c r="EWL59" s="74"/>
      <c r="EWM59" s="74"/>
      <c r="EWN59" s="74"/>
      <c r="EWO59" s="74"/>
      <c r="EWP59" s="74"/>
      <c r="EWQ59" s="74"/>
      <c r="EWR59" s="74"/>
      <c r="EWS59" s="74"/>
      <c r="EWT59" s="74"/>
      <c r="EWU59" s="74"/>
      <c r="EWV59" s="74"/>
      <c r="EWW59" s="74"/>
      <c r="EWX59" s="74"/>
      <c r="EWY59" s="74"/>
      <c r="EWZ59" s="74"/>
      <c r="EXA59" s="74"/>
      <c r="EXB59" s="74"/>
      <c r="EXC59" s="74"/>
      <c r="EXD59" s="74"/>
      <c r="EXE59" s="74"/>
      <c r="EXF59" s="74"/>
      <c r="EXG59" s="74"/>
      <c r="EXH59" s="74"/>
      <c r="EXI59" s="74"/>
      <c r="EXJ59" s="74"/>
      <c r="EXK59" s="74"/>
      <c r="EXL59" s="74"/>
      <c r="EXM59" s="74"/>
      <c r="EXN59" s="74"/>
      <c r="EXO59" s="74"/>
      <c r="EXP59" s="74"/>
      <c r="EXQ59" s="74"/>
      <c r="EXR59" s="74"/>
      <c r="EXS59" s="74"/>
      <c r="EXT59" s="74"/>
      <c r="EXU59" s="74"/>
      <c r="EXV59" s="74"/>
      <c r="EXW59" s="74"/>
      <c r="EXX59" s="74"/>
      <c r="EXY59" s="74"/>
      <c r="EXZ59" s="74"/>
      <c r="EYA59" s="74"/>
      <c r="EYB59" s="74"/>
      <c r="EYC59" s="74"/>
      <c r="EYD59" s="74"/>
      <c r="EYE59" s="74"/>
      <c r="EYF59" s="74"/>
      <c r="EYG59" s="74"/>
      <c r="EYH59" s="74"/>
      <c r="EYI59" s="74"/>
      <c r="EYJ59" s="74"/>
      <c r="EYK59" s="74"/>
      <c r="EYL59" s="74"/>
      <c r="EYM59" s="74"/>
      <c r="EYN59" s="74"/>
      <c r="EYO59" s="74"/>
      <c r="EYP59" s="74"/>
      <c r="EYQ59" s="74"/>
      <c r="EYR59" s="74"/>
      <c r="EYS59" s="74"/>
      <c r="EYT59" s="74"/>
      <c r="EYU59" s="74"/>
      <c r="EYV59" s="74"/>
      <c r="EYW59" s="74"/>
      <c r="EYX59" s="74"/>
      <c r="EYY59" s="74"/>
      <c r="EYZ59" s="74"/>
      <c r="EZA59" s="74"/>
      <c r="EZB59" s="74"/>
      <c r="EZC59" s="74"/>
      <c r="EZD59" s="74"/>
      <c r="EZE59" s="74"/>
      <c r="EZF59" s="74"/>
      <c r="EZG59" s="74"/>
      <c r="EZH59" s="74"/>
      <c r="EZI59" s="74"/>
      <c r="EZJ59" s="74"/>
      <c r="EZK59" s="74"/>
      <c r="EZL59" s="74"/>
      <c r="EZM59" s="74"/>
      <c r="EZN59" s="74"/>
      <c r="EZO59" s="74"/>
      <c r="EZP59" s="74"/>
      <c r="EZQ59" s="74"/>
      <c r="EZR59" s="74"/>
      <c r="EZS59" s="74"/>
      <c r="EZT59" s="74"/>
      <c r="EZU59" s="74"/>
      <c r="EZV59" s="74"/>
      <c r="EZW59" s="74"/>
      <c r="EZX59" s="74"/>
      <c r="EZY59" s="74"/>
      <c r="EZZ59" s="74"/>
      <c r="FAA59" s="74"/>
      <c r="FAB59" s="74"/>
      <c r="FAC59" s="74"/>
      <c r="FAD59" s="74"/>
      <c r="FAE59" s="74"/>
      <c r="FAF59" s="74"/>
      <c r="FAG59" s="74"/>
      <c r="FAH59" s="74"/>
      <c r="FAI59" s="74"/>
      <c r="FAJ59" s="74"/>
      <c r="FAK59" s="74"/>
      <c r="FAL59" s="74"/>
      <c r="FAM59" s="74"/>
      <c r="FAN59" s="74"/>
      <c r="FAO59" s="74"/>
      <c r="FAP59" s="74"/>
      <c r="FAQ59" s="74"/>
      <c r="FAR59" s="74"/>
      <c r="FAS59" s="74"/>
      <c r="FAT59" s="74"/>
      <c r="FAU59" s="74"/>
      <c r="FAV59" s="74"/>
      <c r="FAW59" s="74"/>
      <c r="FAX59" s="74"/>
      <c r="FAY59" s="74"/>
      <c r="FAZ59" s="74"/>
      <c r="FBA59" s="74"/>
      <c r="FBB59" s="74"/>
      <c r="FBC59" s="74"/>
      <c r="FBD59" s="74"/>
      <c r="FBE59" s="74"/>
      <c r="FBF59" s="74"/>
      <c r="FBG59" s="74"/>
      <c r="FBH59" s="74"/>
      <c r="FBI59" s="74"/>
      <c r="FBJ59" s="74"/>
      <c r="FBK59" s="74"/>
      <c r="FBL59" s="74"/>
      <c r="FBM59" s="74"/>
      <c r="FBN59" s="74"/>
      <c r="FBO59" s="74"/>
      <c r="FBP59" s="74"/>
      <c r="FBQ59" s="74"/>
      <c r="FBR59" s="74"/>
      <c r="FBS59" s="74"/>
      <c r="FBT59" s="74"/>
      <c r="FBU59" s="74"/>
      <c r="FBV59" s="74"/>
      <c r="FBW59" s="74"/>
      <c r="FBX59" s="74"/>
      <c r="FBY59" s="74"/>
      <c r="FBZ59" s="74"/>
      <c r="FCA59" s="74"/>
      <c r="FCB59" s="74"/>
      <c r="FCC59" s="74"/>
      <c r="FCD59" s="74"/>
      <c r="FCE59" s="74"/>
      <c r="FCF59" s="74"/>
      <c r="FCG59" s="74"/>
      <c r="FCH59" s="74"/>
      <c r="FCI59" s="74"/>
      <c r="FCJ59" s="74"/>
      <c r="FCK59" s="74"/>
      <c r="FCL59" s="74"/>
      <c r="FCM59" s="74"/>
      <c r="FCN59" s="74"/>
      <c r="FCO59" s="74"/>
      <c r="FCP59" s="74"/>
      <c r="FCQ59" s="74"/>
      <c r="FCR59" s="74"/>
      <c r="FCS59" s="74"/>
      <c r="FCT59" s="74"/>
      <c r="FCU59" s="74"/>
      <c r="FCV59" s="74"/>
      <c r="FCW59" s="74"/>
      <c r="FCX59" s="74"/>
      <c r="FCY59" s="74"/>
      <c r="FCZ59" s="74"/>
      <c r="FDA59" s="74"/>
      <c r="FDB59" s="74"/>
      <c r="FDC59" s="74"/>
      <c r="FDD59" s="74"/>
      <c r="FDE59" s="74"/>
      <c r="FDF59" s="74"/>
      <c r="FDG59" s="74"/>
      <c r="FDH59" s="74"/>
      <c r="FDI59" s="74"/>
      <c r="FDJ59" s="74"/>
      <c r="FDK59" s="74"/>
      <c r="FDL59" s="74"/>
      <c r="FDM59" s="74"/>
      <c r="FDN59" s="74"/>
      <c r="FDO59" s="74"/>
      <c r="FDP59" s="74"/>
      <c r="FDQ59" s="74"/>
      <c r="FDR59" s="74"/>
      <c r="FDS59" s="74"/>
      <c r="FDT59" s="74"/>
      <c r="FDU59" s="74"/>
      <c r="FDV59" s="74"/>
      <c r="FDW59" s="74"/>
      <c r="FDX59" s="74"/>
      <c r="FDY59" s="74"/>
      <c r="FDZ59" s="74"/>
      <c r="FEA59" s="74"/>
      <c r="FEB59" s="74"/>
      <c r="FEC59" s="74"/>
      <c r="FED59" s="74"/>
      <c r="FEE59" s="74"/>
      <c r="FEF59" s="74"/>
      <c r="FEG59" s="74"/>
      <c r="FEH59" s="74"/>
      <c r="FEI59" s="74"/>
      <c r="FEJ59" s="74"/>
      <c r="FEK59" s="74"/>
      <c r="FEL59" s="74"/>
      <c r="FEM59" s="74"/>
      <c r="FEN59" s="74"/>
      <c r="FEO59" s="74"/>
      <c r="FEP59" s="74"/>
      <c r="FEQ59" s="74"/>
      <c r="FER59" s="74"/>
      <c r="FES59" s="74"/>
      <c r="FET59" s="74"/>
      <c r="FEU59" s="74"/>
      <c r="FEV59" s="74"/>
      <c r="FEW59" s="74"/>
      <c r="FEX59" s="74"/>
      <c r="FEY59" s="74"/>
      <c r="FEZ59" s="74"/>
      <c r="FFA59" s="74"/>
      <c r="FFB59" s="74"/>
      <c r="FFC59" s="74"/>
      <c r="FFD59" s="74"/>
      <c r="FFE59" s="74"/>
      <c r="FFF59" s="74"/>
      <c r="FFG59" s="74"/>
      <c r="FFH59" s="74"/>
      <c r="FFI59" s="74"/>
      <c r="FFJ59" s="74"/>
      <c r="FFK59" s="74"/>
      <c r="FFL59" s="74"/>
      <c r="FFM59" s="74"/>
      <c r="FFN59" s="74"/>
      <c r="FFO59" s="74"/>
      <c r="FFP59" s="74"/>
      <c r="FFQ59" s="74"/>
      <c r="FFR59" s="74"/>
      <c r="FFS59" s="74"/>
      <c r="FFT59" s="74"/>
      <c r="FFU59" s="74"/>
      <c r="FFV59" s="74"/>
      <c r="FFW59" s="74"/>
      <c r="FFX59" s="74"/>
      <c r="FFY59" s="74"/>
      <c r="FFZ59" s="74"/>
      <c r="FGA59" s="74"/>
      <c r="FGB59" s="74"/>
      <c r="FGC59" s="74"/>
      <c r="FGD59" s="74"/>
      <c r="FGE59" s="74"/>
      <c r="FGF59" s="74"/>
      <c r="FGG59" s="74"/>
      <c r="FGH59" s="74"/>
      <c r="FGI59" s="74"/>
      <c r="FGJ59" s="74"/>
      <c r="FGK59" s="74"/>
      <c r="FGL59" s="74"/>
      <c r="FGM59" s="74"/>
      <c r="FGN59" s="74"/>
      <c r="FGO59" s="74"/>
      <c r="FGP59" s="74"/>
      <c r="FGQ59" s="74"/>
      <c r="FGR59" s="74"/>
      <c r="FGS59" s="74"/>
      <c r="FGT59" s="74"/>
      <c r="FGU59" s="74"/>
      <c r="FGV59" s="74"/>
      <c r="FGW59" s="74"/>
      <c r="FGX59" s="74"/>
      <c r="FGY59" s="74"/>
      <c r="FGZ59" s="74"/>
      <c r="FHA59" s="74"/>
      <c r="FHB59" s="74"/>
      <c r="FHC59" s="74"/>
      <c r="FHD59" s="74"/>
      <c r="FHE59" s="74"/>
      <c r="FHF59" s="74"/>
      <c r="FHG59" s="74"/>
      <c r="FHH59" s="74"/>
      <c r="FHI59" s="74"/>
      <c r="FHJ59" s="74"/>
      <c r="FHK59" s="74"/>
      <c r="FHL59" s="74"/>
      <c r="FHM59" s="74"/>
      <c r="FHN59" s="74"/>
      <c r="FHO59" s="74"/>
      <c r="FHP59" s="74"/>
      <c r="FHQ59" s="74"/>
      <c r="FHR59" s="74"/>
      <c r="FHS59" s="74"/>
      <c r="FHT59" s="74"/>
      <c r="FHU59" s="74"/>
      <c r="FHV59" s="74"/>
      <c r="FHW59" s="74"/>
      <c r="FHX59" s="74"/>
      <c r="FHY59" s="74"/>
      <c r="FHZ59" s="74"/>
      <c r="FIA59" s="74"/>
      <c r="FIB59" s="74"/>
      <c r="FIC59" s="74"/>
      <c r="FID59" s="74"/>
      <c r="FIE59" s="74"/>
      <c r="FIF59" s="74"/>
      <c r="FIG59" s="74"/>
      <c r="FIH59" s="74"/>
      <c r="FII59" s="74"/>
      <c r="FIJ59" s="74"/>
      <c r="FIK59" s="74"/>
      <c r="FIL59" s="74"/>
      <c r="FIM59" s="74"/>
      <c r="FIN59" s="74"/>
      <c r="FIO59" s="74"/>
      <c r="FIP59" s="74"/>
      <c r="FIQ59" s="74"/>
      <c r="FIR59" s="74"/>
      <c r="FIS59" s="74"/>
      <c r="FIT59" s="74"/>
      <c r="FIU59" s="74"/>
      <c r="FIV59" s="74"/>
      <c r="FIW59" s="74"/>
      <c r="FIX59" s="74"/>
      <c r="FIY59" s="74"/>
      <c r="FIZ59" s="74"/>
      <c r="FJA59" s="74"/>
      <c r="FJB59" s="74"/>
      <c r="FJC59" s="74"/>
      <c r="FJD59" s="74"/>
      <c r="FJE59" s="74"/>
      <c r="FJF59" s="74"/>
      <c r="FJG59" s="74"/>
      <c r="FJH59" s="74"/>
      <c r="FJI59" s="74"/>
      <c r="FJJ59" s="74"/>
      <c r="FJK59" s="74"/>
      <c r="FJL59" s="74"/>
      <c r="FJM59" s="74"/>
      <c r="FJN59" s="74"/>
      <c r="FJO59" s="74"/>
      <c r="FJP59" s="74"/>
      <c r="FJQ59" s="74"/>
      <c r="FJR59" s="74"/>
      <c r="FJS59" s="74"/>
      <c r="FJT59" s="74"/>
      <c r="FJU59" s="74"/>
      <c r="FJV59" s="74"/>
      <c r="FJW59" s="74"/>
      <c r="FJX59" s="74"/>
      <c r="FJY59" s="74"/>
      <c r="FJZ59" s="74"/>
      <c r="FKA59" s="74"/>
      <c r="FKB59" s="74"/>
      <c r="FKC59" s="74"/>
      <c r="FKD59" s="74"/>
      <c r="FKE59" s="74"/>
      <c r="FKF59" s="74"/>
      <c r="FKG59" s="74"/>
      <c r="FKH59" s="74"/>
      <c r="FKI59" s="74"/>
      <c r="FKJ59" s="74"/>
      <c r="FKK59" s="74"/>
      <c r="FKL59" s="74"/>
      <c r="FKM59" s="74"/>
      <c r="FKN59" s="74"/>
      <c r="FKO59" s="74"/>
      <c r="FKP59" s="74"/>
      <c r="FKQ59" s="74"/>
      <c r="FKR59" s="74"/>
      <c r="FKS59" s="74"/>
      <c r="FKT59" s="74"/>
      <c r="FKU59" s="74"/>
      <c r="FKV59" s="74"/>
      <c r="FKW59" s="74"/>
      <c r="FKX59" s="74"/>
      <c r="FKY59" s="74"/>
      <c r="FKZ59" s="74"/>
      <c r="FLA59" s="74"/>
      <c r="FLB59" s="74"/>
      <c r="FLC59" s="74"/>
      <c r="FLD59" s="74"/>
      <c r="FLE59" s="74"/>
      <c r="FLF59" s="74"/>
      <c r="FLG59" s="74"/>
      <c r="FLH59" s="74"/>
      <c r="FLI59" s="74"/>
      <c r="FLJ59" s="74"/>
      <c r="FLK59" s="74"/>
      <c r="FLL59" s="74"/>
      <c r="FLM59" s="74"/>
      <c r="FLN59" s="74"/>
      <c r="FLO59" s="74"/>
      <c r="FLP59" s="74"/>
      <c r="FLQ59" s="74"/>
      <c r="FLR59" s="74"/>
      <c r="FLS59" s="74"/>
      <c r="FLT59" s="74"/>
      <c r="FLU59" s="74"/>
      <c r="FLV59" s="74"/>
      <c r="FLW59" s="74"/>
      <c r="FLX59" s="74"/>
      <c r="FLY59" s="74"/>
      <c r="FLZ59" s="74"/>
      <c r="FMA59" s="74"/>
      <c r="FMB59" s="74"/>
      <c r="FMC59" s="74"/>
      <c r="FMD59" s="74"/>
      <c r="FME59" s="74"/>
      <c r="FMF59" s="74"/>
      <c r="FMG59" s="74"/>
      <c r="FMH59" s="74"/>
      <c r="FMI59" s="74"/>
      <c r="FMJ59" s="74"/>
      <c r="FMK59" s="74"/>
      <c r="FML59" s="74"/>
      <c r="FMM59" s="74"/>
      <c r="FMN59" s="74"/>
      <c r="FMO59" s="74"/>
      <c r="FMP59" s="74"/>
      <c r="FMQ59" s="74"/>
      <c r="FMR59" s="74"/>
      <c r="FMS59" s="74"/>
      <c r="FMT59" s="74"/>
      <c r="FMU59" s="74"/>
      <c r="FMV59" s="74"/>
      <c r="FMW59" s="74"/>
      <c r="FMX59" s="74"/>
      <c r="FMY59" s="74"/>
      <c r="FMZ59" s="74"/>
      <c r="FNA59" s="74"/>
      <c r="FNB59" s="74"/>
      <c r="FNC59" s="74"/>
      <c r="FND59" s="74"/>
      <c r="FNE59" s="74"/>
      <c r="FNF59" s="74"/>
      <c r="FNG59" s="74"/>
      <c r="FNH59" s="74"/>
      <c r="FNI59" s="74"/>
      <c r="FNJ59" s="74"/>
      <c r="FNK59" s="74"/>
      <c r="FNL59" s="74"/>
      <c r="FNM59" s="74"/>
      <c r="FNN59" s="74"/>
      <c r="FNO59" s="74"/>
      <c r="FNP59" s="74"/>
      <c r="FNQ59" s="74"/>
      <c r="FNR59" s="74"/>
      <c r="FNS59" s="74"/>
      <c r="FNT59" s="74"/>
      <c r="FNU59" s="74"/>
      <c r="FNV59" s="74"/>
      <c r="FNW59" s="74"/>
      <c r="FNX59" s="74"/>
      <c r="FNY59" s="74"/>
      <c r="FNZ59" s="74"/>
      <c r="FOA59" s="74"/>
      <c r="FOB59" s="74"/>
      <c r="FOC59" s="74"/>
      <c r="FOD59" s="74"/>
      <c r="FOE59" s="74"/>
      <c r="FOF59" s="74"/>
      <c r="FOG59" s="74"/>
      <c r="FOH59" s="74"/>
      <c r="FOI59" s="74"/>
      <c r="FOJ59" s="74"/>
      <c r="FOK59" s="74"/>
      <c r="FOL59" s="74"/>
      <c r="FOM59" s="74"/>
      <c r="FON59" s="74"/>
      <c r="FOO59" s="74"/>
      <c r="FOP59" s="74"/>
      <c r="FOQ59" s="74"/>
      <c r="FOR59" s="74"/>
      <c r="FOS59" s="74"/>
      <c r="FOT59" s="74"/>
      <c r="FOU59" s="74"/>
      <c r="FOV59" s="74"/>
      <c r="FOW59" s="74"/>
      <c r="FOX59" s="74"/>
      <c r="FOY59" s="74"/>
      <c r="FOZ59" s="74"/>
      <c r="FPA59" s="74"/>
      <c r="FPB59" s="74"/>
      <c r="FPC59" s="74"/>
      <c r="FPD59" s="74"/>
      <c r="FPE59" s="74"/>
      <c r="FPF59" s="74"/>
      <c r="FPG59" s="74"/>
      <c r="FPH59" s="74"/>
      <c r="FPI59" s="74"/>
      <c r="FPJ59" s="74"/>
      <c r="FPK59" s="74"/>
      <c r="FPL59" s="74"/>
      <c r="FPM59" s="74"/>
      <c r="FPN59" s="74"/>
      <c r="FPO59" s="74"/>
      <c r="FPP59" s="74"/>
      <c r="FPQ59" s="74"/>
      <c r="FPR59" s="74"/>
      <c r="FPS59" s="74"/>
      <c r="FPT59" s="74"/>
      <c r="FPU59" s="74"/>
      <c r="FPV59" s="74"/>
      <c r="FPW59" s="74"/>
      <c r="FPX59" s="74"/>
      <c r="FPY59" s="74"/>
      <c r="FPZ59" s="74"/>
      <c r="FQA59" s="74"/>
      <c r="FQB59" s="74"/>
      <c r="FQC59" s="74"/>
      <c r="FQD59" s="74"/>
      <c r="FQE59" s="74"/>
      <c r="FQF59" s="74"/>
      <c r="FQG59" s="74"/>
      <c r="FQH59" s="74"/>
      <c r="FQI59" s="74"/>
      <c r="FQJ59" s="74"/>
      <c r="FQK59" s="74"/>
      <c r="FQL59" s="74"/>
      <c r="FQM59" s="74"/>
      <c r="FQN59" s="74"/>
      <c r="FQO59" s="74"/>
      <c r="FQP59" s="74"/>
      <c r="FQQ59" s="74"/>
      <c r="FQR59" s="74"/>
      <c r="FQS59" s="74"/>
      <c r="FQT59" s="74"/>
      <c r="FQU59" s="74"/>
      <c r="FQV59" s="74"/>
      <c r="FQW59" s="74"/>
      <c r="FQX59" s="74"/>
      <c r="FQY59" s="74"/>
      <c r="FQZ59" s="74"/>
      <c r="FRA59" s="74"/>
      <c r="FRB59" s="74"/>
      <c r="FRC59" s="74"/>
      <c r="FRD59" s="74"/>
      <c r="FRE59" s="74"/>
      <c r="FRF59" s="74"/>
      <c r="FRG59" s="74"/>
      <c r="FRH59" s="74"/>
      <c r="FRI59" s="74"/>
      <c r="FRJ59" s="74"/>
      <c r="FRK59" s="74"/>
      <c r="FRL59" s="74"/>
      <c r="FRM59" s="74"/>
      <c r="FRN59" s="74"/>
      <c r="FRO59" s="74"/>
      <c r="FRP59" s="74"/>
      <c r="FRQ59" s="74"/>
      <c r="FRR59" s="74"/>
      <c r="FRS59" s="74"/>
      <c r="FRT59" s="74"/>
      <c r="FRU59" s="74"/>
      <c r="FRV59" s="74"/>
      <c r="FRW59" s="74"/>
      <c r="FRX59" s="74"/>
      <c r="FRY59" s="74"/>
      <c r="FRZ59" s="74"/>
      <c r="FSA59" s="74"/>
      <c r="FSB59" s="74"/>
      <c r="FSC59" s="74"/>
      <c r="FSD59" s="74"/>
      <c r="FSE59" s="74"/>
      <c r="FSF59" s="74"/>
      <c r="FSG59" s="74"/>
      <c r="FSH59" s="74"/>
      <c r="FSI59" s="74"/>
      <c r="FSJ59" s="74"/>
      <c r="FSK59" s="74"/>
      <c r="FSL59" s="74"/>
      <c r="FSM59" s="74"/>
      <c r="FSN59" s="74"/>
      <c r="FSO59" s="74"/>
      <c r="FSP59" s="74"/>
      <c r="FSQ59" s="74"/>
      <c r="FSR59" s="74"/>
      <c r="FSS59" s="74"/>
      <c r="FST59" s="74"/>
      <c r="FSU59" s="74"/>
      <c r="FSV59" s="74"/>
      <c r="FSW59" s="74"/>
      <c r="FSX59" s="74"/>
      <c r="FSY59" s="74"/>
      <c r="FSZ59" s="74"/>
      <c r="FTA59" s="74"/>
      <c r="FTB59" s="74"/>
      <c r="FTC59" s="74"/>
      <c r="FTD59" s="74"/>
      <c r="FTE59" s="74"/>
      <c r="FTF59" s="74"/>
      <c r="FTG59" s="74"/>
      <c r="FTH59" s="74"/>
      <c r="FTI59" s="74"/>
      <c r="FTJ59" s="74"/>
      <c r="FTK59" s="74"/>
      <c r="FTL59" s="74"/>
      <c r="FTM59" s="74"/>
      <c r="FTN59" s="74"/>
      <c r="FTO59" s="74"/>
      <c r="FTP59" s="74"/>
      <c r="FTQ59" s="74"/>
      <c r="FTR59" s="74"/>
      <c r="FTS59" s="74"/>
      <c r="FTT59" s="74"/>
      <c r="FTU59" s="74"/>
      <c r="FTV59" s="74"/>
      <c r="FTW59" s="74"/>
      <c r="FTX59" s="74"/>
      <c r="FTY59" s="74"/>
      <c r="FTZ59" s="74"/>
      <c r="FUA59" s="74"/>
      <c r="FUB59" s="74"/>
      <c r="FUC59" s="74"/>
      <c r="FUD59" s="74"/>
      <c r="FUE59" s="74"/>
      <c r="FUF59" s="74"/>
      <c r="FUG59" s="74"/>
      <c r="FUH59" s="74"/>
      <c r="FUI59" s="74"/>
      <c r="FUJ59" s="74"/>
      <c r="FUK59" s="74"/>
      <c r="FUL59" s="74"/>
      <c r="FUM59" s="74"/>
      <c r="FUN59" s="74"/>
      <c r="FUO59" s="74"/>
      <c r="FUP59" s="74"/>
      <c r="FUQ59" s="74"/>
      <c r="FUR59" s="74"/>
      <c r="FUS59" s="74"/>
      <c r="FUT59" s="74"/>
      <c r="FUU59" s="74"/>
      <c r="FUV59" s="74"/>
      <c r="FUW59" s="74"/>
      <c r="FUX59" s="74"/>
      <c r="FUY59" s="74"/>
      <c r="FUZ59" s="74"/>
      <c r="FVA59" s="74"/>
      <c r="FVB59" s="74"/>
      <c r="FVC59" s="74"/>
      <c r="FVD59" s="74"/>
      <c r="FVE59" s="74"/>
      <c r="FVF59" s="74"/>
      <c r="FVG59" s="74"/>
      <c r="FVH59" s="74"/>
      <c r="FVI59" s="74"/>
      <c r="FVJ59" s="74"/>
      <c r="FVK59" s="74"/>
      <c r="FVL59" s="74"/>
      <c r="FVM59" s="74"/>
      <c r="FVN59" s="74"/>
      <c r="FVO59" s="74"/>
      <c r="FVP59" s="74"/>
      <c r="FVQ59" s="74"/>
      <c r="FVR59" s="74"/>
      <c r="FVS59" s="74"/>
      <c r="FVT59" s="74"/>
      <c r="FVU59" s="74"/>
      <c r="FVV59" s="74"/>
      <c r="FVW59" s="74"/>
      <c r="FVX59" s="74"/>
      <c r="FVY59" s="74"/>
      <c r="FVZ59" s="74"/>
      <c r="FWA59" s="74"/>
      <c r="FWB59" s="74"/>
      <c r="FWC59" s="74"/>
      <c r="FWD59" s="74"/>
      <c r="FWE59" s="74"/>
      <c r="FWF59" s="74"/>
      <c r="FWG59" s="74"/>
      <c r="FWH59" s="74"/>
      <c r="FWI59" s="74"/>
      <c r="FWJ59" s="74"/>
      <c r="FWK59" s="74"/>
      <c r="FWL59" s="74"/>
      <c r="FWM59" s="74"/>
      <c r="FWN59" s="74"/>
      <c r="FWO59" s="74"/>
      <c r="FWP59" s="74"/>
      <c r="FWQ59" s="74"/>
      <c r="FWR59" s="74"/>
      <c r="FWS59" s="74"/>
      <c r="FWT59" s="74"/>
      <c r="FWU59" s="74"/>
      <c r="FWV59" s="74"/>
      <c r="FWW59" s="74"/>
      <c r="FWX59" s="74"/>
      <c r="FWY59" s="74"/>
      <c r="FWZ59" s="74"/>
      <c r="FXA59" s="74"/>
      <c r="FXB59" s="74"/>
      <c r="FXC59" s="74"/>
      <c r="FXD59" s="74"/>
      <c r="FXE59" s="74"/>
      <c r="FXF59" s="74"/>
      <c r="FXG59" s="74"/>
      <c r="FXH59" s="74"/>
      <c r="FXI59" s="74"/>
      <c r="FXJ59" s="74"/>
      <c r="FXK59" s="74"/>
      <c r="FXL59" s="74"/>
      <c r="FXM59" s="74"/>
      <c r="FXN59" s="74"/>
      <c r="FXO59" s="74"/>
      <c r="FXP59" s="74"/>
      <c r="FXQ59" s="74"/>
      <c r="FXR59" s="74"/>
      <c r="FXS59" s="74"/>
      <c r="FXT59" s="74"/>
      <c r="FXU59" s="74"/>
      <c r="FXV59" s="74"/>
      <c r="FXW59" s="74"/>
      <c r="FXX59" s="74"/>
      <c r="FXY59" s="74"/>
      <c r="FXZ59" s="74"/>
      <c r="FYA59" s="74"/>
      <c r="FYB59" s="74"/>
      <c r="FYC59" s="74"/>
      <c r="FYD59" s="74"/>
      <c r="FYE59" s="74"/>
      <c r="FYF59" s="74"/>
      <c r="FYG59" s="74"/>
      <c r="FYH59" s="74"/>
      <c r="FYI59" s="74"/>
      <c r="FYJ59" s="74"/>
      <c r="FYK59" s="74"/>
      <c r="FYL59" s="74"/>
      <c r="FYM59" s="74"/>
      <c r="FYN59" s="74"/>
      <c r="FYO59" s="74"/>
      <c r="FYP59" s="74"/>
      <c r="FYQ59" s="74"/>
      <c r="FYR59" s="74"/>
      <c r="FYS59" s="74"/>
      <c r="FYT59" s="74"/>
      <c r="FYU59" s="74"/>
      <c r="FYV59" s="74"/>
      <c r="FYW59" s="74"/>
      <c r="FYX59" s="74"/>
      <c r="FYY59" s="74"/>
      <c r="FYZ59" s="74"/>
      <c r="FZA59" s="74"/>
      <c r="FZB59" s="74"/>
      <c r="FZC59" s="74"/>
      <c r="FZD59" s="74"/>
      <c r="FZE59" s="74"/>
      <c r="FZF59" s="74"/>
      <c r="FZG59" s="74"/>
      <c r="FZH59" s="74"/>
      <c r="FZI59" s="74"/>
      <c r="FZJ59" s="74"/>
      <c r="FZK59" s="74"/>
      <c r="FZL59" s="74"/>
      <c r="FZM59" s="74"/>
      <c r="FZN59" s="74"/>
      <c r="FZO59" s="74"/>
      <c r="FZP59" s="74"/>
      <c r="FZQ59" s="74"/>
      <c r="FZR59" s="74"/>
      <c r="FZS59" s="74"/>
      <c r="FZT59" s="74"/>
      <c r="FZU59" s="74"/>
      <c r="FZV59" s="74"/>
      <c r="FZW59" s="74"/>
      <c r="FZX59" s="74"/>
      <c r="FZY59" s="74"/>
      <c r="FZZ59" s="74"/>
      <c r="GAA59" s="74"/>
      <c r="GAB59" s="74"/>
      <c r="GAC59" s="74"/>
      <c r="GAD59" s="74"/>
      <c r="GAE59" s="74"/>
      <c r="GAF59" s="74"/>
      <c r="GAG59" s="74"/>
      <c r="GAH59" s="74"/>
      <c r="GAI59" s="74"/>
      <c r="GAJ59" s="74"/>
      <c r="GAK59" s="74"/>
      <c r="GAL59" s="74"/>
      <c r="GAM59" s="74"/>
      <c r="GAN59" s="74"/>
      <c r="GAO59" s="74"/>
      <c r="GAP59" s="74"/>
      <c r="GAQ59" s="74"/>
      <c r="GAR59" s="74"/>
      <c r="GAS59" s="74"/>
      <c r="GAT59" s="74"/>
      <c r="GAU59" s="74"/>
      <c r="GAV59" s="74"/>
      <c r="GAW59" s="74"/>
      <c r="GAX59" s="74"/>
      <c r="GAY59" s="74"/>
      <c r="GAZ59" s="74"/>
      <c r="GBA59" s="74"/>
      <c r="GBB59" s="74"/>
      <c r="GBC59" s="74"/>
      <c r="GBD59" s="74"/>
      <c r="GBE59" s="74"/>
      <c r="GBF59" s="74"/>
      <c r="GBG59" s="74"/>
      <c r="GBH59" s="74"/>
      <c r="GBI59" s="74"/>
      <c r="GBJ59" s="74"/>
      <c r="GBK59" s="74"/>
      <c r="GBL59" s="74"/>
      <c r="GBM59" s="74"/>
      <c r="GBN59" s="74"/>
      <c r="GBO59" s="74"/>
      <c r="GBP59" s="74"/>
      <c r="GBQ59" s="74"/>
      <c r="GBR59" s="74"/>
      <c r="GBS59" s="74"/>
      <c r="GBT59" s="74"/>
      <c r="GBU59" s="74"/>
      <c r="GBV59" s="74"/>
      <c r="GBW59" s="74"/>
      <c r="GBX59" s="74"/>
      <c r="GBY59" s="74"/>
      <c r="GBZ59" s="74"/>
      <c r="GCA59" s="74"/>
      <c r="GCB59" s="74"/>
      <c r="GCC59" s="74"/>
      <c r="GCD59" s="74"/>
      <c r="GCE59" s="74"/>
      <c r="GCF59" s="74"/>
      <c r="GCG59" s="74"/>
      <c r="GCH59" s="74"/>
      <c r="GCI59" s="74"/>
      <c r="GCJ59" s="74"/>
      <c r="GCK59" s="74"/>
      <c r="GCL59" s="74"/>
      <c r="GCM59" s="74"/>
      <c r="GCN59" s="74"/>
      <c r="GCO59" s="74"/>
      <c r="GCP59" s="74"/>
      <c r="GCQ59" s="74"/>
      <c r="GCR59" s="74"/>
      <c r="GCS59" s="74"/>
      <c r="GCT59" s="74"/>
      <c r="GCU59" s="74"/>
      <c r="GCV59" s="74"/>
      <c r="GCW59" s="74"/>
      <c r="GCX59" s="74"/>
      <c r="GCY59" s="74"/>
      <c r="GCZ59" s="74"/>
      <c r="GDA59" s="74"/>
      <c r="GDB59" s="74"/>
      <c r="GDC59" s="74"/>
      <c r="GDD59" s="74"/>
      <c r="GDE59" s="74"/>
      <c r="GDF59" s="74"/>
      <c r="GDG59" s="74"/>
      <c r="GDH59" s="74"/>
      <c r="GDI59" s="74"/>
      <c r="GDJ59" s="74"/>
      <c r="GDK59" s="74"/>
      <c r="GDL59" s="74"/>
      <c r="GDM59" s="74"/>
      <c r="GDN59" s="74"/>
      <c r="GDO59" s="74"/>
      <c r="GDP59" s="74"/>
      <c r="GDQ59" s="74"/>
      <c r="GDR59" s="74"/>
      <c r="GDS59" s="74"/>
      <c r="GDT59" s="74"/>
      <c r="GDU59" s="74"/>
      <c r="GDV59" s="74"/>
      <c r="GDW59" s="74"/>
      <c r="GDX59" s="74"/>
      <c r="GDY59" s="74"/>
      <c r="GDZ59" s="74"/>
      <c r="GEA59" s="74"/>
      <c r="GEB59" s="74"/>
      <c r="GEC59" s="74"/>
      <c r="GED59" s="74"/>
      <c r="GEE59" s="74"/>
      <c r="GEF59" s="74"/>
      <c r="GEG59" s="74"/>
      <c r="GEH59" s="74"/>
      <c r="GEI59" s="74"/>
      <c r="GEJ59" s="74"/>
      <c r="GEK59" s="74"/>
      <c r="GEL59" s="74"/>
      <c r="GEM59" s="74"/>
      <c r="GEN59" s="74"/>
      <c r="GEO59" s="74"/>
      <c r="GEP59" s="74"/>
      <c r="GEQ59" s="74"/>
      <c r="GER59" s="74"/>
      <c r="GES59" s="74"/>
      <c r="GET59" s="74"/>
      <c r="GEU59" s="74"/>
      <c r="GEV59" s="74"/>
      <c r="GEW59" s="74"/>
      <c r="GEX59" s="74"/>
      <c r="GEY59" s="74"/>
      <c r="GEZ59" s="74"/>
      <c r="GFA59" s="74"/>
      <c r="GFB59" s="74"/>
      <c r="GFC59" s="74"/>
      <c r="GFD59" s="74"/>
      <c r="GFE59" s="74"/>
      <c r="GFF59" s="74"/>
      <c r="GFG59" s="74"/>
      <c r="GFH59" s="74"/>
      <c r="GFI59" s="74"/>
      <c r="GFJ59" s="74"/>
      <c r="GFK59" s="74"/>
      <c r="GFL59" s="74"/>
      <c r="GFM59" s="74"/>
      <c r="GFN59" s="74"/>
      <c r="GFO59" s="74"/>
      <c r="GFP59" s="74"/>
      <c r="GFQ59" s="74"/>
      <c r="GFR59" s="74"/>
      <c r="GFS59" s="74"/>
      <c r="GFT59" s="74"/>
      <c r="GFU59" s="74"/>
      <c r="GFV59" s="74"/>
      <c r="GFW59" s="74"/>
      <c r="GFX59" s="74"/>
      <c r="GFY59" s="74"/>
      <c r="GFZ59" s="74"/>
      <c r="GGA59" s="74"/>
      <c r="GGB59" s="74"/>
      <c r="GGC59" s="74"/>
      <c r="GGD59" s="74"/>
      <c r="GGE59" s="74"/>
      <c r="GGF59" s="74"/>
      <c r="GGG59" s="74"/>
      <c r="GGH59" s="74"/>
      <c r="GGI59" s="74"/>
      <c r="GGJ59" s="74"/>
      <c r="GGK59" s="74"/>
      <c r="GGL59" s="74"/>
      <c r="GGM59" s="74"/>
      <c r="GGN59" s="74"/>
      <c r="GGO59" s="74"/>
      <c r="GGP59" s="74"/>
      <c r="GGQ59" s="74"/>
      <c r="GGR59" s="74"/>
      <c r="GGS59" s="74"/>
      <c r="GGT59" s="74"/>
      <c r="GGU59" s="74"/>
      <c r="GGV59" s="74"/>
      <c r="GGW59" s="74"/>
      <c r="GGX59" s="74"/>
      <c r="GGY59" s="74"/>
      <c r="GGZ59" s="74"/>
      <c r="GHA59" s="74"/>
      <c r="GHB59" s="74"/>
      <c r="GHC59" s="74"/>
      <c r="GHD59" s="74"/>
      <c r="GHE59" s="74"/>
      <c r="GHF59" s="74"/>
      <c r="GHG59" s="74"/>
      <c r="GHH59" s="74"/>
      <c r="GHI59" s="74"/>
      <c r="GHJ59" s="74"/>
      <c r="GHK59" s="74"/>
      <c r="GHL59" s="74"/>
      <c r="GHM59" s="74"/>
      <c r="GHN59" s="74"/>
      <c r="GHO59" s="74"/>
      <c r="GHP59" s="74"/>
      <c r="GHQ59" s="74"/>
      <c r="GHR59" s="74"/>
      <c r="GHS59" s="74"/>
      <c r="GHT59" s="74"/>
      <c r="GHU59" s="74"/>
      <c r="GHV59" s="74"/>
      <c r="GHW59" s="74"/>
      <c r="GHX59" s="74"/>
      <c r="GHY59" s="74"/>
      <c r="GHZ59" s="74"/>
      <c r="GIA59" s="74"/>
      <c r="GIB59" s="74"/>
      <c r="GIC59" s="74"/>
      <c r="GID59" s="74"/>
      <c r="GIE59" s="74"/>
      <c r="GIF59" s="74"/>
      <c r="GIG59" s="74"/>
      <c r="GIH59" s="74"/>
      <c r="GII59" s="74"/>
      <c r="GIJ59" s="74"/>
      <c r="GIK59" s="74"/>
      <c r="GIL59" s="74"/>
      <c r="GIM59" s="74"/>
      <c r="GIN59" s="74"/>
      <c r="GIO59" s="74"/>
      <c r="GIP59" s="74"/>
      <c r="GIQ59" s="74"/>
      <c r="GIR59" s="74"/>
      <c r="GIS59" s="74"/>
      <c r="GIT59" s="74"/>
      <c r="GIU59" s="74"/>
      <c r="GIV59" s="74"/>
      <c r="GIW59" s="74"/>
      <c r="GIX59" s="74"/>
      <c r="GIY59" s="74"/>
      <c r="GIZ59" s="74"/>
      <c r="GJA59" s="74"/>
      <c r="GJB59" s="74"/>
      <c r="GJC59" s="74"/>
      <c r="GJD59" s="74"/>
      <c r="GJE59" s="74"/>
      <c r="GJF59" s="74"/>
      <c r="GJG59" s="74"/>
      <c r="GJH59" s="74"/>
      <c r="GJI59" s="74"/>
      <c r="GJJ59" s="74"/>
      <c r="GJK59" s="74"/>
      <c r="GJL59" s="74"/>
      <c r="GJM59" s="74"/>
      <c r="GJN59" s="74"/>
      <c r="GJO59" s="74"/>
      <c r="GJP59" s="74"/>
      <c r="GJQ59" s="74"/>
      <c r="GJR59" s="74"/>
      <c r="GJS59" s="74"/>
      <c r="GJT59" s="74"/>
      <c r="GJU59" s="74"/>
      <c r="GJV59" s="74"/>
      <c r="GJW59" s="74"/>
      <c r="GJX59" s="74"/>
      <c r="GJY59" s="74"/>
      <c r="GJZ59" s="74"/>
      <c r="GKA59" s="74"/>
      <c r="GKB59" s="74"/>
      <c r="GKC59" s="74"/>
      <c r="GKD59" s="74"/>
      <c r="GKE59" s="74"/>
      <c r="GKF59" s="74"/>
      <c r="GKG59" s="74"/>
      <c r="GKH59" s="74"/>
      <c r="GKI59" s="74"/>
      <c r="GKJ59" s="74"/>
      <c r="GKK59" s="74"/>
      <c r="GKL59" s="74"/>
      <c r="GKM59" s="74"/>
      <c r="GKN59" s="74"/>
      <c r="GKO59" s="74"/>
      <c r="GKP59" s="74"/>
      <c r="GKQ59" s="74"/>
      <c r="GKR59" s="74"/>
      <c r="GKS59" s="74"/>
      <c r="GKT59" s="74"/>
      <c r="GKU59" s="74"/>
      <c r="GKV59" s="74"/>
      <c r="GKW59" s="74"/>
      <c r="GKX59" s="74"/>
      <c r="GKY59" s="74"/>
      <c r="GKZ59" s="74"/>
      <c r="GLA59" s="74"/>
      <c r="GLB59" s="74"/>
      <c r="GLC59" s="74"/>
      <c r="GLD59" s="74"/>
      <c r="GLE59" s="74"/>
      <c r="GLF59" s="74"/>
      <c r="GLG59" s="74"/>
      <c r="GLH59" s="74"/>
      <c r="GLI59" s="74"/>
      <c r="GLJ59" s="74"/>
      <c r="GLK59" s="74"/>
      <c r="GLL59" s="74"/>
      <c r="GLM59" s="74"/>
      <c r="GLN59" s="74"/>
      <c r="GLO59" s="74"/>
      <c r="GLP59" s="74"/>
      <c r="GLQ59" s="74"/>
      <c r="GLR59" s="74"/>
      <c r="GLS59" s="74"/>
      <c r="GLT59" s="74"/>
      <c r="GLU59" s="74"/>
      <c r="GLV59" s="74"/>
      <c r="GLW59" s="74"/>
      <c r="GLX59" s="74"/>
      <c r="GLY59" s="74"/>
      <c r="GLZ59" s="74"/>
      <c r="GMA59" s="74"/>
      <c r="GMB59" s="74"/>
      <c r="GMC59" s="74"/>
      <c r="GMD59" s="74"/>
      <c r="GME59" s="74"/>
      <c r="GMF59" s="74"/>
      <c r="GMG59" s="74"/>
      <c r="GMH59" s="74"/>
      <c r="GMI59" s="74"/>
      <c r="GMJ59" s="74"/>
      <c r="GMK59" s="74"/>
      <c r="GML59" s="74"/>
      <c r="GMM59" s="74"/>
      <c r="GMN59" s="74"/>
      <c r="GMO59" s="74"/>
      <c r="GMP59" s="74"/>
      <c r="GMQ59" s="74"/>
      <c r="GMR59" s="74"/>
      <c r="GMS59" s="74"/>
      <c r="GMT59" s="74"/>
      <c r="GMU59" s="74"/>
      <c r="GMV59" s="74"/>
      <c r="GMW59" s="74"/>
      <c r="GMX59" s="74"/>
      <c r="GMY59" s="74"/>
      <c r="GMZ59" s="74"/>
      <c r="GNA59" s="74"/>
      <c r="GNB59" s="74"/>
      <c r="GNC59" s="74"/>
      <c r="GND59" s="74"/>
      <c r="GNE59" s="74"/>
      <c r="GNF59" s="74"/>
      <c r="GNG59" s="74"/>
      <c r="GNH59" s="74"/>
      <c r="GNI59" s="74"/>
      <c r="GNJ59" s="74"/>
      <c r="GNK59" s="74"/>
      <c r="GNL59" s="74"/>
      <c r="GNM59" s="74"/>
      <c r="GNN59" s="74"/>
      <c r="GNO59" s="74"/>
      <c r="GNP59" s="74"/>
      <c r="GNQ59" s="74"/>
      <c r="GNR59" s="74"/>
      <c r="GNS59" s="74"/>
      <c r="GNT59" s="74"/>
      <c r="GNU59" s="74"/>
      <c r="GNV59" s="74"/>
      <c r="GNW59" s="74"/>
      <c r="GNX59" s="74"/>
      <c r="GNY59" s="74"/>
      <c r="GNZ59" s="74"/>
      <c r="GOA59" s="74"/>
      <c r="GOB59" s="74"/>
      <c r="GOC59" s="74"/>
      <c r="GOD59" s="74"/>
      <c r="GOE59" s="74"/>
      <c r="GOF59" s="74"/>
      <c r="GOG59" s="74"/>
      <c r="GOH59" s="74"/>
      <c r="GOI59" s="74"/>
      <c r="GOJ59" s="74"/>
      <c r="GOK59" s="74"/>
      <c r="GOL59" s="74"/>
      <c r="GOM59" s="74"/>
      <c r="GON59" s="74"/>
      <c r="GOO59" s="74"/>
      <c r="GOP59" s="74"/>
      <c r="GOQ59" s="74"/>
      <c r="GOR59" s="74"/>
      <c r="GOS59" s="74"/>
      <c r="GOT59" s="74"/>
      <c r="GOU59" s="74"/>
      <c r="GOV59" s="74"/>
      <c r="GOW59" s="74"/>
      <c r="GOX59" s="74"/>
      <c r="GOY59" s="74"/>
      <c r="GOZ59" s="74"/>
      <c r="GPA59" s="74"/>
      <c r="GPB59" s="74"/>
      <c r="GPC59" s="74"/>
      <c r="GPD59" s="74"/>
      <c r="GPE59" s="74"/>
      <c r="GPF59" s="74"/>
      <c r="GPG59" s="74"/>
      <c r="GPH59" s="74"/>
      <c r="GPI59" s="74"/>
      <c r="GPJ59" s="74"/>
      <c r="GPK59" s="74"/>
      <c r="GPL59" s="74"/>
      <c r="GPM59" s="74"/>
      <c r="GPN59" s="74"/>
      <c r="GPO59" s="74"/>
      <c r="GPP59" s="74"/>
      <c r="GPQ59" s="74"/>
      <c r="GPR59" s="74"/>
      <c r="GPS59" s="74"/>
      <c r="GPT59" s="74"/>
      <c r="GPU59" s="74"/>
      <c r="GPV59" s="74"/>
      <c r="GPW59" s="74"/>
      <c r="GPX59" s="74"/>
      <c r="GPY59" s="74"/>
      <c r="GPZ59" s="74"/>
      <c r="GQA59" s="74"/>
      <c r="GQB59" s="74"/>
      <c r="GQC59" s="74"/>
      <c r="GQD59" s="74"/>
      <c r="GQE59" s="74"/>
      <c r="GQF59" s="74"/>
      <c r="GQG59" s="74"/>
      <c r="GQH59" s="74"/>
      <c r="GQI59" s="74"/>
      <c r="GQJ59" s="74"/>
      <c r="GQK59" s="74"/>
      <c r="GQL59" s="74"/>
      <c r="GQM59" s="74"/>
      <c r="GQN59" s="74"/>
      <c r="GQO59" s="74"/>
      <c r="GQP59" s="74"/>
      <c r="GQQ59" s="74"/>
      <c r="GQR59" s="74"/>
      <c r="GQS59" s="74"/>
      <c r="GQT59" s="74"/>
      <c r="GQU59" s="74"/>
      <c r="GQV59" s="74"/>
      <c r="GQW59" s="74"/>
      <c r="GQX59" s="74"/>
      <c r="GQY59" s="74"/>
      <c r="GQZ59" s="74"/>
      <c r="GRA59" s="74"/>
      <c r="GRB59" s="74"/>
      <c r="GRC59" s="74"/>
      <c r="GRD59" s="74"/>
      <c r="GRE59" s="74"/>
      <c r="GRF59" s="74"/>
      <c r="GRG59" s="74"/>
      <c r="GRH59" s="74"/>
      <c r="GRI59" s="74"/>
      <c r="GRJ59" s="74"/>
      <c r="GRK59" s="74"/>
      <c r="GRL59" s="74"/>
      <c r="GRM59" s="74"/>
      <c r="GRN59" s="74"/>
      <c r="GRO59" s="74"/>
      <c r="GRP59" s="74"/>
      <c r="GRQ59" s="74"/>
      <c r="GRR59" s="74"/>
      <c r="GRS59" s="74"/>
      <c r="GRT59" s="74"/>
      <c r="GRU59" s="74"/>
      <c r="GRV59" s="74"/>
      <c r="GRW59" s="74"/>
      <c r="GRX59" s="74"/>
      <c r="GRY59" s="74"/>
      <c r="GRZ59" s="74"/>
      <c r="GSA59" s="74"/>
      <c r="GSB59" s="74"/>
      <c r="GSC59" s="74"/>
      <c r="GSD59" s="74"/>
      <c r="GSE59" s="74"/>
      <c r="GSF59" s="74"/>
      <c r="GSG59" s="74"/>
      <c r="GSH59" s="74"/>
      <c r="GSI59" s="74"/>
      <c r="GSJ59" s="74"/>
      <c r="GSK59" s="74"/>
      <c r="GSL59" s="74"/>
      <c r="GSM59" s="74"/>
      <c r="GSN59" s="74"/>
      <c r="GSO59" s="74"/>
      <c r="GSP59" s="74"/>
      <c r="GSQ59" s="74"/>
      <c r="GSR59" s="74"/>
      <c r="GSS59" s="74"/>
      <c r="GST59" s="74"/>
      <c r="GSU59" s="74"/>
      <c r="GSV59" s="74"/>
      <c r="GSW59" s="74"/>
      <c r="GSX59" s="74"/>
      <c r="GSY59" s="74"/>
      <c r="GSZ59" s="74"/>
      <c r="GTA59" s="74"/>
      <c r="GTB59" s="74"/>
      <c r="GTC59" s="74"/>
      <c r="GTD59" s="74"/>
      <c r="GTE59" s="74"/>
      <c r="GTF59" s="74"/>
      <c r="GTG59" s="74"/>
      <c r="GTH59" s="74"/>
      <c r="GTI59" s="74"/>
      <c r="GTJ59" s="74"/>
      <c r="GTK59" s="74"/>
      <c r="GTL59" s="74"/>
      <c r="GTM59" s="74"/>
      <c r="GTN59" s="74"/>
      <c r="GTO59" s="74"/>
      <c r="GTP59" s="74"/>
      <c r="GTQ59" s="74"/>
      <c r="GTR59" s="74"/>
      <c r="GTS59" s="74"/>
      <c r="GTT59" s="74"/>
      <c r="GTU59" s="74"/>
      <c r="GTV59" s="74"/>
      <c r="GTW59" s="74"/>
      <c r="GTX59" s="74"/>
      <c r="GTY59" s="74"/>
      <c r="GTZ59" s="74"/>
      <c r="GUA59" s="74"/>
      <c r="GUB59" s="74"/>
      <c r="GUC59" s="74"/>
      <c r="GUD59" s="74"/>
      <c r="GUE59" s="74"/>
      <c r="GUF59" s="74"/>
      <c r="GUG59" s="74"/>
      <c r="GUH59" s="74"/>
      <c r="GUI59" s="74"/>
      <c r="GUJ59" s="74"/>
      <c r="GUK59" s="74"/>
      <c r="GUL59" s="74"/>
      <c r="GUM59" s="74"/>
      <c r="GUN59" s="74"/>
      <c r="GUO59" s="74"/>
      <c r="GUP59" s="74"/>
      <c r="GUQ59" s="74"/>
      <c r="GUR59" s="74"/>
      <c r="GUS59" s="74"/>
      <c r="GUT59" s="74"/>
      <c r="GUU59" s="74"/>
      <c r="GUV59" s="74"/>
      <c r="GUW59" s="74"/>
      <c r="GUX59" s="74"/>
      <c r="GUY59" s="74"/>
      <c r="GUZ59" s="74"/>
      <c r="GVA59" s="74"/>
      <c r="GVB59" s="74"/>
      <c r="GVC59" s="74"/>
      <c r="GVD59" s="74"/>
      <c r="GVE59" s="74"/>
      <c r="GVF59" s="74"/>
      <c r="GVG59" s="74"/>
      <c r="GVH59" s="74"/>
      <c r="GVI59" s="74"/>
      <c r="GVJ59" s="74"/>
      <c r="GVK59" s="74"/>
      <c r="GVL59" s="74"/>
      <c r="GVM59" s="74"/>
      <c r="GVN59" s="74"/>
      <c r="GVO59" s="74"/>
      <c r="GVP59" s="74"/>
      <c r="GVQ59" s="74"/>
      <c r="GVR59" s="74"/>
      <c r="GVS59" s="74"/>
      <c r="GVT59" s="74"/>
      <c r="GVU59" s="74"/>
      <c r="GVV59" s="74"/>
      <c r="GVW59" s="74"/>
      <c r="GVX59" s="74"/>
      <c r="GVY59" s="74"/>
      <c r="GVZ59" s="74"/>
      <c r="GWA59" s="74"/>
      <c r="GWB59" s="74"/>
      <c r="GWC59" s="74"/>
      <c r="GWD59" s="74"/>
      <c r="GWE59" s="74"/>
      <c r="GWF59" s="74"/>
      <c r="GWG59" s="74"/>
      <c r="GWH59" s="74"/>
      <c r="GWI59" s="74"/>
      <c r="GWJ59" s="74"/>
      <c r="GWK59" s="74"/>
      <c r="GWL59" s="74"/>
      <c r="GWM59" s="74"/>
      <c r="GWN59" s="74"/>
      <c r="GWO59" s="74"/>
      <c r="GWP59" s="74"/>
      <c r="GWQ59" s="74"/>
      <c r="GWR59" s="74"/>
      <c r="GWS59" s="74"/>
      <c r="GWT59" s="74"/>
      <c r="GWU59" s="74"/>
      <c r="GWV59" s="74"/>
      <c r="GWW59" s="74"/>
      <c r="GWX59" s="74"/>
      <c r="GWY59" s="74"/>
      <c r="GWZ59" s="74"/>
      <c r="GXA59" s="74"/>
      <c r="GXB59" s="74"/>
      <c r="GXC59" s="74"/>
      <c r="GXD59" s="74"/>
      <c r="GXE59" s="74"/>
      <c r="GXF59" s="74"/>
      <c r="GXG59" s="74"/>
      <c r="GXH59" s="74"/>
      <c r="GXI59" s="74"/>
      <c r="GXJ59" s="74"/>
      <c r="GXK59" s="74"/>
      <c r="GXL59" s="74"/>
      <c r="GXM59" s="74"/>
      <c r="GXN59" s="74"/>
      <c r="GXO59" s="74"/>
      <c r="GXP59" s="74"/>
      <c r="GXQ59" s="74"/>
      <c r="GXR59" s="74"/>
      <c r="GXS59" s="74"/>
      <c r="GXT59" s="74"/>
      <c r="GXU59" s="74"/>
      <c r="GXV59" s="74"/>
      <c r="GXW59" s="74"/>
      <c r="GXX59" s="74"/>
      <c r="GXY59" s="74"/>
      <c r="GXZ59" s="74"/>
      <c r="GYA59" s="74"/>
      <c r="GYB59" s="74"/>
      <c r="GYC59" s="74"/>
      <c r="GYD59" s="74"/>
      <c r="GYE59" s="74"/>
      <c r="GYF59" s="74"/>
      <c r="GYG59" s="74"/>
      <c r="GYH59" s="74"/>
      <c r="GYI59" s="74"/>
      <c r="GYJ59" s="74"/>
      <c r="GYK59" s="74"/>
      <c r="GYL59" s="74"/>
      <c r="GYM59" s="74"/>
      <c r="GYN59" s="74"/>
      <c r="GYO59" s="74"/>
      <c r="GYP59" s="74"/>
      <c r="GYQ59" s="74"/>
      <c r="GYR59" s="74"/>
      <c r="GYS59" s="74"/>
      <c r="GYT59" s="74"/>
      <c r="GYU59" s="74"/>
      <c r="GYV59" s="74"/>
      <c r="GYW59" s="74"/>
      <c r="GYX59" s="74"/>
      <c r="GYY59" s="74"/>
      <c r="GYZ59" s="74"/>
      <c r="GZA59" s="74"/>
      <c r="GZB59" s="74"/>
      <c r="GZC59" s="74"/>
      <c r="GZD59" s="74"/>
      <c r="GZE59" s="74"/>
      <c r="GZF59" s="74"/>
      <c r="GZG59" s="74"/>
      <c r="GZH59" s="74"/>
      <c r="GZI59" s="74"/>
      <c r="GZJ59" s="74"/>
      <c r="GZK59" s="74"/>
      <c r="GZL59" s="74"/>
      <c r="GZM59" s="74"/>
      <c r="GZN59" s="74"/>
      <c r="GZO59" s="74"/>
      <c r="GZP59" s="74"/>
      <c r="GZQ59" s="74"/>
      <c r="GZR59" s="74"/>
      <c r="GZS59" s="74"/>
      <c r="GZT59" s="74"/>
      <c r="GZU59" s="74"/>
      <c r="GZV59" s="74"/>
      <c r="GZW59" s="74"/>
      <c r="GZX59" s="74"/>
      <c r="GZY59" s="74"/>
      <c r="GZZ59" s="74"/>
      <c r="HAA59" s="74"/>
      <c r="HAB59" s="74"/>
      <c r="HAC59" s="74"/>
      <c r="HAD59" s="74"/>
      <c r="HAE59" s="74"/>
      <c r="HAF59" s="74"/>
      <c r="HAG59" s="74"/>
      <c r="HAH59" s="74"/>
      <c r="HAI59" s="74"/>
      <c r="HAJ59" s="74"/>
      <c r="HAK59" s="74"/>
      <c r="HAL59" s="74"/>
      <c r="HAM59" s="74"/>
      <c r="HAN59" s="74"/>
      <c r="HAO59" s="74"/>
      <c r="HAP59" s="74"/>
      <c r="HAQ59" s="74"/>
      <c r="HAR59" s="74"/>
      <c r="HAS59" s="74"/>
      <c r="HAT59" s="74"/>
      <c r="HAU59" s="74"/>
      <c r="HAV59" s="74"/>
      <c r="HAW59" s="74"/>
      <c r="HAX59" s="74"/>
      <c r="HAY59" s="74"/>
      <c r="HAZ59" s="74"/>
      <c r="HBA59" s="74"/>
      <c r="HBB59" s="74"/>
      <c r="HBC59" s="74"/>
      <c r="HBD59" s="74"/>
      <c r="HBE59" s="74"/>
      <c r="HBF59" s="74"/>
      <c r="HBG59" s="74"/>
      <c r="HBH59" s="74"/>
      <c r="HBI59" s="74"/>
      <c r="HBJ59" s="74"/>
      <c r="HBK59" s="74"/>
      <c r="HBL59" s="74"/>
      <c r="HBM59" s="74"/>
      <c r="HBN59" s="74"/>
      <c r="HBO59" s="74"/>
      <c r="HBP59" s="74"/>
      <c r="HBQ59" s="74"/>
      <c r="HBR59" s="74"/>
      <c r="HBS59" s="74"/>
      <c r="HBT59" s="74"/>
      <c r="HBU59" s="74"/>
      <c r="HBV59" s="74"/>
      <c r="HBW59" s="74"/>
      <c r="HBX59" s="74"/>
      <c r="HBY59" s="74"/>
      <c r="HBZ59" s="74"/>
      <c r="HCA59" s="74"/>
      <c r="HCB59" s="74"/>
      <c r="HCC59" s="74"/>
      <c r="HCD59" s="74"/>
      <c r="HCE59" s="74"/>
      <c r="HCF59" s="74"/>
      <c r="HCG59" s="74"/>
      <c r="HCH59" s="74"/>
      <c r="HCI59" s="74"/>
      <c r="HCJ59" s="74"/>
      <c r="HCK59" s="74"/>
      <c r="HCL59" s="74"/>
      <c r="HCM59" s="74"/>
      <c r="HCN59" s="74"/>
      <c r="HCO59" s="74"/>
      <c r="HCP59" s="74"/>
      <c r="HCQ59" s="74"/>
      <c r="HCR59" s="74"/>
      <c r="HCS59" s="74"/>
      <c r="HCT59" s="74"/>
      <c r="HCU59" s="74"/>
      <c r="HCV59" s="74"/>
      <c r="HCW59" s="74"/>
      <c r="HCX59" s="74"/>
      <c r="HCY59" s="74"/>
      <c r="HCZ59" s="74"/>
      <c r="HDA59" s="74"/>
      <c r="HDB59" s="74"/>
      <c r="HDC59" s="74"/>
      <c r="HDD59" s="74"/>
      <c r="HDE59" s="74"/>
      <c r="HDF59" s="74"/>
      <c r="HDG59" s="74"/>
      <c r="HDH59" s="74"/>
      <c r="HDI59" s="74"/>
      <c r="HDJ59" s="74"/>
      <c r="HDK59" s="74"/>
      <c r="HDL59" s="74"/>
      <c r="HDM59" s="74"/>
      <c r="HDN59" s="74"/>
      <c r="HDO59" s="74"/>
      <c r="HDP59" s="74"/>
      <c r="HDQ59" s="74"/>
      <c r="HDR59" s="74"/>
      <c r="HDS59" s="74"/>
      <c r="HDT59" s="74"/>
      <c r="HDU59" s="74"/>
      <c r="HDV59" s="74"/>
      <c r="HDW59" s="74"/>
      <c r="HDX59" s="74"/>
      <c r="HDY59" s="74"/>
      <c r="HDZ59" s="74"/>
      <c r="HEA59" s="74"/>
      <c r="HEB59" s="74"/>
      <c r="HEC59" s="74"/>
      <c r="HED59" s="74"/>
      <c r="HEE59" s="74"/>
      <c r="HEF59" s="74"/>
      <c r="HEG59" s="74"/>
      <c r="HEH59" s="74"/>
      <c r="HEI59" s="74"/>
      <c r="HEJ59" s="74"/>
      <c r="HEK59" s="74"/>
      <c r="HEL59" s="74"/>
      <c r="HEM59" s="74"/>
      <c r="HEN59" s="74"/>
      <c r="HEO59" s="74"/>
      <c r="HEP59" s="74"/>
      <c r="HEQ59" s="74"/>
      <c r="HER59" s="74"/>
      <c r="HES59" s="74"/>
      <c r="HET59" s="74"/>
      <c r="HEU59" s="74"/>
      <c r="HEV59" s="74"/>
      <c r="HEW59" s="74"/>
      <c r="HEX59" s="74"/>
      <c r="HEY59" s="74"/>
      <c r="HEZ59" s="74"/>
      <c r="HFA59" s="74"/>
      <c r="HFB59" s="74"/>
      <c r="HFC59" s="74"/>
      <c r="HFD59" s="74"/>
      <c r="HFE59" s="74"/>
      <c r="HFF59" s="74"/>
      <c r="HFG59" s="74"/>
      <c r="HFH59" s="74"/>
      <c r="HFI59" s="74"/>
      <c r="HFJ59" s="74"/>
      <c r="HFK59" s="74"/>
      <c r="HFL59" s="74"/>
      <c r="HFM59" s="74"/>
      <c r="HFN59" s="74"/>
      <c r="HFO59" s="74"/>
      <c r="HFP59" s="74"/>
      <c r="HFQ59" s="74"/>
      <c r="HFR59" s="74"/>
      <c r="HFS59" s="74"/>
      <c r="HFT59" s="74"/>
      <c r="HFU59" s="74"/>
      <c r="HFV59" s="74"/>
      <c r="HFW59" s="74"/>
      <c r="HFX59" s="74"/>
      <c r="HFY59" s="74"/>
      <c r="HFZ59" s="74"/>
      <c r="HGA59" s="74"/>
      <c r="HGB59" s="74"/>
      <c r="HGC59" s="74"/>
      <c r="HGD59" s="74"/>
      <c r="HGE59" s="74"/>
      <c r="HGF59" s="74"/>
      <c r="HGG59" s="74"/>
      <c r="HGH59" s="74"/>
      <c r="HGI59" s="74"/>
      <c r="HGJ59" s="74"/>
      <c r="HGK59" s="74"/>
      <c r="HGL59" s="74"/>
      <c r="HGM59" s="74"/>
      <c r="HGN59" s="74"/>
      <c r="HGO59" s="74"/>
      <c r="HGP59" s="74"/>
      <c r="HGQ59" s="74"/>
      <c r="HGR59" s="74"/>
      <c r="HGS59" s="74"/>
      <c r="HGT59" s="74"/>
      <c r="HGU59" s="74"/>
      <c r="HGV59" s="74"/>
      <c r="HGW59" s="74"/>
      <c r="HGX59" s="74"/>
      <c r="HGY59" s="74"/>
      <c r="HGZ59" s="74"/>
      <c r="HHA59" s="74"/>
      <c r="HHB59" s="74"/>
      <c r="HHC59" s="74"/>
      <c r="HHD59" s="74"/>
      <c r="HHE59" s="74"/>
      <c r="HHF59" s="74"/>
      <c r="HHG59" s="74"/>
      <c r="HHH59" s="74"/>
      <c r="HHI59" s="74"/>
      <c r="HHJ59" s="74"/>
      <c r="HHK59" s="74"/>
      <c r="HHL59" s="74"/>
      <c r="HHM59" s="74"/>
      <c r="HHN59" s="74"/>
      <c r="HHO59" s="74"/>
      <c r="HHP59" s="74"/>
      <c r="HHQ59" s="74"/>
      <c r="HHR59" s="74"/>
      <c r="HHS59" s="74"/>
      <c r="HHT59" s="74"/>
      <c r="HHU59" s="74"/>
      <c r="HHV59" s="74"/>
      <c r="HHW59" s="74"/>
      <c r="HHX59" s="74"/>
      <c r="HHY59" s="74"/>
      <c r="HHZ59" s="74"/>
      <c r="HIA59" s="74"/>
      <c r="HIB59" s="74"/>
      <c r="HIC59" s="74"/>
      <c r="HID59" s="74"/>
      <c r="HIE59" s="74"/>
      <c r="HIF59" s="74"/>
      <c r="HIG59" s="74"/>
      <c r="HIH59" s="74"/>
      <c r="HII59" s="74"/>
      <c r="HIJ59" s="74"/>
      <c r="HIK59" s="74"/>
      <c r="HIL59" s="74"/>
      <c r="HIM59" s="74"/>
      <c r="HIN59" s="74"/>
      <c r="HIO59" s="74"/>
      <c r="HIP59" s="74"/>
      <c r="HIQ59" s="74"/>
      <c r="HIR59" s="74"/>
      <c r="HIS59" s="74"/>
      <c r="HIT59" s="74"/>
      <c r="HIU59" s="74"/>
      <c r="HIV59" s="74"/>
      <c r="HIW59" s="74"/>
      <c r="HIX59" s="74"/>
      <c r="HIY59" s="74"/>
      <c r="HIZ59" s="74"/>
      <c r="HJA59" s="74"/>
      <c r="HJB59" s="74"/>
      <c r="HJC59" s="74"/>
      <c r="HJD59" s="74"/>
      <c r="HJE59" s="74"/>
      <c r="HJF59" s="74"/>
      <c r="HJG59" s="74"/>
      <c r="HJH59" s="74"/>
      <c r="HJI59" s="74"/>
      <c r="HJJ59" s="74"/>
      <c r="HJK59" s="74"/>
      <c r="HJL59" s="74"/>
      <c r="HJM59" s="74"/>
      <c r="HJN59" s="74"/>
      <c r="HJO59" s="74"/>
      <c r="HJP59" s="74"/>
      <c r="HJQ59" s="74"/>
      <c r="HJR59" s="74"/>
      <c r="HJS59" s="74"/>
      <c r="HJT59" s="74"/>
      <c r="HJU59" s="74"/>
      <c r="HJV59" s="74"/>
      <c r="HJW59" s="74"/>
      <c r="HJX59" s="74"/>
      <c r="HJY59" s="74"/>
      <c r="HJZ59" s="74"/>
      <c r="HKA59" s="74"/>
      <c r="HKB59" s="74"/>
      <c r="HKC59" s="74"/>
      <c r="HKD59" s="74"/>
      <c r="HKE59" s="74"/>
      <c r="HKF59" s="74"/>
      <c r="HKG59" s="74"/>
      <c r="HKH59" s="74"/>
      <c r="HKI59" s="74"/>
      <c r="HKJ59" s="74"/>
      <c r="HKK59" s="74"/>
      <c r="HKL59" s="74"/>
      <c r="HKM59" s="74"/>
      <c r="HKN59" s="74"/>
      <c r="HKO59" s="74"/>
      <c r="HKP59" s="74"/>
      <c r="HKQ59" s="74"/>
      <c r="HKR59" s="74"/>
      <c r="HKS59" s="74"/>
      <c r="HKT59" s="74"/>
      <c r="HKU59" s="74"/>
      <c r="HKV59" s="74"/>
      <c r="HKW59" s="74"/>
      <c r="HKX59" s="74"/>
      <c r="HKY59" s="74"/>
      <c r="HKZ59" s="74"/>
      <c r="HLA59" s="74"/>
      <c r="HLB59" s="74"/>
      <c r="HLC59" s="74"/>
      <c r="HLD59" s="74"/>
      <c r="HLE59" s="74"/>
      <c r="HLF59" s="74"/>
      <c r="HLG59" s="74"/>
      <c r="HLH59" s="74"/>
      <c r="HLI59" s="74"/>
      <c r="HLJ59" s="74"/>
      <c r="HLK59" s="74"/>
      <c r="HLL59" s="74"/>
      <c r="HLM59" s="74"/>
      <c r="HLN59" s="74"/>
      <c r="HLO59" s="74"/>
      <c r="HLP59" s="74"/>
      <c r="HLQ59" s="74"/>
      <c r="HLR59" s="74"/>
      <c r="HLS59" s="74"/>
      <c r="HLT59" s="74"/>
      <c r="HLU59" s="74"/>
      <c r="HLV59" s="74"/>
      <c r="HLW59" s="74"/>
      <c r="HLX59" s="74"/>
      <c r="HLY59" s="74"/>
      <c r="HLZ59" s="74"/>
      <c r="HMA59" s="74"/>
      <c r="HMB59" s="74"/>
      <c r="HMC59" s="74"/>
      <c r="HMD59" s="74"/>
      <c r="HME59" s="74"/>
      <c r="HMF59" s="74"/>
      <c r="HMG59" s="74"/>
      <c r="HMH59" s="74"/>
      <c r="HMI59" s="74"/>
      <c r="HMJ59" s="74"/>
      <c r="HMK59" s="74"/>
      <c r="HML59" s="74"/>
      <c r="HMM59" s="74"/>
      <c r="HMN59" s="74"/>
      <c r="HMO59" s="74"/>
      <c r="HMP59" s="74"/>
      <c r="HMQ59" s="74"/>
      <c r="HMR59" s="74"/>
      <c r="HMS59" s="74"/>
      <c r="HMT59" s="74"/>
      <c r="HMU59" s="74"/>
      <c r="HMV59" s="74"/>
      <c r="HMW59" s="74"/>
      <c r="HMX59" s="74"/>
      <c r="HMY59" s="74"/>
      <c r="HMZ59" s="74"/>
      <c r="HNA59" s="74"/>
      <c r="HNB59" s="74"/>
      <c r="HNC59" s="74"/>
      <c r="HND59" s="74"/>
      <c r="HNE59" s="74"/>
      <c r="HNF59" s="74"/>
      <c r="HNG59" s="74"/>
      <c r="HNH59" s="74"/>
      <c r="HNI59" s="74"/>
      <c r="HNJ59" s="74"/>
      <c r="HNK59" s="74"/>
      <c r="HNL59" s="74"/>
      <c r="HNM59" s="74"/>
      <c r="HNN59" s="74"/>
      <c r="HNO59" s="74"/>
      <c r="HNP59" s="74"/>
      <c r="HNQ59" s="74"/>
      <c r="HNR59" s="74"/>
      <c r="HNS59" s="74"/>
      <c r="HNT59" s="74"/>
      <c r="HNU59" s="74"/>
      <c r="HNV59" s="74"/>
      <c r="HNW59" s="74"/>
      <c r="HNX59" s="74"/>
      <c r="HNY59" s="74"/>
      <c r="HNZ59" s="74"/>
      <c r="HOA59" s="74"/>
      <c r="HOB59" s="74"/>
      <c r="HOC59" s="74"/>
      <c r="HOD59" s="74"/>
      <c r="HOE59" s="74"/>
      <c r="HOF59" s="74"/>
      <c r="HOG59" s="74"/>
      <c r="HOH59" s="74"/>
      <c r="HOI59" s="74"/>
      <c r="HOJ59" s="74"/>
      <c r="HOK59" s="74"/>
      <c r="HOL59" s="74"/>
      <c r="HOM59" s="74"/>
      <c r="HON59" s="74"/>
      <c r="HOO59" s="74"/>
      <c r="HOP59" s="74"/>
      <c r="HOQ59" s="74"/>
      <c r="HOR59" s="74"/>
      <c r="HOS59" s="74"/>
      <c r="HOT59" s="74"/>
      <c r="HOU59" s="74"/>
      <c r="HOV59" s="74"/>
      <c r="HOW59" s="74"/>
      <c r="HOX59" s="74"/>
      <c r="HOY59" s="74"/>
      <c r="HOZ59" s="74"/>
      <c r="HPA59" s="74"/>
      <c r="HPB59" s="74"/>
      <c r="HPC59" s="74"/>
      <c r="HPD59" s="74"/>
      <c r="HPE59" s="74"/>
      <c r="HPF59" s="74"/>
      <c r="HPG59" s="74"/>
      <c r="HPH59" s="74"/>
      <c r="HPI59" s="74"/>
      <c r="HPJ59" s="74"/>
      <c r="HPK59" s="74"/>
      <c r="HPL59" s="74"/>
      <c r="HPM59" s="74"/>
      <c r="HPN59" s="74"/>
      <c r="HPO59" s="74"/>
      <c r="HPP59" s="74"/>
      <c r="HPQ59" s="74"/>
      <c r="HPR59" s="74"/>
      <c r="HPS59" s="74"/>
      <c r="HPT59" s="74"/>
      <c r="HPU59" s="74"/>
      <c r="HPV59" s="74"/>
      <c r="HPW59" s="74"/>
      <c r="HPX59" s="74"/>
      <c r="HPY59" s="74"/>
      <c r="HPZ59" s="74"/>
      <c r="HQA59" s="74"/>
      <c r="HQB59" s="74"/>
      <c r="HQC59" s="74"/>
      <c r="HQD59" s="74"/>
      <c r="HQE59" s="74"/>
      <c r="HQF59" s="74"/>
      <c r="HQG59" s="74"/>
      <c r="HQH59" s="74"/>
      <c r="HQI59" s="74"/>
      <c r="HQJ59" s="74"/>
      <c r="HQK59" s="74"/>
      <c r="HQL59" s="74"/>
      <c r="HQM59" s="74"/>
      <c r="HQN59" s="74"/>
      <c r="HQO59" s="74"/>
      <c r="HQP59" s="74"/>
      <c r="HQQ59" s="74"/>
      <c r="HQR59" s="74"/>
      <c r="HQS59" s="74"/>
      <c r="HQT59" s="74"/>
      <c r="HQU59" s="74"/>
      <c r="HQV59" s="74"/>
      <c r="HQW59" s="74"/>
      <c r="HQX59" s="74"/>
      <c r="HQY59" s="74"/>
      <c r="HQZ59" s="74"/>
      <c r="HRA59" s="74"/>
      <c r="HRB59" s="74"/>
      <c r="HRC59" s="74"/>
      <c r="HRD59" s="74"/>
      <c r="HRE59" s="74"/>
      <c r="HRF59" s="74"/>
      <c r="HRG59" s="74"/>
      <c r="HRH59" s="74"/>
      <c r="HRI59" s="74"/>
      <c r="HRJ59" s="74"/>
      <c r="HRK59" s="74"/>
      <c r="HRL59" s="74"/>
      <c r="HRM59" s="74"/>
      <c r="HRN59" s="74"/>
      <c r="HRO59" s="74"/>
      <c r="HRP59" s="74"/>
      <c r="HRQ59" s="74"/>
      <c r="HRR59" s="74"/>
      <c r="HRS59" s="74"/>
      <c r="HRT59" s="74"/>
      <c r="HRU59" s="74"/>
      <c r="HRV59" s="74"/>
      <c r="HRW59" s="74"/>
      <c r="HRX59" s="74"/>
      <c r="HRY59" s="74"/>
      <c r="HRZ59" s="74"/>
      <c r="HSA59" s="74"/>
      <c r="HSB59" s="74"/>
      <c r="HSC59" s="74"/>
      <c r="HSD59" s="74"/>
      <c r="HSE59" s="74"/>
      <c r="HSF59" s="74"/>
      <c r="HSG59" s="74"/>
      <c r="HSH59" s="74"/>
      <c r="HSI59" s="74"/>
      <c r="HSJ59" s="74"/>
      <c r="HSK59" s="74"/>
      <c r="HSL59" s="74"/>
      <c r="HSM59" s="74"/>
      <c r="HSN59" s="74"/>
      <c r="HSO59" s="74"/>
      <c r="HSP59" s="74"/>
      <c r="HSQ59" s="74"/>
      <c r="HSR59" s="74"/>
      <c r="HSS59" s="74"/>
      <c r="HST59" s="74"/>
      <c r="HSU59" s="74"/>
      <c r="HSV59" s="74"/>
      <c r="HSW59" s="74"/>
      <c r="HSX59" s="74"/>
      <c r="HSY59" s="74"/>
      <c r="HSZ59" s="74"/>
      <c r="HTA59" s="74"/>
      <c r="HTB59" s="74"/>
      <c r="HTC59" s="74"/>
      <c r="HTD59" s="74"/>
      <c r="HTE59" s="74"/>
      <c r="HTF59" s="74"/>
      <c r="HTG59" s="74"/>
      <c r="HTH59" s="74"/>
      <c r="HTI59" s="74"/>
      <c r="HTJ59" s="74"/>
      <c r="HTK59" s="74"/>
      <c r="HTL59" s="74"/>
      <c r="HTM59" s="74"/>
      <c r="HTN59" s="74"/>
      <c r="HTO59" s="74"/>
      <c r="HTP59" s="74"/>
      <c r="HTQ59" s="74"/>
      <c r="HTR59" s="74"/>
      <c r="HTS59" s="74"/>
      <c r="HTT59" s="74"/>
      <c r="HTU59" s="74"/>
      <c r="HTV59" s="74"/>
      <c r="HTW59" s="74"/>
      <c r="HTX59" s="74"/>
      <c r="HTY59" s="74"/>
      <c r="HTZ59" s="74"/>
      <c r="HUA59" s="74"/>
      <c r="HUB59" s="74"/>
      <c r="HUC59" s="74"/>
      <c r="HUD59" s="74"/>
      <c r="HUE59" s="74"/>
      <c r="HUF59" s="74"/>
      <c r="HUG59" s="74"/>
      <c r="HUH59" s="74"/>
      <c r="HUI59" s="74"/>
      <c r="HUJ59" s="74"/>
      <c r="HUK59" s="74"/>
      <c r="HUL59" s="74"/>
      <c r="HUM59" s="74"/>
      <c r="HUN59" s="74"/>
      <c r="HUO59" s="74"/>
      <c r="HUP59" s="74"/>
      <c r="HUQ59" s="74"/>
      <c r="HUR59" s="74"/>
      <c r="HUS59" s="74"/>
      <c r="HUT59" s="74"/>
      <c r="HUU59" s="74"/>
      <c r="HUV59" s="74"/>
      <c r="HUW59" s="74"/>
      <c r="HUX59" s="74"/>
      <c r="HUY59" s="74"/>
      <c r="HUZ59" s="74"/>
      <c r="HVA59" s="74"/>
      <c r="HVB59" s="74"/>
      <c r="HVC59" s="74"/>
      <c r="HVD59" s="74"/>
      <c r="HVE59" s="74"/>
      <c r="HVF59" s="74"/>
      <c r="HVG59" s="74"/>
      <c r="HVH59" s="74"/>
      <c r="HVI59" s="74"/>
      <c r="HVJ59" s="74"/>
      <c r="HVK59" s="74"/>
      <c r="HVL59" s="74"/>
      <c r="HVM59" s="74"/>
      <c r="HVN59" s="74"/>
      <c r="HVO59" s="74"/>
      <c r="HVP59" s="74"/>
      <c r="HVQ59" s="74"/>
      <c r="HVR59" s="74"/>
      <c r="HVS59" s="74"/>
      <c r="HVT59" s="74"/>
      <c r="HVU59" s="74"/>
      <c r="HVV59" s="74"/>
      <c r="HVW59" s="74"/>
      <c r="HVX59" s="74"/>
      <c r="HVY59" s="74"/>
      <c r="HVZ59" s="74"/>
      <c r="HWA59" s="74"/>
      <c r="HWB59" s="74"/>
      <c r="HWC59" s="74"/>
      <c r="HWD59" s="74"/>
      <c r="HWE59" s="74"/>
      <c r="HWF59" s="74"/>
      <c r="HWG59" s="74"/>
      <c r="HWH59" s="74"/>
      <c r="HWI59" s="74"/>
      <c r="HWJ59" s="74"/>
      <c r="HWK59" s="74"/>
      <c r="HWL59" s="74"/>
      <c r="HWM59" s="74"/>
      <c r="HWN59" s="74"/>
      <c r="HWO59" s="74"/>
      <c r="HWP59" s="74"/>
      <c r="HWQ59" s="74"/>
      <c r="HWR59" s="74"/>
      <c r="HWS59" s="74"/>
      <c r="HWT59" s="74"/>
      <c r="HWU59" s="74"/>
      <c r="HWV59" s="74"/>
      <c r="HWW59" s="74"/>
      <c r="HWX59" s="74"/>
      <c r="HWY59" s="74"/>
      <c r="HWZ59" s="74"/>
      <c r="HXA59" s="74"/>
      <c r="HXB59" s="74"/>
      <c r="HXC59" s="74"/>
      <c r="HXD59" s="74"/>
      <c r="HXE59" s="74"/>
      <c r="HXF59" s="74"/>
      <c r="HXG59" s="74"/>
      <c r="HXH59" s="74"/>
      <c r="HXI59" s="74"/>
      <c r="HXJ59" s="74"/>
      <c r="HXK59" s="74"/>
      <c r="HXL59" s="74"/>
      <c r="HXM59" s="74"/>
      <c r="HXN59" s="74"/>
      <c r="HXO59" s="74"/>
      <c r="HXP59" s="74"/>
      <c r="HXQ59" s="74"/>
      <c r="HXR59" s="74"/>
      <c r="HXS59" s="74"/>
      <c r="HXT59" s="74"/>
      <c r="HXU59" s="74"/>
      <c r="HXV59" s="74"/>
      <c r="HXW59" s="74"/>
      <c r="HXX59" s="74"/>
      <c r="HXY59" s="74"/>
      <c r="HXZ59" s="74"/>
      <c r="HYA59" s="74"/>
      <c r="HYB59" s="74"/>
      <c r="HYC59" s="74"/>
      <c r="HYD59" s="74"/>
      <c r="HYE59" s="74"/>
      <c r="HYF59" s="74"/>
      <c r="HYG59" s="74"/>
      <c r="HYH59" s="74"/>
      <c r="HYI59" s="74"/>
      <c r="HYJ59" s="74"/>
      <c r="HYK59" s="74"/>
      <c r="HYL59" s="74"/>
      <c r="HYM59" s="74"/>
      <c r="HYN59" s="74"/>
      <c r="HYO59" s="74"/>
      <c r="HYP59" s="74"/>
      <c r="HYQ59" s="74"/>
      <c r="HYR59" s="74"/>
      <c r="HYS59" s="74"/>
      <c r="HYT59" s="74"/>
      <c r="HYU59" s="74"/>
      <c r="HYV59" s="74"/>
      <c r="HYW59" s="74"/>
      <c r="HYX59" s="74"/>
      <c r="HYY59" s="74"/>
      <c r="HYZ59" s="74"/>
      <c r="HZA59" s="74"/>
      <c r="HZB59" s="74"/>
      <c r="HZC59" s="74"/>
      <c r="HZD59" s="74"/>
      <c r="HZE59" s="74"/>
      <c r="HZF59" s="74"/>
      <c r="HZG59" s="74"/>
      <c r="HZH59" s="74"/>
      <c r="HZI59" s="74"/>
      <c r="HZJ59" s="74"/>
      <c r="HZK59" s="74"/>
      <c r="HZL59" s="74"/>
      <c r="HZM59" s="74"/>
      <c r="HZN59" s="74"/>
      <c r="HZO59" s="74"/>
      <c r="HZP59" s="74"/>
      <c r="HZQ59" s="74"/>
      <c r="HZR59" s="74"/>
      <c r="HZS59" s="74"/>
      <c r="HZT59" s="74"/>
      <c r="HZU59" s="74"/>
      <c r="HZV59" s="74"/>
      <c r="HZW59" s="74"/>
      <c r="HZX59" s="74"/>
      <c r="HZY59" s="74"/>
      <c r="HZZ59" s="74"/>
      <c r="IAA59" s="74"/>
      <c r="IAB59" s="74"/>
      <c r="IAC59" s="74"/>
      <c r="IAD59" s="74"/>
      <c r="IAE59" s="74"/>
      <c r="IAF59" s="74"/>
      <c r="IAG59" s="74"/>
      <c r="IAH59" s="74"/>
      <c r="IAI59" s="74"/>
      <c r="IAJ59" s="74"/>
      <c r="IAK59" s="74"/>
      <c r="IAL59" s="74"/>
      <c r="IAM59" s="74"/>
      <c r="IAN59" s="74"/>
      <c r="IAO59" s="74"/>
      <c r="IAP59" s="74"/>
      <c r="IAQ59" s="74"/>
      <c r="IAR59" s="74"/>
      <c r="IAS59" s="74"/>
      <c r="IAT59" s="74"/>
      <c r="IAU59" s="74"/>
      <c r="IAV59" s="74"/>
      <c r="IAW59" s="74"/>
      <c r="IAX59" s="74"/>
      <c r="IAY59" s="74"/>
      <c r="IAZ59" s="74"/>
      <c r="IBA59" s="74"/>
      <c r="IBB59" s="74"/>
      <c r="IBC59" s="74"/>
      <c r="IBD59" s="74"/>
      <c r="IBE59" s="74"/>
      <c r="IBF59" s="74"/>
      <c r="IBG59" s="74"/>
      <c r="IBH59" s="74"/>
      <c r="IBI59" s="74"/>
      <c r="IBJ59" s="74"/>
      <c r="IBK59" s="74"/>
      <c r="IBL59" s="74"/>
      <c r="IBM59" s="74"/>
      <c r="IBN59" s="74"/>
      <c r="IBO59" s="74"/>
      <c r="IBP59" s="74"/>
      <c r="IBQ59" s="74"/>
      <c r="IBR59" s="74"/>
      <c r="IBS59" s="74"/>
      <c r="IBT59" s="74"/>
      <c r="IBU59" s="74"/>
      <c r="IBV59" s="74"/>
      <c r="IBW59" s="74"/>
      <c r="IBX59" s="74"/>
      <c r="IBY59" s="74"/>
      <c r="IBZ59" s="74"/>
      <c r="ICA59" s="74"/>
      <c r="ICB59" s="74"/>
      <c r="ICC59" s="74"/>
      <c r="ICD59" s="74"/>
      <c r="ICE59" s="74"/>
      <c r="ICF59" s="74"/>
      <c r="ICG59" s="74"/>
      <c r="ICH59" s="74"/>
      <c r="ICI59" s="74"/>
      <c r="ICJ59" s="74"/>
      <c r="ICK59" s="74"/>
      <c r="ICL59" s="74"/>
      <c r="ICM59" s="74"/>
      <c r="ICN59" s="74"/>
      <c r="ICO59" s="74"/>
      <c r="ICP59" s="74"/>
      <c r="ICQ59" s="74"/>
      <c r="ICR59" s="74"/>
      <c r="ICS59" s="74"/>
      <c r="ICT59" s="74"/>
      <c r="ICU59" s="74"/>
      <c r="ICV59" s="74"/>
      <c r="ICW59" s="74"/>
      <c r="ICX59" s="74"/>
      <c r="ICY59" s="74"/>
      <c r="ICZ59" s="74"/>
      <c r="IDA59" s="74"/>
      <c r="IDB59" s="74"/>
      <c r="IDC59" s="74"/>
      <c r="IDD59" s="74"/>
      <c r="IDE59" s="74"/>
      <c r="IDF59" s="74"/>
      <c r="IDG59" s="74"/>
      <c r="IDH59" s="74"/>
      <c r="IDI59" s="74"/>
      <c r="IDJ59" s="74"/>
      <c r="IDK59" s="74"/>
      <c r="IDL59" s="74"/>
      <c r="IDM59" s="74"/>
      <c r="IDN59" s="74"/>
      <c r="IDO59" s="74"/>
      <c r="IDP59" s="74"/>
      <c r="IDQ59" s="74"/>
      <c r="IDR59" s="74"/>
      <c r="IDS59" s="74"/>
      <c r="IDT59" s="74"/>
      <c r="IDU59" s="74"/>
      <c r="IDV59" s="74"/>
      <c r="IDW59" s="74"/>
      <c r="IDX59" s="74"/>
      <c r="IDY59" s="74"/>
      <c r="IDZ59" s="74"/>
      <c r="IEA59" s="74"/>
      <c r="IEB59" s="74"/>
      <c r="IEC59" s="74"/>
      <c r="IED59" s="74"/>
      <c r="IEE59" s="74"/>
      <c r="IEF59" s="74"/>
      <c r="IEG59" s="74"/>
      <c r="IEH59" s="74"/>
      <c r="IEI59" s="74"/>
      <c r="IEJ59" s="74"/>
      <c r="IEK59" s="74"/>
      <c r="IEL59" s="74"/>
      <c r="IEM59" s="74"/>
      <c r="IEN59" s="74"/>
      <c r="IEO59" s="74"/>
      <c r="IEP59" s="74"/>
      <c r="IEQ59" s="74"/>
      <c r="IER59" s="74"/>
      <c r="IES59" s="74"/>
      <c r="IET59" s="74"/>
      <c r="IEU59" s="74"/>
      <c r="IEV59" s="74"/>
      <c r="IEW59" s="74"/>
      <c r="IEX59" s="74"/>
      <c r="IEY59" s="74"/>
      <c r="IEZ59" s="74"/>
      <c r="IFA59" s="74"/>
      <c r="IFB59" s="74"/>
      <c r="IFC59" s="74"/>
      <c r="IFD59" s="74"/>
      <c r="IFE59" s="74"/>
      <c r="IFF59" s="74"/>
      <c r="IFG59" s="74"/>
      <c r="IFH59" s="74"/>
      <c r="IFI59" s="74"/>
      <c r="IFJ59" s="74"/>
      <c r="IFK59" s="74"/>
      <c r="IFL59" s="74"/>
      <c r="IFM59" s="74"/>
      <c r="IFN59" s="74"/>
      <c r="IFO59" s="74"/>
      <c r="IFP59" s="74"/>
      <c r="IFQ59" s="74"/>
      <c r="IFR59" s="74"/>
      <c r="IFS59" s="74"/>
      <c r="IFT59" s="74"/>
      <c r="IFU59" s="74"/>
      <c r="IFV59" s="74"/>
      <c r="IFW59" s="74"/>
      <c r="IFX59" s="74"/>
      <c r="IFY59" s="74"/>
      <c r="IFZ59" s="74"/>
      <c r="IGA59" s="74"/>
      <c r="IGB59" s="74"/>
      <c r="IGC59" s="74"/>
      <c r="IGD59" s="74"/>
      <c r="IGE59" s="74"/>
      <c r="IGF59" s="74"/>
      <c r="IGG59" s="74"/>
      <c r="IGH59" s="74"/>
      <c r="IGI59" s="74"/>
      <c r="IGJ59" s="74"/>
      <c r="IGK59" s="74"/>
      <c r="IGL59" s="74"/>
      <c r="IGM59" s="74"/>
      <c r="IGN59" s="74"/>
      <c r="IGO59" s="74"/>
      <c r="IGP59" s="74"/>
      <c r="IGQ59" s="74"/>
      <c r="IGR59" s="74"/>
      <c r="IGS59" s="74"/>
      <c r="IGT59" s="74"/>
      <c r="IGU59" s="74"/>
      <c r="IGV59" s="74"/>
      <c r="IGW59" s="74"/>
      <c r="IGX59" s="74"/>
      <c r="IGY59" s="74"/>
      <c r="IGZ59" s="74"/>
      <c r="IHA59" s="74"/>
      <c r="IHB59" s="74"/>
      <c r="IHC59" s="74"/>
      <c r="IHD59" s="74"/>
      <c r="IHE59" s="74"/>
      <c r="IHF59" s="74"/>
      <c r="IHG59" s="74"/>
      <c r="IHH59" s="74"/>
      <c r="IHI59" s="74"/>
      <c r="IHJ59" s="74"/>
      <c r="IHK59" s="74"/>
      <c r="IHL59" s="74"/>
      <c r="IHM59" s="74"/>
      <c r="IHN59" s="74"/>
      <c r="IHO59" s="74"/>
      <c r="IHP59" s="74"/>
      <c r="IHQ59" s="74"/>
      <c r="IHR59" s="74"/>
      <c r="IHS59" s="74"/>
      <c r="IHT59" s="74"/>
      <c r="IHU59" s="74"/>
      <c r="IHV59" s="74"/>
      <c r="IHW59" s="74"/>
      <c r="IHX59" s="74"/>
      <c r="IHY59" s="74"/>
      <c r="IHZ59" s="74"/>
      <c r="IIA59" s="74"/>
      <c r="IIB59" s="74"/>
      <c r="IIC59" s="74"/>
      <c r="IID59" s="74"/>
      <c r="IIE59" s="74"/>
      <c r="IIF59" s="74"/>
      <c r="IIG59" s="74"/>
      <c r="IIH59" s="74"/>
      <c r="III59" s="74"/>
      <c r="IIJ59" s="74"/>
      <c r="IIK59" s="74"/>
      <c r="IIL59" s="74"/>
      <c r="IIM59" s="74"/>
      <c r="IIN59" s="74"/>
      <c r="IIO59" s="74"/>
      <c r="IIP59" s="74"/>
      <c r="IIQ59" s="74"/>
      <c r="IIR59" s="74"/>
      <c r="IIS59" s="74"/>
      <c r="IIT59" s="74"/>
      <c r="IIU59" s="74"/>
      <c r="IIV59" s="74"/>
      <c r="IIW59" s="74"/>
      <c r="IIX59" s="74"/>
      <c r="IIY59" s="74"/>
      <c r="IIZ59" s="74"/>
      <c r="IJA59" s="74"/>
      <c r="IJB59" s="74"/>
      <c r="IJC59" s="74"/>
      <c r="IJD59" s="74"/>
      <c r="IJE59" s="74"/>
      <c r="IJF59" s="74"/>
      <c r="IJG59" s="74"/>
      <c r="IJH59" s="74"/>
      <c r="IJI59" s="74"/>
      <c r="IJJ59" s="74"/>
      <c r="IJK59" s="74"/>
      <c r="IJL59" s="74"/>
      <c r="IJM59" s="74"/>
      <c r="IJN59" s="74"/>
      <c r="IJO59" s="74"/>
      <c r="IJP59" s="74"/>
      <c r="IJQ59" s="74"/>
      <c r="IJR59" s="74"/>
      <c r="IJS59" s="74"/>
      <c r="IJT59" s="74"/>
      <c r="IJU59" s="74"/>
      <c r="IJV59" s="74"/>
      <c r="IJW59" s="74"/>
      <c r="IJX59" s="74"/>
      <c r="IJY59" s="74"/>
      <c r="IJZ59" s="74"/>
      <c r="IKA59" s="74"/>
      <c r="IKB59" s="74"/>
      <c r="IKC59" s="74"/>
      <c r="IKD59" s="74"/>
      <c r="IKE59" s="74"/>
      <c r="IKF59" s="74"/>
      <c r="IKG59" s="74"/>
      <c r="IKH59" s="74"/>
      <c r="IKI59" s="74"/>
      <c r="IKJ59" s="74"/>
      <c r="IKK59" s="74"/>
      <c r="IKL59" s="74"/>
      <c r="IKM59" s="74"/>
      <c r="IKN59" s="74"/>
      <c r="IKO59" s="74"/>
      <c r="IKP59" s="74"/>
      <c r="IKQ59" s="74"/>
      <c r="IKR59" s="74"/>
      <c r="IKS59" s="74"/>
      <c r="IKT59" s="74"/>
      <c r="IKU59" s="74"/>
      <c r="IKV59" s="74"/>
      <c r="IKW59" s="74"/>
      <c r="IKX59" s="74"/>
      <c r="IKY59" s="74"/>
      <c r="IKZ59" s="74"/>
      <c r="ILA59" s="74"/>
      <c r="ILB59" s="74"/>
      <c r="ILC59" s="74"/>
      <c r="ILD59" s="74"/>
      <c r="ILE59" s="74"/>
      <c r="ILF59" s="74"/>
      <c r="ILG59" s="74"/>
      <c r="ILH59" s="74"/>
      <c r="ILI59" s="74"/>
      <c r="ILJ59" s="74"/>
      <c r="ILK59" s="74"/>
      <c r="ILL59" s="74"/>
      <c r="ILM59" s="74"/>
      <c r="ILN59" s="74"/>
      <c r="ILO59" s="74"/>
      <c r="ILP59" s="74"/>
      <c r="ILQ59" s="74"/>
      <c r="ILR59" s="74"/>
      <c r="ILS59" s="74"/>
      <c r="ILT59" s="74"/>
      <c r="ILU59" s="74"/>
      <c r="ILV59" s="74"/>
      <c r="ILW59" s="74"/>
      <c r="ILX59" s="74"/>
      <c r="ILY59" s="74"/>
      <c r="ILZ59" s="74"/>
      <c r="IMA59" s="74"/>
      <c r="IMB59" s="74"/>
      <c r="IMC59" s="74"/>
      <c r="IMD59" s="74"/>
      <c r="IME59" s="74"/>
      <c r="IMF59" s="74"/>
      <c r="IMG59" s="74"/>
      <c r="IMH59" s="74"/>
      <c r="IMI59" s="74"/>
      <c r="IMJ59" s="74"/>
      <c r="IMK59" s="74"/>
      <c r="IML59" s="74"/>
      <c r="IMM59" s="74"/>
      <c r="IMN59" s="74"/>
      <c r="IMO59" s="74"/>
      <c r="IMP59" s="74"/>
      <c r="IMQ59" s="74"/>
      <c r="IMR59" s="74"/>
      <c r="IMS59" s="74"/>
      <c r="IMT59" s="74"/>
      <c r="IMU59" s="74"/>
      <c r="IMV59" s="74"/>
      <c r="IMW59" s="74"/>
      <c r="IMX59" s="74"/>
      <c r="IMY59" s="74"/>
      <c r="IMZ59" s="74"/>
      <c r="INA59" s="74"/>
      <c r="INB59" s="74"/>
      <c r="INC59" s="74"/>
      <c r="IND59" s="74"/>
      <c r="INE59" s="74"/>
      <c r="INF59" s="74"/>
      <c r="ING59" s="74"/>
      <c r="INH59" s="74"/>
      <c r="INI59" s="74"/>
      <c r="INJ59" s="74"/>
      <c r="INK59" s="74"/>
      <c r="INL59" s="74"/>
      <c r="INM59" s="74"/>
      <c r="INN59" s="74"/>
      <c r="INO59" s="74"/>
      <c r="INP59" s="74"/>
      <c r="INQ59" s="74"/>
      <c r="INR59" s="74"/>
      <c r="INS59" s="74"/>
      <c r="INT59" s="74"/>
      <c r="INU59" s="74"/>
      <c r="INV59" s="74"/>
      <c r="INW59" s="74"/>
      <c r="INX59" s="74"/>
      <c r="INY59" s="74"/>
      <c r="INZ59" s="74"/>
      <c r="IOA59" s="74"/>
      <c r="IOB59" s="74"/>
      <c r="IOC59" s="74"/>
      <c r="IOD59" s="74"/>
      <c r="IOE59" s="74"/>
      <c r="IOF59" s="74"/>
      <c r="IOG59" s="74"/>
      <c r="IOH59" s="74"/>
      <c r="IOI59" s="74"/>
      <c r="IOJ59" s="74"/>
      <c r="IOK59" s="74"/>
      <c r="IOL59" s="74"/>
      <c r="IOM59" s="74"/>
      <c r="ION59" s="74"/>
      <c r="IOO59" s="74"/>
      <c r="IOP59" s="74"/>
      <c r="IOQ59" s="74"/>
      <c r="IOR59" s="74"/>
      <c r="IOS59" s="74"/>
      <c r="IOT59" s="74"/>
      <c r="IOU59" s="74"/>
      <c r="IOV59" s="74"/>
      <c r="IOW59" s="74"/>
      <c r="IOX59" s="74"/>
      <c r="IOY59" s="74"/>
      <c r="IOZ59" s="74"/>
      <c r="IPA59" s="74"/>
      <c r="IPB59" s="74"/>
      <c r="IPC59" s="74"/>
      <c r="IPD59" s="74"/>
      <c r="IPE59" s="74"/>
      <c r="IPF59" s="74"/>
      <c r="IPG59" s="74"/>
      <c r="IPH59" s="74"/>
      <c r="IPI59" s="74"/>
      <c r="IPJ59" s="74"/>
      <c r="IPK59" s="74"/>
      <c r="IPL59" s="74"/>
      <c r="IPM59" s="74"/>
      <c r="IPN59" s="74"/>
      <c r="IPO59" s="74"/>
      <c r="IPP59" s="74"/>
      <c r="IPQ59" s="74"/>
      <c r="IPR59" s="74"/>
      <c r="IPS59" s="74"/>
      <c r="IPT59" s="74"/>
      <c r="IPU59" s="74"/>
      <c r="IPV59" s="74"/>
      <c r="IPW59" s="74"/>
      <c r="IPX59" s="74"/>
      <c r="IPY59" s="74"/>
      <c r="IPZ59" s="74"/>
      <c r="IQA59" s="74"/>
      <c r="IQB59" s="74"/>
      <c r="IQC59" s="74"/>
      <c r="IQD59" s="74"/>
      <c r="IQE59" s="74"/>
      <c r="IQF59" s="74"/>
      <c r="IQG59" s="74"/>
      <c r="IQH59" s="74"/>
      <c r="IQI59" s="74"/>
      <c r="IQJ59" s="74"/>
      <c r="IQK59" s="74"/>
      <c r="IQL59" s="74"/>
      <c r="IQM59" s="74"/>
      <c r="IQN59" s="74"/>
      <c r="IQO59" s="74"/>
      <c r="IQP59" s="74"/>
      <c r="IQQ59" s="74"/>
      <c r="IQR59" s="74"/>
      <c r="IQS59" s="74"/>
      <c r="IQT59" s="74"/>
      <c r="IQU59" s="74"/>
      <c r="IQV59" s="74"/>
      <c r="IQW59" s="74"/>
      <c r="IQX59" s="74"/>
      <c r="IQY59" s="74"/>
      <c r="IQZ59" s="74"/>
      <c r="IRA59" s="74"/>
      <c r="IRB59" s="74"/>
      <c r="IRC59" s="74"/>
      <c r="IRD59" s="74"/>
      <c r="IRE59" s="74"/>
      <c r="IRF59" s="74"/>
      <c r="IRG59" s="74"/>
      <c r="IRH59" s="74"/>
      <c r="IRI59" s="74"/>
      <c r="IRJ59" s="74"/>
      <c r="IRK59" s="74"/>
      <c r="IRL59" s="74"/>
      <c r="IRM59" s="74"/>
      <c r="IRN59" s="74"/>
      <c r="IRO59" s="74"/>
      <c r="IRP59" s="74"/>
      <c r="IRQ59" s="74"/>
      <c r="IRR59" s="74"/>
      <c r="IRS59" s="74"/>
      <c r="IRT59" s="74"/>
      <c r="IRU59" s="74"/>
      <c r="IRV59" s="74"/>
      <c r="IRW59" s="74"/>
      <c r="IRX59" s="74"/>
      <c r="IRY59" s="74"/>
      <c r="IRZ59" s="74"/>
      <c r="ISA59" s="74"/>
      <c r="ISB59" s="74"/>
      <c r="ISC59" s="74"/>
      <c r="ISD59" s="74"/>
      <c r="ISE59" s="74"/>
      <c r="ISF59" s="74"/>
      <c r="ISG59" s="74"/>
      <c r="ISH59" s="74"/>
      <c r="ISI59" s="74"/>
      <c r="ISJ59" s="74"/>
      <c r="ISK59" s="74"/>
      <c r="ISL59" s="74"/>
      <c r="ISM59" s="74"/>
      <c r="ISN59" s="74"/>
      <c r="ISO59" s="74"/>
      <c r="ISP59" s="74"/>
      <c r="ISQ59" s="74"/>
      <c r="ISR59" s="74"/>
      <c r="ISS59" s="74"/>
      <c r="IST59" s="74"/>
      <c r="ISU59" s="74"/>
      <c r="ISV59" s="74"/>
      <c r="ISW59" s="74"/>
      <c r="ISX59" s="74"/>
      <c r="ISY59" s="74"/>
      <c r="ISZ59" s="74"/>
      <c r="ITA59" s="74"/>
      <c r="ITB59" s="74"/>
      <c r="ITC59" s="74"/>
      <c r="ITD59" s="74"/>
      <c r="ITE59" s="74"/>
      <c r="ITF59" s="74"/>
      <c r="ITG59" s="74"/>
      <c r="ITH59" s="74"/>
      <c r="ITI59" s="74"/>
      <c r="ITJ59" s="74"/>
      <c r="ITK59" s="74"/>
      <c r="ITL59" s="74"/>
      <c r="ITM59" s="74"/>
      <c r="ITN59" s="74"/>
      <c r="ITO59" s="74"/>
      <c r="ITP59" s="74"/>
      <c r="ITQ59" s="74"/>
      <c r="ITR59" s="74"/>
      <c r="ITS59" s="74"/>
      <c r="ITT59" s="74"/>
      <c r="ITU59" s="74"/>
      <c r="ITV59" s="74"/>
      <c r="ITW59" s="74"/>
      <c r="ITX59" s="74"/>
      <c r="ITY59" s="74"/>
      <c r="ITZ59" s="74"/>
      <c r="IUA59" s="74"/>
      <c r="IUB59" s="74"/>
      <c r="IUC59" s="74"/>
      <c r="IUD59" s="74"/>
      <c r="IUE59" s="74"/>
      <c r="IUF59" s="74"/>
      <c r="IUG59" s="74"/>
      <c r="IUH59" s="74"/>
      <c r="IUI59" s="74"/>
      <c r="IUJ59" s="74"/>
      <c r="IUK59" s="74"/>
      <c r="IUL59" s="74"/>
      <c r="IUM59" s="74"/>
      <c r="IUN59" s="74"/>
      <c r="IUO59" s="74"/>
      <c r="IUP59" s="74"/>
      <c r="IUQ59" s="74"/>
      <c r="IUR59" s="74"/>
      <c r="IUS59" s="74"/>
      <c r="IUT59" s="74"/>
      <c r="IUU59" s="74"/>
      <c r="IUV59" s="74"/>
      <c r="IUW59" s="74"/>
      <c r="IUX59" s="74"/>
      <c r="IUY59" s="74"/>
      <c r="IUZ59" s="74"/>
      <c r="IVA59" s="74"/>
      <c r="IVB59" s="74"/>
      <c r="IVC59" s="74"/>
      <c r="IVD59" s="74"/>
      <c r="IVE59" s="74"/>
      <c r="IVF59" s="74"/>
      <c r="IVG59" s="74"/>
      <c r="IVH59" s="74"/>
      <c r="IVI59" s="74"/>
      <c r="IVJ59" s="74"/>
      <c r="IVK59" s="74"/>
      <c r="IVL59" s="74"/>
      <c r="IVM59" s="74"/>
      <c r="IVN59" s="74"/>
      <c r="IVO59" s="74"/>
      <c r="IVP59" s="74"/>
      <c r="IVQ59" s="74"/>
      <c r="IVR59" s="74"/>
      <c r="IVS59" s="74"/>
      <c r="IVT59" s="74"/>
      <c r="IVU59" s="74"/>
      <c r="IVV59" s="74"/>
      <c r="IVW59" s="74"/>
      <c r="IVX59" s="74"/>
      <c r="IVY59" s="74"/>
      <c r="IVZ59" s="74"/>
      <c r="IWA59" s="74"/>
      <c r="IWB59" s="74"/>
      <c r="IWC59" s="74"/>
      <c r="IWD59" s="74"/>
      <c r="IWE59" s="74"/>
      <c r="IWF59" s="74"/>
      <c r="IWG59" s="74"/>
      <c r="IWH59" s="74"/>
      <c r="IWI59" s="74"/>
      <c r="IWJ59" s="74"/>
      <c r="IWK59" s="74"/>
      <c r="IWL59" s="74"/>
      <c r="IWM59" s="74"/>
      <c r="IWN59" s="74"/>
      <c r="IWO59" s="74"/>
      <c r="IWP59" s="74"/>
      <c r="IWQ59" s="74"/>
      <c r="IWR59" s="74"/>
      <c r="IWS59" s="74"/>
      <c r="IWT59" s="74"/>
      <c r="IWU59" s="74"/>
      <c r="IWV59" s="74"/>
      <c r="IWW59" s="74"/>
      <c r="IWX59" s="74"/>
      <c r="IWY59" s="74"/>
      <c r="IWZ59" s="74"/>
      <c r="IXA59" s="74"/>
      <c r="IXB59" s="74"/>
      <c r="IXC59" s="74"/>
      <c r="IXD59" s="74"/>
      <c r="IXE59" s="74"/>
      <c r="IXF59" s="74"/>
      <c r="IXG59" s="74"/>
      <c r="IXH59" s="74"/>
      <c r="IXI59" s="74"/>
      <c r="IXJ59" s="74"/>
      <c r="IXK59" s="74"/>
      <c r="IXL59" s="74"/>
      <c r="IXM59" s="74"/>
      <c r="IXN59" s="74"/>
      <c r="IXO59" s="74"/>
      <c r="IXP59" s="74"/>
      <c r="IXQ59" s="74"/>
      <c r="IXR59" s="74"/>
      <c r="IXS59" s="74"/>
      <c r="IXT59" s="74"/>
      <c r="IXU59" s="74"/>
      <c r="IXV59" s="74"/>
      <c r="IXW59" s="74"/>
      <c r="IXX59" s="74"/>
      <c r="IXY59" s="74"/>
      <c r="IXZ59" s="74"/>
      <c r="IYA59" s="74"/>
      <c r="IYB59" s="74"/>
      <c r="IYC59" s="74"/>
      <c r="IYD59" s="74"/>
      <c r="IYE59" s="74"/>
      <c r="IYF59" s="74"/>
      <c r="IYG59" s="74"/>
      <c r="IYH59" s="74"/>
      <c r="IYI59" s="74"/>
      <c r="IYJ59" s="74"/>
      <c r="IYK59" s="74"/>
      <c r="IYL59" s="74"/>
      <c r="IYM59" s="74"/>
      <c r="IYN59" s="74"/>
      <c r="IYO59" s="74"/>
      <c r="IYP59" s="74"/>
      <c r="IYQ59" s="74"/>
      <c r="IYR59" s="74"/>
      <c r="IYS59" s="74"/>
      <c r="IYT59" s="74"/>
      <c r="IYU59" s="74"/>
      <c r="IYV59" s="74"/>
      <c r="IYW59" s="74"/>
      <c r="IYX59" s="74"/>
      <c r="IYY59" s="74"/>
      <c r="IYZ59" s="74"/>
      <c r="IZA59" s="74"/>
      <c r="IZB59" s="74"/>
      <c r="IZC59" s="74"/>
      <c r="IZD59" s="74"/>
      <c r="IZE59" s="74"/>
      <c r="IZF59" s="74"/>
      <c r="IZG59" s="74"/>
      <c r="IZH59" s="74"/>
      <c r="IZI59" s="74"/>
      <c r="IZJ59" s="74"/>
      <c r="IZK59" s="74"/>
      <c r="IZL59" s="74"/>
      <c r="IZM59" s="74"/>
      <c r="IZN59" s="74"/>
      <c r="IZO59" s="74"/>
      <c r="IZP59" s="74"/>
      <c r="IZQ59" s="74"/>
      <c r="IZR59" s="74"/>
      <c r="IZS59" s="74"/>
      <c r="IZT59" s="74"/>
      <c r="IZU59" s="74"/>
      <c r="IZV59" s="74"/>
      <c r="IZW59" s="74"/>
      <c r="IZX59" s="74"/>
      <c r="IZY59" s="74"/>
      <c r="IZZ59" s="74"/>
      <c r="JAA59" s="74"/>
      <c r="JAB59" s="74"/>
      <c r="JAC59" s="74"/>
      <c r="JAD59" s="74"/>
      <c r="JAE59" s="74"/>
      <c r="JAF59" s="74"/>
      <c r="JAG59" s="74"/>
      <c r="JAH59" s="74"/>
      <c r="JAI59" s="74"/>
      <c r="JAJ59" s="74"/>
      <c r="JAK59" s="74"/>
      <c r="JAL59" s="74"/>
      <c r="JAM59" s="74"/>
      <c r="JAN59" s="74"/>
      <c r="JAO59" s="74"/>
      <c r="JAP59" s="74"/>
      <c r="JAQ59" s="74"/>
      <c r="JAR59" s="74"/>
      <c r="JAS59" s="74"/>
      <c r="JAT59" s="74"/>
      <c r="JAU59" s="74"/>
      <c r="JAV59" s="74"/>
      <c r="JAW59" s="74"/>
      <c r="JAX59" s="74"/>
      <c r="JAY59" s="74"/>
      <c r="JAZ59" s="74"/>
      <c r="JBA59" s="74"/>
      <c r="JBB59" s="74"/>
      <c r="JBC59" s="74"/>
      <c r="JBD59" s="74"/>
      <c r="JBE59" s="74"/>
      <c r="JBF59" s="74"/>
      <c r="JBG59" s="74"/>
      <c r="JBH59" s="74"/>
      <c r="JBI59" s="74"/>
      <c r="JBJ59" s="74"/>
      <c r="JBK59" s="74"/>
      <c r="JBL59" s="74"/>
      <c r="JBM59" s="74"/>
      <c r="JBN59" s="74"/>
      <c r="JBO59" s="74"/>
      <c r="JBP59" s="74"/>
      <c r="JBQ59" s="74"/>
      <c r="JBR59" s="74"/>
      <c r="JBS59" s="74"/>
      <c r="JBT59" s="74"/>
      <c r="JBU59" s="74"/>
      <c r="JBV59" s="74"/>
      <c r="JBW59" s="74"/>
      <c r="JBX59" s="74"/>
      <c r="JBY59" s="74"/>
      <c r="JBZ59" s="74"/>
      <c r="JCA59" s="74"/>
      <c r="JCB59" s="74"/>
      <c r="JCC59" s="74"/>
      <c r="JCD59" s="74"/>
      <c r="JCE59" s="74"/>
      <c r="JCF59" s="74"/>
      <c r="JCG59" s="74"/>
      <c r="JCH59" s="74"/>
      <c r="JCI59" s="74"/>
      <c r="JCJ59" s="74"/>
      <c r="JCK59" s="74"/>
      <c r="JCL59" s="74"/>
      <c r="JCM59" s="74"/>
      <c r="JCN59" s="74"/>
      <c r="JCO59" s="74"/>
      <c r="JCP59" s="74"/>
      <c r="JCQ59" s="74"/>
      <c r="JCR59" s="74"/>
      <c r="JCS59" s="74"/>
      <c r="JCT59" s="74"/>
      <c r="JCU59" s="74"/>
      <c r="JCV59" s="74"/>
      <c r="JCW59" s="74"/>
      <c r="JCX59" s="74"/>
      <c r="JCY59" s="74"/>
      <c r="JCZ59" s="74"/>
      <c r="JDA59" s="74"/>
      <c r="JDB59" s="74"/>
      <c r="JDC59" s="74"/>
      <c r="JDD59" s="74"/>
      <c r="JDE59" s="74"/>
      <c r="JDF59" s="74"/>
      <c r="JDG59" s="74"/>
      <c r="JDH59" s="74"/>
      <c r="JDI59" s="74"/>
      <c r="JDJ59" s="74"/>
      <c r="JDK59" s="74"/>
      <c r="JDL59" s="74"/>
      <c r="JDM59" s="74"/>
      <c r="JDN59" s="74"/>
      <c r="JDO59" s="74"/>
      <c r="JDP59" s="74"/>
      <c r="JDQ59" s="74"/>
      <c r="JDR59" s="74"/>
      <c r="JDS59" s="74"/>
      <c r="JDT59" s="74"/>
      <c r="JDU59" s="74"/>
      <c r="JDV59" s="74"/>
      <c r="JDW59" s="74"/>
      <c r="JDX59" s="74"/>
      <c r="JDY59" s="74"/>
      <c r="JDZ59" s="74"/>
      <c r="JEA59" s="74"/>
      <c r="JEB59" s="74"/>
      <c r="JEC59" s="74"/>
      <c r="JED59" s="74"/>
      <c r="JEE59" s="74"/>
      <c r="JEF59" s="74"/>
      <c r="JEG59" s="74"/>
      <c r="JEH59" s="74"/>
      <c r="JEI59" s="74"/>
      <c r="JEJ59" s="74"/>
      <c r="JEK59" s="74"/>
      <c r="JEL59" s="74"/>
      <c r="JEM59" s="74"/>
      <c r="JEN59" s="74"/>
      <c r="JEO59" s="74"/>
      <c r="JEP59" s="74"/>
      <c r="JEQ59" s="74"/>
      <c r="JER59" s="74"/>
      <c r="JES59" s="74"/>
      <c r="JET59" s="74"/>
      <c r="JEU59" s="74"/>
      <c r="JEV59" s="74"/>
      <c r="JEW59" s="74"/>
      <c r="JEX59" s="74"/>
      <c r="JEY59" s="74"/>
      <c r="JEZ59" s="74"/>
      <c r="JFA59" s="74"/>
      <c r="JFB59" s="74"/>
      <c r="JFC59" s="74"/>
      <c r="JFD59" s="74"/>
      <c r="JFE59" s="74"/>
      <c r="JFF59" s="74"/>
      <c r="JFG59" s="74"/>
      <c r="JFH59" s="74"/>
      <c r="JFI59" s="74"/>
      <c r="JFJ59" s="74"/>
      <c r="JFK59" s="74"/>
      <c r="JFL59" s="74"/>
      <c r="JFM59" s="74"/>
      <c r="JFN59" s="74"/>
      <c r="JFO59" s="74"/>
      <c r="JFP59" s="74"/>
      <c r="JFQ59" s="74"/>
      <c r="JFR59" s="74"/>
      <c r="JFS59" s="74"/>
      <c r="JFT59" s="74"/>
      <c r="JFU59" s="74"/>
      <c r="JFV59" s="74"/>
      <c r="JFW59" s="74"/>
      <c r="JFX59" s="74"/>
      <c r="JFY59" s="74"/>
      <c r="JFZ59" s="74"/>
      <c r="JGA59" s="74"/>
      <c r="JGB59" s="74"/>
      <c r="JGC59" s="74"/>
      <c r="JGD59" s="74"/>
      <c r="JGE59" s="74"/>
      <c r="JGF59" s="74"/>
      <c r="JGG59" s="74"/>
      <c r="JGH59" s="74"/>
      <c r="JGI59" s="74"/>
      <c r="JGJ59" s="74"/>
      <c r="JGK59" s="74"/>
      <c r="JGL59" s="74"/>
      <c r="JGM59" s="74"/>
      <c r="JGN59" s="74"/>
      <c r="JGO59" s="74"/>
      <c r="JGP59" s="74"/>
      <c r="JGQ59" s="74"/>
      <c r="JGR59" s="74"/>
      <c r="JGS59" s="74"/>
      <c r="JGT59" s="74"/>
      <c r="JGU59" s="74"/>
      <c r="JGV59" s="74"/>
      <c r="JGW59" s="74"/>
      <c r="JGX59" s="74"/>
      <c r="JGY59" s="74"/>
      <c r="JGZ59" s="74"/>
      <c r="JHA59" s="74"/>
      <c r="JHB59" s="74"/>
      <c r="JHC59" s="74"/>
      <c r="JHD59" s="74"/>
      <c r="JHE59" s="74"/>
      <c r="JHF59" s="74"/>
      <c r="JHG59" s="74"/>
      <c r="JHH59" s="74"/>
      <c r="JHI59" s="74"/>
      <c r="JHJ59" s="74"/>
      <c r="JHK59" s="74"/>
      <c r="JHL59" s="74"/>
      <c r="JHM59" s="74"/>
      <c r="JHN59" s="74"/>
      <c r="JHO59" s="74"/>
      <c r="JHP59" s="74"/>
      <c r="JHQ59" s="74"/>
      <c r="JHR59" s="74"/>
      <c r="JHS59" s="74"/>
      <c r="JHT59" s="74"/>
      <c r="JHU59" s="74"/>
      <c r="JHV59" s="74"/>
      <c r="JHW59" s="74"/>
      <c r="JHX59" s="74"/>
      <c r="JHY59" s="74"/>
      <c r="JHZ59" s="74"/>
      <c r="JIA59" s="74"/>
      <c r="JIB59" s="74"/>
      <c r="JIC59" s="74"/>
      <c r="JID59" s="74"/>
      <c r="JIE59" s="74"/>
      <c r="JIF59" s="74"/>
      <c r="JIG59" s="74"/>
      <c r="JIH59" s="74"/>
      <c r="JII59" s="74"/>
      <c r="JIJ59" s="74"/>
      <c r="JIK59" s="74"/>
      <c r="JIL59" s="74"/>
      <c r="JIM59" s="74"/>
      <c r="JIN59" s="74"/>
      <c r="JIO59" s="74"/>
      <c r="JIP59" s="74"/>
      <c r="JIQ59" s="74"/>
      <c r="JIR59" s="74"/>
      <c r="JIS59" s="74"/>
      <c r="JIT59" s="74"/>
      <c r="JIU59" s="74"/>
      <c r="JIV59" s="74"/>
      <c r="JIW59" s="74"/>
      <c r="JIX59" s="74"/>
      <c r="JIY59" s="74"/>
      <c r="JIZ59" s="74"/>
      <c r="JJA59" s="74"/>
      <c r="JJB59" s="74"/>
      <c r="JJC59" s="74"/>
      <c r="JJD59" s="74"/>
      <c r="JJE59" s="74"/>
      <c r="JJF59" s="74"/>
      <c r="JJG59" s="74"/>
      <c r="JJH59" s="74"/>
      <c r="JJI59" s="74"/>
      <c r="JJJ59" s="74"/>
      <c r="JJK59" s="74"/>
      <c r="JJL59" s="74"/>
      <c r="JJM59" s="74"/>
      <c r="JJN59" s="74"/>
      <c r="JJO59" s="74"/>
      <c r="JJP59" s="74"/>
      <c r="JJQ59" s="74"/>
      <c r="JJR59" s="74"/>
      <c r="JJS59" s="74"/>
      <c r="JJT59" s="74"/>
      <c r="JJU59" s="74"/>
      <c r="JJV59" s="74"/>
      <c r="JJW59" s="74"/>
      <c r="JJX59" s="74"/>
      <c r="JJY59" s="74"/>
      <c r="JJZ59" s="74"/>
      <c r="JKA59" s="74"/>
      <c r="JKB59" s="74"/>
      <c r="JKC59" s="74"/>
      <c r="JKD59" s="74"/>
      <c r="JKE59" s="74"/>
      <c r="JKF59" s="74"/>
      <c r="JKG59" s="74"/>
      <c r="JKH59" s="74"/>
      <c r="JKI59" s="74"/>
      <c r="JKJ59" s="74"/>
      <c r="JKK59" s="74"/>
      <c r="JKL59" s="74"/>
      <c r="JKM59" s="74"/>
      <c r="JKN59" s="74"/>
      <c r="JKO59" s="74"/>
      <c r="JKP59" s="74"/>
      <c r="JKQ59" s="74"/>
      <c r="JKR59" s="74"/>
      <c r="JKS59" s="74"/>
      <c r="JKT59" s="74"/>
      <c r="JKU59" s="74"/>
      <c r="JKV59" s="74"/>
      <c r="JKW59" s="74"/>
      <c r="JKX59" s="74"/>
      <c r="JKY59" s="74"/>
      <c r="JKZ59" s="74"/>
      <c r="JLA59" s="74"/>
      <c r="JLB59" s="74"/>
      <c r="JLC59" s="74"/>
      <c r="JLD59" s="74"/>
      <c r="JLE59" s="74"/>
      <c r="JLF59" s="74"/>
      <c r="JLG59" s="74"/>
      <c r="JLH59" s="74"/>
      <c r="JLI59" s="74"/>
      <c r="JLJ59" s="74"/>
      <c r="JLK59" s="74"/>
      <c r="JLL59" s="74"/>
      <c r="JLM59" s="74"/>
      <c r="JLN59" s="74"/>
      <c r="JLO59" s="74"/>
      <c r="JLP59" s="74"/>
      <c r="JLQ59" s="74"/>
      <c r="JLR59" s="74"/>
      <c r="JLS59" s="74"/>
      <c r="JLT59" s="74"/>
      <c r="JLU59" s="74"/>
      <c r="JLV59" s="74"/>
      <c r="JLW59" s="74"/>
      <c r="JLX59" s="74"/>
      <c r="JLY59" s="74"/>
      <c r="JLZ59" s="74"/>
      <c r="JMA59" s="74"/>
      <c r="JMB59" s="74"/>
      <c r="JMC59" s="74"/>
      <c r="JMD59" s="74"/>
      <c r="JME59" s="74"/>
      <c r="JMF59" s="74"/>
      <c r="JMG59" s="74"/>
      <c r="JMH59" s="74"/>
      <c r="JMI59" s="74"/>
      <c r="JMJ59" s="74"/>
      <c r="JMK59" s="74"/>
      <c r="JML59" s="74"/>
      <c r="JMM59" s="74"/>
      <c r="JMN59" s="74"/>
      <c r="JMO59" s="74"/>
      <c r="JMP59" s="74"/>
      <c r="JMQ59" s="74"/>
      <c r="JMR59" s="74"/>
      <c r="JMS59" s="74"/>
      <c r="JMT59" s="74"/>
      <c r="JMU59" s="74"/>
      <c r="JMV59" s="74"/>
      <c r="JMW59" s="74"/>
      <c r="JMX59" s="74"/>
      <c r="JMY59" s="74"/>
      <c r="JMZ59" s="74"/>
      <c r="JNA59" s="74"/>
      <c r="JNB59" s="74"/>
      <c r="JNC59" s="74"/>
      <c r="JND59" s="74"/>
      <c r="JNE59" s="74"/>
      <c r="JNF59" s="74"/>
      <c r="JNG59" s="74"/>
      <c r="JNH59" s="74"/>
      <c r="JNI59" s="74"/>
      <c r="JNJ59" s="74"/>
      <c r="JNK59" s="74"/>
      <c r="JNL59" s="74"/>
      <c r="JNM59" s="74"/>
      <c r="JNN59" s="74"/>
      <c r="JNO59" s="74"/>
      <c r="JNP59" s="74"/>
      <c r="JNQ59" s="74"/>
      <c r="JNR59" s="74"/>
      <c r="JNS59" s="74"/>
      <c r="JNT59" s="74"/>
      <c r="JNU59" s="74"/>
      <c r="JNV59" s="74"/>
      <c r="JNW59" s="74"/>
      <c r="JNX59" s="74"/>
      <c r="JNY59" s="74"/>
      <c r="JNZ59" s="74"/>
      <c r="JOA59" s="74"/>
      <c r="JOB59" s="74"/>
      <c r="JOC59" s="74"/>
      <c r="JOD59" s="74"/>
      <c r="JOE59" s="74"/>
      <c r="JOF59" s="74"/>
      <c r="JOG59" s="74"/>
      <c r="JOH59" s="74"/>
      <c r="JOI59" s="74"/>
      <c r="JOJ59" s="74"/>
      <c r="JOK59" s="74"/>
      <c r="JOL59" s="74"/>
      <c r="JOM59" s="74"/>
      <c r="JON59" s="74"/>
      <c r="JOO59" s="74"/>
      <c r="JOP59" s="74"/>
      <c r="JOQ59" s="74"/>
      <c r="JOR59" s="74"/>
      <c r="JOS59" s="74"/>
      <c r="JOT59" s="74"/>
      <c r="JOU59" s="74"/>
      <c r="JOV59" s="74"/>
      <c r="JOW59" s="74"/>
      <c r="JOX59" s="74"/>
      <c r="JOY59" s="74"/>
      <c r="JOZ59" s="74"/>
      <c r="JPA59" s="74"/>
      <c r="JPB59" s="74"/>
      <c r="JPC59" s="74"/>
      <c r="JPD59" s="74"/>
      <c r="JPE59" s="74"/>
      <c r="JPF59" s="74"/>
      <c r="JPG59" s="74"/>
      <c r="JPH59" s="74"/>
      <c r="JPI59" s="74"/>
      <c r="JPJ59" s="74"/>
      <c r="JPK59" s="74"/>
      <c r="JPL59" s="74"/>
      <c r="JPM59" s="74"/>
      <c r="JPN59" s="74"/>
      <c r="JPO59" s="74"/>
      <c r="JPP59" s="74"/>
      <c r="JPQ59" s="74"/>
      <c r="JPR59" s="74"/>
      <c r="JPS59" s="74"/>
      <c r="JPT59" s="74"/>
      <c r="JPU59" s="74"/>
      <c r="JPV59" s="74"/>
      <c r="JPW59" s="74"/>
      <c r="JPX59" s="74"/>
      <c r="JPY59" s="74"/>
      <c r="JPZ59" s="74"/>
      <c r="JQA59" s="74"/>
      <c r="JQB59" s="74"/>
      <c r="JQC59" s="74"/>
      <c r="JQD59" s="74"/>
      <c r="JQE59" s="74"/>
      <c r="JQF59" s="74"/>
      <c r="JQG59" s="74"/>
      <c r="JQH59" s="74"/>
      <c r="JQI59" s="74"/>
      <c r="JQJ59" s="74"/>
      <c r="JQK59" s="74"/>
      <c r="JQL59" s="74"/>
      <c r="JQM59" s="74"/>
      <c r="JQN59" s="74"/>
      <c r="JQO59" s="74"/>
      <c r="JQP59" s="74"/>
      <c r="JQQ59" s="74"/>
      <c r="JQR59" s="74"/>
      <c r="JQS59" s="74"/>
      <c r="JQT59" s="74"/>
      <c r="JQU59" s="74"/>
      <c r="JQV59" s="74"/>
      <c r="JQW59" s="74"/>
      <c r="JQX59" s="74"/>
      <c r="JQY59" s="74"/>
      <c r="JQZ59" s="74"/>
      <c r="JRA59" s="74"/>
      <c r="JRB59" s="74"/>
      <c r="JRC59" s="74"/>
      <c r="JRD59" s="74"/>
      <c r="JRE59" s="74"/>
      <c r="JRF59" s="74"/>
      <c r="JRG59" s="74"/>
      <c r="JRH59" s="74"/>
      <c r="JRI59" s="74"/>
      <c r="JRJ59" s="74"/>
      <c r="JRK59" s="74"/>
      <c r="JRL59" s="74"/>
      <c r="JRM59" s="74"/>
      <c r="JRN59" s="74"/>
      <c r="JRO59" s="74"/>
      <c r="JRP59" s="74"/>
      <c r="JRQ59" s="74"/>
      <c r="JRR59" s="74"/>
      <c r="JRS59" s="74"/>
      <c r="JRT59" s="74"/>
      <c r="JRU59" s="74"/>
      <c r="JRV59" s="74"/>
      <c r="JRW59" s="74"/>
      <c r="JRX59" s="74"/>
      <c r="JRY59" s="74"/>
      <c r="JRZ59" s="74"/>
      <c r="JSA59" s="74"/>
      <c r="JSB59" s="74"/>
      <c r="JSC59" s="74"/>
      <c r="JSD59" s="74"/>
      <c r="JSE59" s="74"/>
      <c r="JSF59" s="74"/>
      <c r="JSG59" s="74"/>
      <c r="JSH59" s="74"/>
      <c r="JSI59" s="74"/>
      <c r="JSJ59" s="74"/>
      <c r="JSK59" s="74"/>
      <c r="JSL59" s="74"/>
      <c r="JSM59" s="74"/>
      <c r="JSN59" s="74"/>
      <c r="JSO59" s="74"/>
      <c r="JSP59" s="74"/>
      <c r="JSQ59" s="74"/>
      <c r="JSR59" s="74"/>
      <c r="JSS59" s="74"/>
      <c r="JST59" s="74"/>
      <c r="JSU59" s="74"/>
      <c r="JSV59" s="74"/>
      <c r="JSW59" s="74"/>
      <c r="JSX59" s="74"/>
      <c r="JSY59" s="74"/>
      <c r="JSZ59" s="74"/>
      <c r="JTA59" s="74"/>
      <c r="JTB59" s="74"/>
      <c r="JTC59" s="74"/>
      <c r="JTD59" s="74"/>
      <c r="JTE59" s="74"/>
      <c r="JTF59" s="74"/>
      <c r="JTG59" s="74"/>
      <c r="JTH59" s="74"/>
      <c r="JTI59" s="74"/>
      <c r="JTJ59" s="74"/>
      <c r="JTK59" s="74"/>
      <c r="JTL59" s="74"/>
      <c r="JTM59" s="74"/>
      <c r="JTN59" s="74"/>
      <c r="JTO59" s="74"/>
      <c r="JTP59" s="74"/>
      <c r="JTQ59" s="74"/>
      <c r="JTR59" s="74"/>
      <c r="JTS59" s="74"/>
      <c r="JTT59" s="74"/>
      <c r="JTU59" s="74"/>
      <c r="JTV59" s="74"/>
      <c r="JTW59" s="74"/>
      <c r="JTX59" s="74"/>
      <c r="JTY59" s="74"/>
      <c r="JTZ59" s="74"/>
      <c r="JUA59" s="74"/>
      <c r="JUB59" s="74"/>
      <c r="JUC59" s="74"/>
      <c r="JUD59" s="74"/>
      <c r="JUE59" s="74"/>
      <c r="JUF59" s="74"/>
      <c r="JUG59" s="74"/>
      <c r="JUH59" s="74"/>
      <c r="JUI59" s="74"/>
      <c r="JUJ59" s="74"/>
      <c r="JUK59" s="74"/>
      <c r="JUL59" s="74"/>
      <c r="JUM59" s="74"/>
      <c r="JUN59" s="74"/>
      <c r="JUO59" s="74"/>
      <c r="JUP59" s="74"/>
      <c r="JUQ59" s="74"/>
      <c r="JUR59" s="74"/>
      <c r="JUS59" s="74"/>
      <c r="JUT59" s="74"/>
      <c r="JUU59" s="74"/>
      <c r="JUV59" s="74"/>
      <c r="JUW59" s="74"/>
      <c r="JUX59" s="74"/>
      <c r="JUY59" s="74"/>
      <c r="JUZ59" s="74"/>
      <c r="JVA59" s="74"/>
      <c r="JVB59" s="74"/>
      <c r="JVC59" s="74"/>
      <c r="JVD59" s="74"/>
      <c r="JVE59" s="74"/>
      <c r="JVF59" s="74"/>
      <c r="JVG59" s="74"/>
      <c r="JVH59" s="74"/>
      <c r="JVI59" s="74"/>
      <c r="JVJ59" s="74"/>
      <c r="JVK59" s="74"/>
      <c r="JVL59" s="74"/>
      <c r="JVM59" s="74"/>
      <c r="JVN59" s="74"/>
      <c r="JVO59" s="74"/>
      <c r="JVP59" s="74"/>
      <c r="JVQ59" s="74"/>
      <c r="JVR59" s="74"/>
      <c r="JVS59" s="74"/>
      <c r="JVT59" s="74"/>
      <c r="JVU59" s="74"/>
      <c r="JVV59" s="74"/>
      <c r="JVW59" s="74"/>
      <c r="JVX59" s="74"/>
      <c r="JVY59" s="74"/>
      <c r="JVZ59" s="74"/>
      <c r="JWA59" s="74"/>
      <c r="JWB59" s="74"/>
      <c r="JWC59" s="74"/>
      <c r="JWD59" s="74"/>
      <c r="JWE59" s="74"/>
      <c r="JWF59" s="74"/>
      <c r="JWG59" s="74"/>
      <c r="JWH59" s="74"/>
      <c r="JWI59" s="74"/>
      <c r="JWJ59" s="74"/>
      <c r="JWK59" s="74"/>
      <c r="JWL59" s="74"/>
      <c r="JWM59" s="74"/>
      <c r="JWN59" s="74"/>
      <c r="JWO59" s="74"/>
      <c r="JWP59" s="74"/>
      <c r="JWQ59" s="74"/>
      <c r="JWR59" s="74"/>
      <c r="JWS59" s="74"/>
      <c r="JWT59" s="74"/>
      <c r="JWU59" s="74"/>
      <c r="JWV59" s="74"/>
      <c r="JWW59" s="74"/>
      <c r="JWX59" s="74"/>
      <c r="JWY59" s="74"/>
      <c r="JWZ59" s="74"/>
      <c r="JXA59" s="74"/>
      <c r="JXB59" s="74"/>
      <c r="JXC59" s="74"/>
      <c r="JXD59" s="74"/>
      <c r="JXE59" s="74"/>
      <c r="JXF59" s="74"/>
      <c r="JXG59" s="74"/>
      <c r="JXH59" s="74"/>
      <c r="JXI59" s="74"/>
      <c r="JXJ59" s="74"/>
      <c r="JXK59" s="74"/>
      <c r="JXL59" s="74"/>
      <c r="JXM59" s="74"/>
      <c r="JXN59" s="74"/>
      <c r="JXO59" s="74"/>
      <c r="JXP59" s="74"/>
      <c r="JXQ59" s="74"/>
      <c r="JXR59" s="74"/>
      <c r="JXS59" s="74"/>
      <c r="JXT59" s="74"/>
      <c r="JXU59" s="74"/>
      <c r="JXV59" s="74"/>
      <c r="JXW59" s="74"/>
      <c r="JXX59" s="74"/>
      <c r="JXY59" s="74"/>
      <c r="JXZ59" s="74"/>
      <c r="JYA59" s="74"/>
      <c r="JYB59" s="74"/>
      <c r="JYC59" s="74"/>
      <c r="JYD59" s="74"/>
      <c r="JYE59" s="74"/>
      <c r="JYF59" s="74"/>
      <c r="JYG59" s="74"/>
      <c r="JYH59" s="74"/>
      <c r="JYI59" s="74"/>
      <c r="JYJ59" s="74"/>
      <c r="JYK59" s="74"/>
      <c r="JYL59" s="74"/>
      <c r="JYM59" s="74"/>
      <c r="JYN59" s="74"/>
      <c r="JYO59" s="74"/>
      <c r="JYP59" s="74"/>
      <c r="JYQ59" s="74"/>
      <c r="JYR59" s="74"/>
      <c r="JYS59" s="74"/>
      <c r="JYT59" s="74"/>
      <c r="JYU59" s="74"/>
      <c r="JYV59" s="74"/>
      <c r="JYW59" s="74"/>
      <c r="JYX59" s="74"/>
      <c r="JYY59" s="74"/>
      <c r="JYZ59" s="74"/>
      <c r="JZA59" s="74"/>
      <c r="JZB59" s="74"/>
      <c r="JZC59" s="74"/>
      <c r="JZD59" s="74"/>
      <c r="JZE59" s="74"/>
      <c r="JZF59" s="74"/>
      <c r="JZG59" s="74"/>
      <c r="JZH59" s="74"/>
      <c r="JZI59" s="74"/>
      <c r="JZJ59" s="74"/>
      <c r="JZK59" s="74"/>
      <c r="JZL59" s="74"/>
      <c r="JZM59" s="74"/>
      <c r="JZN59" s="74"/>
      <c r="JZO59" s="74"/>
      <c r="JZP59" s="74"/>
      <c r="JZQ59" s="74"/>
      <c r="JZR59" s="74"/>
      <c r="JZS59" s="74"/>
      <c r="JZT59" s="74"/>
      <c r="JZU59" s="74"/>
      <c r="JZV59" s="74"/>
      <c r="JZW59" s="74"/>
      <c r="JZX59" s="74"/>
      <c r="JZY59" s="74"/>
      <c r="JZZ59" s="74"/>
      <c r="KAA59" s="74"/>
      <c r="KAB59" s="74"/>
      <c r="KAC59" s="74"/>
      <c r="KAD59" s="74"/>
      <c r="KAE59" s="74"/>
      <c r="KAF59" s="74"/>
      <c r="KAG59" s="74"/>
      <c r="KAH59" s="74"/>
      <c r="KAI59" s="74"/>
      <c r="KAJ59" s="74"/>
      <c r="KAK59" s="74"/>
      <c r="KAL59" s="74"/>
      <c r="KAM59" s="74"/>
      <c r="KAN59" s="74"/>
      <c r="KAO59" s="74"/>
      <c r="KAP59" s="74"/>
      <c r="KAQ59" s="74"/>
      <c r="KAR59" s="74"/>
      <c r="KAS59" s="74"/>
      <c r="KAT59" s="74"/>
      <c r="KAU59" s="74"/>
      <c r="KAV59" s="74"/>
      <c r="KAW59" s="74"/>
      <c r="KAX59" s="74"/>
      <c r="KAY59" s="74"/>
      <c r="KAZ59" s="74"/>
      <c r="KBA59" s="74"/>
      <c r="KBB59" s="74"/>
      <c r="KBC59" s="74"/>
      <c r="KBD59" s="74"/>
      <c r="KBE59" s="74"/>
      <c r="KBF59" s="74"/>
      <c r="KBG59" s="74"/>
      <c r="KBH59" s="74"/>
      <c r="KBI59" s="74"/>
      <c r="KBJ59" s="74"/>
      <c r="KBK59" s="74"/>
      <c r="KBL59" s="74"/>
      <c r="KBM59" s="74"/>
      <c r="KBN59" s="74"/>
      <c r="KBO59" s="74"/>
      <c r="KBP59" s="74"/>
      <c r="KBQ59" s="74"/>
      <c r="KBR59" s="74"/>
      <c r="KBS59" s="74"/>
      <c r="KBT59" s="74"/>
      <c r="KBU59" s="74"/>
      <c r="KBV59" s="74"/>
      <c r="KBW59" s="74"/>
      <c r="KBX59" s="74"/>
      <c r="KBY59" s="74"/>
      <c r="KBZ59" s="74"/>
      <c r="KCA59" s="74"/>
      <c r="KCB59" s="74"/>
      <c r="KCC59" s="74"/>
      <c r="KCD59" s="74"/>
      <c r="KCE59" s="74"/>
      <c r="KCF59" s="74"/>
      <c r="KCG59" s="74"/>
      <c r="KCH59" s="74"/>
      <c r="KCI59" s="74"/>
      <c r="KCJ59" s="74"/>
      <c r="KCK59" s="74"/>
      <c r="KCL59" s="74"/>
      <c r="KCM59" s="74"/>
      <c r="KCN59" s="74"/>
      <c r="KCO59" s="74"/>
      <c r="KCP59" s="74"/>
      <c r="KCQ59" s="74"/>
      <c r="KCR59" s="74"/>
      <c r="KCS59" s="74"/>
      <c r="KCT59" s="74"/>
      <c r="KCU59" s="74"/>
      <c r="KCV59" s="74"/>
      <c r="KCW59" s="74"/>
      <c r="KCX59" s="74"/>
      <c r="KCY59" s="74"/>
      <c r="KCZ59" s="74"/>
      <c r="KDA59" s="74"/>
      <c r="KDB59" s="74"/>
      <c r="KDC59" s="74"/>
      <c r="KDD59" s="74"/>
      <c r="KDE59" s="74"/>
      <c r="KDF59" s="74"/>
      <c r="KDG59" s="74"/>
      <c r="KDH59" s="74"/>
      <c r="KDI59" s="74"/>
      <c r="KDJ59" s="74"/>
      <c r="KDK59" s="74"/>
      <c r="KDL59" s="74"/>
      <c r="KDM59" s="74"/>
      <c r="KDN59" s="74"/>
      <c r="KDO59" s="74"/>
      <c r="KDP59" s="74"/>
      <c r="KDQ59" s="74"/>
      <c r="KDR59" s="74"/>
      <c r="KDS59" s="74"/>
      <c r="KDT59" s="74"/>
      <c r="KDU59" s="74"/>
      <c r="KDV59" s="74"/>
      <c r="KDW59" s="74"/>
      <c r="KDX59" s="74"/>
      <c r="KDY59" s="74"/>
      <c r="KDZ59" s="74"/>
      <c r="KEA59" s="74"/>
      <c r="KEB59" s="74"/>
      <c r="KEC59" s="74"/>
      <c r="KED59" s="74"/>
      <c r="KEE59" s="74"/>
      <c r="KEF59" s="74"/>
      <c r="KEG59" s="74"/>
      <c r="KEH59" s="74"/>
      <c r="KEI59" s="74"/>
      <c r="KEJ59" s="74"/>
      <c r="KEK59" s="74"/>
      <c r="KEL59" s="74"/>
      <c r="KEM59" s="74"/>
      <c r="KEN59" s="74"/>
      <c r="KEO59" s="74"/>
      <c r="KEP59" s="74"/>
      <c r="KEQ59" s="74"/>
      <c r="KER59" s="74"/>
      <c r="KES59" s="74"/>
      <c r="KET59" s="74"/>
      <c r="KEU59" s="74"/>
      <c r="KEV59" s="74"/>
      <c r="KEW59" s="74"/>
      <c r="KEX59" s="74"/>
      <c r="KEY59" s="74"/>
      <c r="KEZ59" s="74"/>
      <c r="KFA59" s="74"/>
      <c r="KFB59" s="74"/>
      <c r="KFC59" s="74"/>
      <c r="KFD59" s="74"/>
      <c r="KFE59" s="74"/>
      <c r="KFF59" s="74"/>
      <c r="KFG59" s="74"/>
      <c r="KFH59" s="74"/>
      <c r="KFI59" s="74"/>
      <c r="KFJ59" s="74"/>
      <c r="KFK59" s="74"/>
      <c r="KFL59" s="74"/>
      <c r="KFM59" s="74"/>
      <c r="KFN59" s="74"/>
      <c r="KFO59" s="74"/>
      <c r="KFP59" s="74"/>
      <c r="KFQ59" s="74"/>
      <c r="KFR59" s="74"/>
      <c r="KFS59" s="74"/>
      <c r="KFT59" s="74"/>
      <c r="KFU59" s="74"/>
      <c r="KFV59" s="74"/>
      <c r="KFW59" s="74"/>
      <c r="KFX59" s="74"/>
      <c r="KFY59" s="74"/>
      <c r="KFZ59" s="74"/>
      <c r="KGA59" s="74"/>
      <c r="KGB59" s="74"/>
      <c r="KGC59" s="74"/>
      <c r="KGD59" s="74"/>
      <c r="KGE59" s="74"/>
      <c r="KGF59" s="74"/>
      <c r="KGG59" s="74"/>
      <c r="KGH59" s="74"/>
      <c r="KGI59" s="74"/>
      <c r="KGJ59" s="74"/>
      <c r="KGK59" s="74"/>
      <c r="KGL59" s="74"/>
      <c r="KGM59" s="74"/>
      <c r="KGN59" s="74"/>
      <c r="KGO59" s="74"/>
      <c r="KGP59" s="74"/>
      <c r="KGQ59" s="74"/>
      <c r="KGR59" s="74"/>
      <c r="KGS59" s="74"/>
      <c r="KGT59" s="74"/>
      <c r="KGU59" s="74"/>
      <c r="KGV59" s="74"/>
      <c r="KGW59" s="74"/>
      <c r="KGX59" s="74"/>
      <c r="KGY59" s="74"/>
      <c r="KGZ59" s="74"/>
      <c r="KHA59" s="74"/>
      <c r="KHB59" s="74"/>
      <c r="KHC59" s="74"/>
      <c r="KHD59" s="74"/>
      <c r="KHE59" s="74"/>
      <c r="KHF59" s="74"/>
      <c r="KHG59" s="74"/>
      <c r="KHH59" s="74"/>
      <c r="KHI59" s="74"/>
      <c r="KHJ59" s="74"/>
      <c r="KHK59" s="74"/>
      <c r="KHL59" s="74"/>
      <c r="KHM59" s="74"/>
      <c r="KHN59" s="74"/>
      <c r="KHO59" s="74"/>
      <c r="KHP59" s="74"/>
      <c r="KHQ59" s="74"/>
      <c r="KHR59" s="74"/>
      <c r="KHS59" s="74"/>
      <c r="KHT59" s="74"/>
      <c r="KHU59" s="74"/>
      <c r="KHV59" s="74"/>
      <c r="KHW59" s="74"/>
      <c r="KHX59" s="74"/>
      <c r="KHY59" s="74"/>
      <c r="KHZ59" s="74"/>
      <c r="KIA59" s="74"/>
      <c r="KIB59" s="74"/>
      <c r="KIC59" s="74"/>
      <c r="KID59" s="74"/>
      <c r="KIE59" s="74"/>
      <c r="KIF59" s="74"/>
      <c r="KIG59" s="74"/>
      <c r="KIH59" s="74"/>
      <c r="KII59" s="74"/>
      <c r="KIJ59" s="74"/>
      <c r="KIK59" s="74"/>
      <c r="KIL59" s="74"/>
      <c r="KIM59" s="74"/>
      <c r="KIN59" s="74"/>
      <c r="KIO59" s="74"/>
      <c r="KIP59" s="74"/>
      <c r="KIQ59" s="74"/>
      <c r="KIR59" s="74"/>
      <c r="KIS59" s="74"/>
      <c r="KIT59" s="74"/>
      <c r="KIU59" s="74"/>
      <c r="KIV59" s="74"/>
      <c r="KIW59" s="74"/>
      <c r="KIX59" s="74"/>
      <c r="KIY59" s="74"/>
      <c r="KIZ59" s="74"/>
      <c r="KJA59" s="74"/>
      <c r="KJB59" s="74"/>
      <c r="KJC59" s="74"/>
      <c r="KJD59" s="74"/>
      <c r="KJE59" s="74"/>
      <c r="KJF59" s="74"/>
      <c r="KJG59" s="74"/>
      <c r="KJH59" s="74"/>
      <c r="KJI59" s="74"/>
      <c r="KJJ59" s="74"/>
      <c r="KJK59" s="74"/>
      <c r="KJL59" s="74"/>
      <c r="KJM59" s="74"/>
      <c r="KJN59" s="74"/>
      <c r="KJO59" s="74"/>
      <c r="KJP59" s="74"/>
      <c r="KJQ59" s="74"/>
      <c r="KJR59" s="74"/>
      <c r="KJS59" s="74"/>
      <c r="KJT59" s="74"/>
      <c r="KJU59" s="74"/>
      <c r="KJV59" s="74"/>
      <c r="KJW59" s="74"/>
      <c r="KJX59" s="74"/>
      <c r="KJY59" s="74"/>
      <c r="KJZ59" s="74"/>
      <c r="KKA59" s="74"/>
      <c r="KKB59" s="74"/>
      <c r="KKC59" s="74"/>
      <c r="KKD59" s="74"/>
      <c r="KKE59" s="74"/>
      <c r="KKF59" s="74"/>
      <c r="KKG59" s="74"/>
      <c r="KKH59" s="74"/>
      <c r="KKI59" s="74"/>
      <c r="KKJ59" s="74"/>
      <c r="KKK59" s="74"/>
      <c r="KKL59" s="74"/>
      <c r="KKM59" s="74"/>
      <c r="KKN59" s="74"/>
      <c r="KKO59" s="74"/>
      <c r="KKP59" s="74"/>
      <c r="KKQ59" s="74"/>
      <c r="KKR59" s="74"/>
      <c r="KKS59" s="74"/>
      <c r="KKT59" s="74"/>
      <c r="KKU59" s="74"/>
      <c r="KKV59" s="74"/>
      <c r="KKW59" s="74"/>
      <c r="KKX59" s="74"/>
      <c r="KKY59" s="74"/>
      <c r="KKZ59" s="74"/>
      <c r="KLA59" s="74"/>
      <c r="KLB59" s="74"/>
      <c r="KLC59" s="74"/>
      <c r="KLD59" s="74"/>
      <c r="KLE59" s="74"/>
      <c r="KLF59" s="74"/>
      <c r="KLG59" s="74"/>
      <c r="KLH59" s="74"/>
      <c r="KLI59" s="74"/>
      <c r="KLJ59" s="74"/>
      <c r="KLK59" s="74"/>
      <c r="KLL59" s="74"/>
      <c r="KLM59" s="74"/>
      <c r="KLN59" s="74"/>
      <c r="KLO59" s="74"/>
      <c r="KLP59" s="74"/>
      <c r="KLQ59" s="74"/>
      <c r="KLR59" s="74"/>
      <c r="KLS59" s="74"/>
      <c r="KLT59" s="74"/>
      <c r="KLU59" s="74"/>
      <c r="KLV59" s="74"/>
      <c r="KLW59" s="74"/>
      <c r="KLX59" s="74"/>
      <c r="KLY59" s="74"/>
      <c r="KLZ59" s="74"/>
      <c r="KMA59" s="74"/>
      <c r="KMB59" s="74"/>
      <c r="KMC59" s="74"/>
      <c r="KMD59" s="74"/>
      <c r="KME59" s="74"/>
      <c r="KMF59" s="74"/>
      <c r="KMG59" s="74"/>
      <c r="KMH59" s="74"/>
      <c r="KMI59" s="74"/>
      <c r="KMJ59" s="74"/>
      <c r="KMK59" s="74"/>
      <c r="KML59" s="74"/>
      <c r="KMM59" s="74"/>
      <c r="KMN59" s="74"/>
      <c r="KMO59" s="74"/>
      <c r="KMP59" s="74"/>
      <c r="KMQ59" s="74"/>
      <c r="KMR59" s="74"/>
      <c r="KMS59" s="74"/>
      <c r="KMT59" s="74"/>
      <c r="KMU59" s="74"/>
      <c r="KMV59" s="74"/>
      <c r="KMW59" s="74"/>
      <c r="KMX59" s="74"/>
      <c r="KMY59" s="74"/>
      <c r="KMZ59" s="74"/>
      <c r="KNA59" s="74"/>
      <c r="KNB59" s="74"/>
      <c r="KNC59" s="74"/>
      <c r="KND59" s="74"/>
      <c r="KNE59" s="74"/>
      <c r="KNF59" s="74"/>
      <c r="KNG59" s="74"/>
      <c r="KNH59" s="74"/>
      <c r="KNI59" s="74"/>
      <c r="KNJ59" s="74"/>
      <c r="KNK59" s="74"/>
      <c r="KNL59" s="74"/>
      <c r="KNM59" s="74"/>
      <c r="KNN59" s="74"/>
      <c r="KNO59" s="74"/>
      <c r="KNP59" s="74"/>
      <c r="KNQ59" s="74"/>
      <c r="KNR59" s="74"/>
      <c r="KNS59" s="74"/>
      <c r="KNT59" s="74"/>
      <c r="KNU59" s="74"/>
      <c r="KNV59" s="74"/>
      <c r="KNW59" s="74"/>
      <c r="KNX59" s="74"/>
      <c r="KNY59" s="74"/>
      <c r="KNZ59" s="74"/>
      <c r="KOA59" s="74"/>
      <c r="KOB59" s="74"/>
      <c r="KOC59" s="74"/>
      <c r="KOD59" s="74"/>
      <c r="KOE59" s="74"/>
      <c r="KOF59" s="74"/>
      <c r="KOG59" s="74"/>
      <c r="KOH59" s="74"/>
      <c r="KOI59" s="74"/>
      <c r="KOJ59" s="74"/>
      <c r="KOK59" s="74"/>
      <c r="KOL59" s="74"/>
      <c r="KOM59" s="74"/>
      <c r="KON59" s="74"/>
      <c r="KOO59" s="74"/>
      <c r="KOP59" s="74"/>
      <c r="KOQ59" s="74"/>
      <c r="KOR59" s="74"/>
      <c r="KOS59" s="74"/>
      <c r="KOT59" s="74"/>
      <c r="KOU59" s="74"/>
      <c r="KOV59" s="74"/>
      <c r="KOW59" s="74"/>
      <c r="KOX59" s="74"/>
      <c r="KOY59" s="74"/>
      <c r="KOZ59" s="74"/>
      <c r="KPA59" s="74"/>
      <c r="KPB59" s="74"/>
      <c r="KPC59" s="74"/>
      <c r="KPD59" s="74"/>
      <c r="KPE59" s="74"/>
      <c r="KPF59" s="74"/>
      <c r="KPG59" s="74"/>
      <c r="KPH59" s="74"/>
      <c r="KPI59" s="74"/>
      <c r="KPJ59" s="74"/>
      <c r="KPK59" s="74"/>
      <c r="KPL59" s="74"/>
      <c r="KPM59" s="74"/>
      <c r="KPN59" s="74"/>
      <c r="KPO59" s="74"/>
      <c r="KPP59" s="74"/>
      <c r="KPQ59" s="74"/>
      <c r="KPR59" s="74"/>
      <c r="KPS59" s="74"/>
      <c r="KPT59" s="74"/>
      <c r="KPU59" s="74"/>
      <c r="KPV59" s="74"/>
      <c r="KPW59" s="74"/>
      <c r="KPX59" s="74"/>
      <c r="KPY59" s="74"/>
      <c r="KPZ59" s="74"/>
      <c r="KQA59" s="74"/>
      <c r="KQB59" s="74"/>
      <c r="KQC59" s="74"/>
      <c r="KQD59" s="74"/>
      <c r="KQE59" s="74"/>
      <c r="KQF59" s="74"/>
      <c r="KQG59" s="74"/>
      <c r="KQH59" s="74"/>
      <c r="KQI59" s="74"/>
      <c r="KQJ59" s="74"/>
      <c r="KQK59" s="74"/>
      <c r="KQL59" s="74"/>
      <c r="KQM59" s="74"/>
      <c r="KQN59" s="74"/>
      <c r="KQO59" s="74"/>
      <c r="KQP59" s="74"/>
      <c r="KQQ59" s="74"/>
      <c r="KQR59" s="74"/>
      <c r="KQS59" s="74"/>
      <c r="KQT59" s="74"/>
      <c r="KQU59" s="74"/>
      <c r="KQV59" s="74"/>
      <c r="KQW59" s="74"/>
      <c r="KQX59" s="74"/>
      <c r="KQY59" s="74"/>
      <c r="KQZ59" s="74"/>
      <c r="KRA59" s="74"/>
      <c r="KRB59" s="74"/>
      <c r="KRC59" s="74"/>
      <c r="KRD59" s="74"/>
      <c r="KRE59" s="74"/>
      <c r="KRF59" s="74"/>
      <c r="KRG59" s="74"/>
      <c r="KRH59" s="74"/>
      <c r="KRI59" s="74"/>
      <c r="KRJ59" s="74"/>
      <c r="KRK59" s="74"/>
      <c r="KRL59" s="74"/>
      <c r="KRM59" s="74"/>
      <c r="KRN59" s="74"/>
      <c r="KRO59" s="74"/>
      <c r="KRP59" s="74"/>
      <c r="KRQ59" s="74"/>
      <c r="KRR59" s="74"/>
      <c r="KRS59" s="74"/>
      <c r="KRT59" s="74"/>
      <c r="KRU59" s="74"/>
      <c r="KRV59" s="74"/>
      <c r="KRW59" s="74"/>
      <c r="KRX59" s="74"/>
      <c r="KRY59" s="74"/>
      <c r="KRZ59" s="74"/>
      <c r="KSA59" s="74"/>
      <c r="KSB59" s="74"/>
      <c r="KSC59" s="74"/>
      <c r="KSD59" s="74"/>
      <c r="KSE59" s="74"/>
      <c r="KSF59" s="74"/>
      <c r="KSG59" s="74"/>
      <c r="KSH59" s="74"/>
      <c r="KSI59" s="74"/>
      <c r="KSJ59" s="74"/>
      <c r="KSK59" s="74"/>
      <c r="KSL59" s="74"/>
      <c r="KSM59" s="74"/>
      <c r="KSN59" s="74"/>
      <c r="KSO59" s="74"/>
      <c r="KSP59" s="74"/>
      <c r="KSQ59" s="74"/>
      <c r="KSR59" s="74"/>
      <c r="KSS59" s="74"/>
      <c r="KST59" s="74"/>
      <c r="KSU59" s="74"/>
      <c r="KSV59" s="74"/>
      <c r="KSW59" s="74"/>
      <c r="KSX59" s="74"/>
      <c r="KSY59" s="74"/>
      <c r="KSZ59" s="74"/>
      <c r="KTA59" s="74"/>
      <c r="KTB59" s="74"/>
      <c r="KTC59" s="74"/>
      <c r="KTD59" s="74"/>
      <c r="KTE59" s="74"/>
      <c r="KTF59" s="74"/>
      <c r="KTG59" s="74"/>
      <c r="KTH59" s="74"/>
      <c r="KTI59" s="74"/>
      <c r="KTJ59" s="74"/>
      <c r="KTK59" s="74"/>
      <c r="KTL59" s="74"/>
      <c r="KTM59" s="74"/>
      <c r="KTN59" s="74"/>
      <c r="KTO59" s="74"/>
      <c r="KTP59" s="74"/>
      <c r="KTQ59" s="74"/>
      <c r="KTR59" s="74"/>
      <c r="KTS59" s="74"/>
      <c r="KTT59" s="74"/>
      <c r="KTU59" s="74"/>
      <c r="KTV59" s="74"/>
      <c r="KTW59" s="74"/>
      <c r="KTX59" s="74"/>
      <c r="KTY59" s="74"/>
      <c r="KTZ59" s="74"/>
      <c r="KUA59" s="74"/>
      <c r="KUB59" s="74"/>
      <c r="KUC59" s="74"/>
      <c r="KUD59" s="74"/>
      <c r="KUE59" s="74"/>
      <c r="KUF59" s="74"/>
      <c r="KUG59" s="74"/>
      <c r="KUH59" s="74"/>
      <c r="KUI59" s="74"/>
      <c r="KUJ59" s="74"/>
      <c r="KUK59" s="74"/>
      <c r="KUL59" s="74"/>
      <c r="KUM59" s="74"/>
      <c r="KUN59" s="74"/>
      <c r="KUO59" s="74"/>
      <c r="KUP59" s="74"/>
      <c r="KUQ59" s="74"/>
      <c r="KUR59" s="74"/>
      <c r="KUS59" s="74"/>
      <c r="KUT59" s="74"/>
      <c r="KUU59" s="74"/>
      <c r="KUV59" s="74"/>
      <c r="KUW59" s="74"/>
      <c r="KUX59" s="74"/>
      <c r="KUY59" s="74"/>
      <c r="KUZ59" s="74"/>
      <c r="KVA59" s="74"/>
      <c r="KVB59" s="74"/>
      <c r="KVC59" s="74"/>
      <c r="KVD59" s="74"/>
      <c r="KVE59" s="74"/>
      <c r="KVF59" s="74"/>
      <c r="KVG59" s="74"/>
      <c r="KVH59" s="74"/>
      <c r="KVI59" s="74"/>
      <c r="KVJ59" s="74"/>
      <c r="KVK59" s="74"/>
      <c r="KVL59" s="74"/>
      <c r="KVM59" s="74"/>
      <c r="KVN59" s="74"/>
      <c r="KVO59" s="74"/>
      <c r="KVP59" s="74"/>
      <c r="KVQ59" s="74"/>
      <c r="KVR59" s="74"/>
      <c r="KVS59" s="74"/>
      <c r="KVT59" s="74"/>
      <c r="KVU59" s="74"/>
      <c r="KVV59" s="74"/>
      <c r="KVW59" s="74"/>
      <c r="KVX59" s="74"/>
      <c r="KVY59" s="74"/>
      <c r="KVZ59" s="74"/>
      <c r="KWA59" s="74"/>
      <c r="KWB59" s="74"/>
      <c r="KWC59" s="74"/>
      <c r="KWD59" s="74"/>
      <c r="KWE59" s="74"/>
      <c r="KWF59" s="74"/>
      <c r="KWG59" s="74"/>
      <c r="KWH59" s="74"/>
      <c r="KWI59" s="74"/>
      <c r="KWJ59" s="74"/>
      <c r="KWK59" s="74"/>
      <c r="KWL59" s="74"/>
      <c r="KWM59" s="74"/>
      <c r="KWN59" s="74"/>
      <c r="KWO59" s="74"/>
      <c r="KWP59" s="74"/>
      <c r="KWQ59" s="74"/>
      <c r="KWR59" s="74"/>
      <c r="KWS59" s="74"/>
      <c r="KWT59" s="74"/>
      <c r="KWU59" s="74"/>
      <c r="KWV59" s="74"/>
      <c r="KWW59" s="74"/>
      <c r="KWX59" s="74"/>
      <c r="KWY59" s="74"/>
      <c r="KWZ59" s="74"/>
      <c r="KXA59" s="74"/>
      <c r="KXB59" s="74"/>
      <c r="KXC59" s="74"/>
      <c r="KXD59" s="74"/>
      <c r="KXE59" s="74"/>
      <c r="KXF59" s="74"/>
      <c r="KXG59" s="74"/>
      <c r="KXH59" s="74"/>
      <c r="KXI59" s="74"/>
      <c r="KXJ59" s="74"/>
      <c r="KXK59" s="74"/>
      <c r="KXL59" s="74"/>
      <c r="KXM59" s="74"/>
      <c r="KXN59" s="74"/>
      <c r="KXO59" s="74"/>
      <c r="KXP59" s="74"/>
      <c r="KXQ59" s="74"/>
      <c r="KXR59" s="74"/>
      <c r="KXS59" s="74"/>
      <c r="KXT59" s="74"/>
      <c r="KXU59" s="74"/>
      <c r="KXV59" s="74"/>
      <c r="KXW59" s="74"/>
      <c r="KXX59" s="74"/>
      <c r="KXY59" s="74"/>
      <c r="KXZ59" s="74"/>
      <c r="KYA59" s="74"/>
      <c r="KYB59" s="74"/>
      <c r="KYC59" s="74"/>
      <c r="KYD59" s="74"/>
      <c r="KYE59" s="74"/>
      <c r="KYF59" s="74"/>
      <c r="KYG59" s="74"/>
      <c r="KYH59" s="74"/>
      <c r="KYI59" s="74"/>
      <c r="KYJ59" s="74"/>
      <c r="KYK59" s="74"/>
      <c r="KYL59" s="74"/>
      <c r="KYM59" s="74"/>
      <c r="KYN59" s="74"/>
      <c r="KYO59" s="74"/>
      <c r="KYP59" s="74"/>
      <c r="KYQ59" s="74"/>
      <c r="KYR59" s="74"/>
      <c r="KYS59" s="74"/>
      <c r="KYT59" s="74"/>
      <c r="KYU59" s="74"/>
      <c r="KYV59" s="74"/>
      <c r="KYW59" s="74"/>
      <c r="KYX59" s="74"/>
      <c r="KYY59" s="74"/>
      <c r="KYZ59" s="74"/>
      <c r="KZA59" s="74"/>
      <c r="KZB59" s="74"/>
      <c r="KZC59" s="74"/>
      <c r="KZD59" s="74"/>
      <c r="KZE59" s="74"/>
      <c r="KZF59" s="74"/>
      <c r="KZG59" s="74"/>
      <c r="KZH59" s="74"/>
      <c r="KZI59" s="74"/>
      <c r="KZJ59" s="74"/>
      <c r="KZK59" s="74"/>
      <c r="KZL59" s="74"/>
      <c r="KZM59" s="74"/>
      <c r="KZN59" s="74"/>
      <c r="KZO59" s="74"/>
      <c r="KZP59" s="74"/>
      <c r="KZQ59" s="74"/>
      <c r="KZR59" s="74"/>
      <c r="KZS59" s="74"/>
      <c r="KZT59" s="74"/>
      <c r="KZU59" s="74"/>
      <c r="KZV59" s="74"/>
      <c r="KZW59" s="74"/>
      <c r="KZX59" s="74"/>
      <c r="KZY59" s="74"/>
      <c r="KZZ59" s="74"/>
      <c r="LAA59" s="74"/>
      <c r="LAB59" s="74"/>
      <c r="LAC59" s="74"/>
      <c r="LAD59" s="74"/>
      <c r="LAE59" s="74"/>
      <c r="LAF59" s="74"/>
      <c r="LAG59" s="74"/>
      <c r="LAH59" s="74"/>
      <c r="LAI59" s="74"/>
      <c r="LAJ59" s="74"/>
      <c r="LAK59" s="74"/>
      <c r="LAL59" s="74"/>
      <c r="LAM59" s="74"/>
      <c r="LAN59" s="74"/>
      <c r="LAO59" s="74"/>
      <c r="LAP59" s="74"/>
      <c r="LAQ59" s="74"/>
      <c r="LAR59" s="74"/>
      <c r="LAS59" s="74"/>
      <c r="LAT59" s="74"/>
      <c r="LAU59" s="74"/>
      <c r="LAV59" s="74"/>
      <c r="LAW59" s="74"/>
      <c r="LAX59" s="74"/>
      <c r="LAY59" s="74"/>
      <c r="LAZ59" s="74"/>
      <c r="LBA59" s="74"/>
      <c r="LBB59" s="74"/>
      <c r="LBC59" s="74"/>
      <c r="LBD59" s="74"/>
      <c r="LBE59" s="74"/>
      <c r="LBF59" s="74"/>
      <c r="LBG59" s="74"/>
      <c r="LBH59" s="74"/>
      <c r="LBI59" s="74"/>
      <c r="LBJ59" s="74"/>
      <c r="LBK59" s="74"/>
      <c r="LBL59" s="74"/>
      <c r="LBM59" s="74"/>
      <c r="LBN59" s="74"/>
      <c r="LBO59" s="74"/>
      <c r="LBP59" s="74"/>
      <c r="LBQ59" s="74"/>
      <c r="LBR59" s="74"/>
      <c r="LBS59" s="74"/>
      <c r="LBT59" s="74"/>
      <c r="LBU59" s="74"/>
      <c r="LBV59" s="74"/>
      <c r="LBW59" s="74"/>
      <c r="LBX59" s="74"/>
      <c r="LBY59" s="74"/>
      <c r="LBZ59" s="74"/>
      <c r="LCA59" s="74"/>
      <c r="LCB59" s="74"/>
      <c r="LCC59" s="74"/>
      <c r="LCD59" s="74"/>
      <c r="LCE59" s="74"/>
      <c r="LCF59" s="74"/>
      <c r="LCG59" s="74"/>
      <c r="LCH59" s="74"/>
      <c r="LCI59" s="74"/>
      <c r="LCJ59" s="74"/>
      <c r="LCK59" s="74"/>
      <c r="LCL59" s="74"/>
      <c r="LCM59" s="74"/>
      <c r="LCN59" s="74"/>
      <c r="LCO59" s="74"/>
      <c r="LCP59" s="74"/>
      <c r="LCQ59" s="74"/>
      <c r="LCR59" s="74"/>
      <c r="LCS59" s="74"/>
      <c r="LCT59" s="74"/>
      <c r="LCU59" s="74"/>
      <c r="LCV59" s="74"/>
      <c r="LCW59" s="74"/>
      <c r="LCX59" s="74"/>
      <c r="LCY59" s="74"/>
      <c r="LCZ59" s="74"/>
      <c r="LDA59" s="74"/>
      <c r="LDB59" s="74"/>
      <c r="LDC59" s="74"/>
      <c r="LDD59" s="74"/>
      <c r="LDE59" s="74"/>
      <c r="LDF59" s="74"/>
      <c r="LDG59" s="74"/>
      <c r="LDH59" s="74"/>
      <c r="LDI59" s="74"/>
      <c r="LDJ59" s="74"/>
      <c r="LDK59" s="74"/>
      <c r="LDL59" s="74"/>
      <c r="LDM59" s="74"/>
      <c r="LDN59" s="74"/>
      <c r="LDO59" s="74"/>
      <c r="LDP59" s="74"/>
      <c r="LDQ59" s="74"/>
      <c r="LDR59" s="74"/>
      <c r="LDS59" s="74"/>
      <c r="LDT59" s="74"/>
      <c r="LDU59" s="74"/>
      <c r="LDV59" s="74"/>
      <c r="LDW59" s="74"/>
      <c r="LDX59" s="74"/>
      <c r="LDY59" s="74"/>
      <c r="LDZ59" s="74"/>
      <c r="LEA59" s="74"/>
      <c r="LEB59" s="74"/>
      <c r="LEC59" s="74"/>
      <c r="LED59" s="74"/>
      <c r="LEE59" s="74"/>
      <c r="LEF59" s="74"/>
      <c r="LEG59" s="74"/>
      <c r="LEH59" s="74"/>
      <c r="LEI59" s="74"/>
      <c r="LEJ59" s="74"/>
      <c r="LEK59" s="74"/>
      <c r="LEL59" s="74"/>
      <c r="LEM59" s="74"/>
      <c r="LEN59" s="74"/>
      <c r="LEO59" s="74"/>
      <c r="LEP59" s="74"/>
      <c r="LEQ59" s="74"/>
      <c r="LER59" s="74"/>
      <c r="LES59" s="74"/>
      <c r="LET59" s="74"/>
      <c r="LEU59" s="74"/>
      <c r="LEV59" s="74"/>
      <c r="LEW59" s="74"/>
      <c r="LEX59" s="74"/>
      <c r="LEY59" s="74"/>
      <c r="LEZ59" s="74"/>
      <c r="LFA59" s="74"/>
      <c r="LFB59" s="74"/>
      <c r="LFC59" s="74"/>
      <c r="LFD59" s="74"/>
      <c r="LFE59" s="74"/>
      <c r="LFF59" s="74"/>
      <c r="LFG59" s="74"/>
      <c r="LFH59" s="74"/>
      <c r="LFI59" s="74"/>
      <c r="LFJ59" s="74"/>
      <c r="LFK59" s="74"/>
      <c r="LFL59" s="74"/>
      <c r="LFM59" s="74"/>
      <c r="LFN59" s="74"/>
      <c r="LFO59" s="74"/>
      <c r="LFP59" s="74"/>
      <c r="LFQ59" s="74"/>
      <c r="LFR59" s="74"/>
      <c r="LFS59" s="74"/>
      <c r="LFT59" s="74"/>
      <c r="LFU59" s="74"/>
      <c r="LFV59" s="74"/>
      <c r="LFW59" s="74"/>
      <c r="LFX59" s="74"/>
      <c r="LFY59" s="74"/>
      <c r="LFZ59" s="74"/>
      <c r="LGA59" s="74"/>
      <c r="LGB59" s="74"/>
      <c r="LGC59" s="74"/>
      <c r="LGD59" s="74"/>
      <c r="LGE59" s="74"/>
      <c r="LGF59" s="74"/>
      <c r="LGG59" s="74"/>
      <c r="LGH59" s="74"/>
      <c r="LGI59" s="74"/>
      <c r="LGJ59" s="74"/>
      <c r="LGK59" s="74"/>
      <c r="LGL59" s="74"/>
      <c r="LGM59" s="74"/>
      <c r="LGN59" s="74"/>
      <c r="LGO59" s="74"/>
      <c r="LGP59" s="74"/>
      <c r="LGQ59" s="74"/>
      <c r="LGR59" s="74"/>
      <c r="LGS59" s="74"/>
      <c r="LGT59" s="74"/>
      <c r="LGU59" s="74"/>
      <c r="LGV59" s="74"/>
      <c r="LGW59" s="74"/>
      <c r="LGX59" s="74"/>
      <c r="LGY59" s="74"/>
      <c r="LGZ59" s="74"/>
      <c r="LHA59" s="74"/>
      <c r="LHB59" s="74"/>
      <c r="LHC59" s="74"/>
      <c r="LHD59" s="74"/>
      <c r="LHE59" s="74"/>
      <c r="LHF59" s="74"/>
      <c r="LHG59" s="74"/>
      <c r="LHH59" s="74"/>
      <c r="LHI59" s="74"/>
      <c r="LHJ59" s="74"/>
      <c r="LHK59" s="74"/>
      <c r="LHL59" s="74"/>
      <c r="LHM59" s="74"/>
      <c r="LHN59" s="74"/>
      <c r="LHO59" s="74"/>
      <c r="LHP59" s="74"/>
      <c r="LHQ59" s="74"/>
      <c r="LHR59" s="74"/>
      <c r="LHS59" s="74"/>
      <c r="LHT59" s="74"/>
      <c r="LHU59" s="74"/>
      <c r="LHV59" s="74"/>
      <c r="LHW59" s="74"/>
      <c r="LHX59" s="74"/>
      <c r="LHY59" s="74"/>
      <c r="LHZ59" s="74"/>
      <c r="LIA59" s="74"/>
      <c r="LIB59" s="74"/>
      <c r="LIC59" s="74"/>
      <c r="LID59" s="74"/>
      <c r="LIE59" s="74"/>
      <c r="LIF59" s="74"/>
      <c r="LIG59" s="74"/>
      <c r="LIH59" s="74"/>
      <c r="LII59" s="74"/>
      <c r="LIJ59" s="74"/>
      <c r="LIK59" s="74"/>
      <c r="LIL59" s="74"/>
      <c r="LIM59" s="74"/>
      <c r="LIN59" s="74"/>
      <c r="LIO59" s="74"/>
      <c r="LIP59" s="74"/>
      <c r="LIQ59" s="74"/>
      <c r="LIR59" s="74"/>
      <c r="LIS59" s="74"/>
      <c r="LIT59" s="74"/>
      <c r="LIU59" s="74"/>
      <c r="LIV59" s="74"/>
      <c r="LIW59" s="74"/>
      <c r="LIX59" s="74"/>
      <c r="LIY59" s="74"/>
      <c r="LIZ59" s="74"/>
      <c r="LJA59" s="74"/>
      <c r="LJB59" s="74"/>
      <c r="LJC59" s="74"/>
      <c r="LJD59" s="74"/>
      <c r="LJE59" s="74"/>
      <c r="LJF59" s="74"/>
      <c r="LJG59" s="74"/>
      <c r="LJH59" s="74"/>
      <c r="LJI59" s="74"/>
      <c r="LJJ59" s="74"/>
      <c r="LJK59" s="74"/>
      <c r="LJL59" s="74"/>
      <c r="LJM59" s="74"/>
      <c r="LJN59" s="74"/>
      <c r="LJO59" s="74"/>
      <c r="LJP59" s="74"/>
      <c r="LJQ59" s="74"/>
      <c r="LJR59" s="74"/>
      <c r="LJS59" s="74"/>
      <c r="LJT59" s="74"/>
      <c r="LJU59" s="74"/>
      <c r="LJV59" s="74"/>
      <c r="LJW59" s="74"/>
      <c r="LJX59" s="74"/>
      <c r="LJY59" s="74"/>
      <c r="LJZ59" s="74"/>
      <c r="LKA59" s="74"/>
      <c r="LKB59" s="74"/>
      <c r="LKC59" s="74"/>
      <c r="LKD59" s="74"/>
      <c r="LKE59" s="74"/>
      <c r="LKF59" s="74"/>
      <c r="LKG59" s="74"/>
      <c r="LKH59" s="74"/>
      <c r="LKI59" s="74"/>
      <c r="LKJ59" s="74"/>
      <c r="LKK59" s="74"/>
      <c r="LKL59" s="74"/>
      <c r="LKM59" s="74"/>
      <c r="LKN59" s="74"/>
      <c r="LKO59" s="74"/>
      <c r="LKP59" s="74"/>
      <c r="LKQ59" s="74"/>
      <c r="LKR59" s="74"/>
      <c r="LKS59" s="74"/>
      <c r="LKT59" s="74"/>
      <c r="LKU59" s="74"/>
      <c r="LKV59" s="74"/>
      <c r="LKW59" s="74"/>
      <c r="LKX59" s="74"/>
      <c r="LKY59" s="74"/>
      <c r="LKZ59" s="74"/>
      <c r="LLA59" s="74"/>
      <c r="LLB59" s="74"/>
      <c r="LLC59" s="74"/>
      <c r="LLD59" s="74"/>
      <c r="LLE59" s="74"/>
      <c r="LLF59" s="74"/>
      <c r="LLG59" s="74"/>
      <c r="LLH59" s="74"/>
      <c r="LLI59" s="74"/>
      <c r="LLJ59" s="74"/>
      <c r="LLK59" s="74"/>
      <c r="LLL59" s="74"/>
      <c r="LLM59" s="74"/>
      <c r="LLN59" s="74"/>
      <c r="LLO59" s="74"/>
      <c r="LLP59" s="74"/>
      <c r="LLQ59" s="74"/>
      <c r="LLR59" s="74"/>
      <c r="LLS59" s="74"/>
      <c r="LLT59" s="74"/>
      <c r="LLU59" s="74"/>
      <c r="LLV59" s="74"/>
      <c r="LLW59" s="74"/>
      <c r="LLX59" s="74"/>
      <c r="LLY59" s="74"/>
      <c r="LLZ59" s="74"/>
      <c r="LMA59" s="74"/>
      <c r="LMB59" s="74"/>
      <c r="LMC59" s="74"/>
      <c r="LMD59" s="74"/>
      <c r="LME59" s="74"/>
      <c r="LMF59" s="74"/>
      <c r="LMG59" s="74"/>
      <c r="LMH59" s="74"/>
      <c r="LMI59" s="74"/>
      <c r="LMJ59" s="74"/>
      <c r="LMK59" s="74"/>
      <c r="LML59" s="74"/>
      <c r="LMM59" s="74"/>
      <c r="LMN59" s="74"/>
      <c r="LMO59" s="74"/>
      <c r="LMP59" s="74"/>
      <c r="LMQ59" s="74"/>
      <c r="LMR59" s="74"/>
      <c r="LMS59" s="74"/>
      <c r="LMT59" s="74"/>
      <c r="LMU59" s="74"/>
      <c r="LMV59" s="74"/>
      <c r="LMW59" s="74"/>
      <c r="LMX59" s="74"/>
      <c r="LMY59" s="74"/>
      <c r="LMZ59" s="74"/>
      <c r="LNA59" s="74"/>
      <c r="LNB59" s="74"/>
      <c r="LNC59" s="74"/>
      <c r="LND59" s="74"/>
      <c r="LNE59" s="74"/>
      <c r="LNF59" s="74"/>
      <c r="LNG59" s="74"/>
      <c r="LNH59" s="74"/>
      <c r="LNI59" s="74"/>
      <c r="LNJ59" s="74"/>
      <c r="LNK59" s="74"/>
      <c r="LNL59" s="74"/>
      <c r="LNM59" s="74"/>
      <c r="LNN59" s="74"/>
      <c r="LNO59" s="74"/>
      <c r="LNP59" s="74"/>
      <c r="LNQ59" s="74"/>
      <c r="LNR59" s="74"/>
      <c r="LNS59" s="74"/>
      <c r="LNT59" s="74"/>
      <c r="LNU59" s="74"/>
      <c r="LNV59" s="74"/>
      <c r="LNW59" s="74"/>
      <c r="LNX59" s="74"/>
      <c r="LNY59" s="74"/>
      <c r="LNZ59" s="74"/>
      <c r="LOA59" s="74"/>
      <c r="LOB59" s="74"/>
      <c r="LOC59" s="74"/>
      <c r="LOD59" s="74"/>
      <c r="LOE59" s="74"/>
      <c r="LOF59" s="74"/>
      <c r="LOG59" s="74"/>
      <c r="LOH59" s="74"/>
      <c r="LOI59" s="74"/>
      <c r="LOJ59" s="74"/>
      <c r="LOK59" s="74"/>
      <c r="LOL59" s="74"/>
      <c r="LOM59" s="74"/>
      <c r="LON59" s="74"/>
      <c r="LOO59" s="74"/>
      <c r="LOP59" s="74"/>
      <c r="LOQ59" s="74"/>
      <c r="LOR59" s="74"/>
      <c r="LOS59" s="74"/>
      <c r="LOT59" s="74"/>
      <c r="LOU59" s="74"/>
      <c r="LOV59" s="74"/>
      <c r="LOW59" s="74"/>
      <c r="LOX59" s="74"/>
      <c r="LOY59" s="74"/>
      <c r="LOZ59" s="74"/>
      <c r="LPA59" s="74"/>
      <c r="LPB59" s="74"/>
      <c r="LPC59" s="74"/>
      <c r="LPD59" s="74"/>
      <c r="LPE59" s="74"/>
      <c r="LPF59" s="74"/>
      <c r="LPG59" s="74"/>
      <c r="LPH59" s="74"/>
      <c r="LPI59" s="74"/>
      <c r="LPJ59" s="74"/>
      <c r="LPK59" s="74"/>
      <c r="LPL59" s="74"/>
      <c r="LPM59" s="74"/>
      <c r="LPN59" s="74"/>
      <c r="LPO59" s="74"/>
      <c r="LPP59" s="74"/>
      <c r="LPQ59" s="74"/>
      <c r="LPR59" s="74"/>
      <c r="LPS59" s="74"/>
      <c r="LPT59" s="74"/>
      <c r="LPU59" s="74"/>
      <c r="LPV59" s="74"/>
      <c r="LPW59" s="74"/>
      <c r="LPX59" s="74"/>
      <c r="LPY59" s="74"/>
      <c r="LPZ59" s="74"/>
      <c r="LQA59" s="74"/>
      <c r="LQB59" s="74"/>
      <c r="LQC59" s="74"/>
      <c r="LQD59" s="74"/>
      <c r="LQE59" s="74"/>
      <c r="LQF59" s="74"/>
      <c r="LQG59" s="74"/>
      <c r="LQH59" s="74"/>
      <c r="LQI59" s="74"/>
      <c r="LQJ59" s="74"/>
      <c r="LQK59" s="74"/>
      <c r="LQL59" s="74"/>
      <c r="LQM59" s="74"/>
      <c r="LQN59" s="74"/>
      <c r="LQO59" s="74"/>
      <c r="LQP59" s="74"/>
      <c r="LQQ59" s="74"/>
      <c r="LQR59" s="74"/>
      <c r="LQS59" s="74"/>
      <c r="LQT59" s="74"/>
      <c r="LQU59" s="74"/>
      <c r="LQV59" s="74"/>
      <c r="LQW59" s="74"/>
      <c r="LQX59" s="74"/>
      <c r="LQY59" s="74"/>
      <c r="LQZ59" s="74"/>
      <c r="LRA59" s="74"/>
      <c r="LRB59" s="74"/>
      <c r="LRC59" s="74"/>
      <c r="LRD59" s="74"/>
      <c r="LRE59" s="74"/>
      <c r="LRF59" s="74"/>
      <c r="LRG59" s="74"/>
      <c r="LRH59" s="74"/>
      <c r="LRI59" s="74"/>
      <c r="LRJ59" s="74"/>
      <c r="LRK59" s="74"/>
      <c r="LRL59" s="74"/>
      <c r="LRM59" s="74"/>
      <c r="LRN59" s="74"/>
      <c r="LRO59" s="74"/>
      <c r="LRP59" s="74"/>
      <c r="LRQ59" s="74"/>
      <c r="LRR59" s="74"/>
      <c r="LRS59" s="74"/>
      <c r="LRT59" s="74"/>
      <c r="LRU59" s="74"/>
      <c r="LRV59" s="74"/>
      <c r="LRW59" s="74"/>
      <c r="LRX59" s="74"/>
      <c r="LRY59" s="74"/>
      <c r="LRZ59" s="74"/>
      <c r="LSA59" s="74"/>
      <c r="LSB59" s="74"/>
      <c r="LSC59" s="74"/>
      <c r="LSD59" s="74"/>
      <c r="LSE59" s="74"/>
      <c r="LSF59" s="74"/>
      <c r="LSG59" s="74"/>
      <c r="LSH59" s="74"/>
      <c r="LSI59" s="74"/>
      <c r="LSJ59" s="74"/>
      <c r="LSK59" s="74"/>
      <c r="LSL59" s="74"/>
      <c r="LSM59" s="74"/>
      <c r="LSN59" s="74"/>
      <c r="LSO59" s="74"/>
      <c r="LSP59" s="74"/>
      <c r="LSQ59" s="74"/>
      <c r="LSR59" s="74"/>
      <c r="LSS59" s="74"/>
      <c r="LST59" s="74"/>
      <c r="LSU59" s="74"/>
      <c r="LSV59" s="74"/>
      <c r="LSW59" s="74"/>
      <c r="LSX59" s="74"/>
      <c r="LSY59" s="74"/>
      <c r="LSZ59" s="74"/>
      <c r="LTA59" s="74"/>
      <c r="LTB59" s="74"/>
      <c r="LTC59" s="74"/>
      <c r="LTD59" s="74"/>
      <c r="LTE59" s="74"/>
      <c r="LTF59" s="74"/>
      <c r="LTG59" s="74"/>
      <c r="LTH59" s="74"/>
      <c r="LTI59" s="74"/>
      <c r="LTJ59" s="74"/>
      <c r="LTK59" s="74"/>
      <c r="LTL59" s="74"/>
      <c r="LTM59" s="74"/>
      <c r="LTN59" s="74"/>
      <c r="LTO59" s="74"/>
      <c r="LTP59" s="74"/>
      <c r="LTQ59" s="74"/>
      <c r="LTR59" s="74"/>
      <c r="LTS59" s="74"/>
      <c r="LTT59" s="74"/>
      <c r="LTU59" s="74"/>
      <c r="LTV59" s="74"/>
      <c r="LTW59" s="74"/>
      <c r="LTX59" s="74"/>
      <c r="LTY59" s="74"/>
      <c r="LTZ59" s="74"/>
      <c r="LUA59" s="74"/>
      <c r="LUB59" s="74"/>
      <c r="LUC59" s="74"/>
      <c r="LUD59" s="74"/>
      <c r="LUE59" s="74"/>
      <c r="LUF59" s="74"/>
      <c r="LUG59" s="74"/>
      <c r="LUH59" s="74"/>
      <c r="LUI59" s="74"/>
      <c r="LUJ59" s="74"/>
      <c r="LUK59" s="74"/>
      <c r="LUL59" s="74"/>
      <c r="LUM59" s="74"/>
      <c r="LUN59" s="74"/>
      <c r="LUO59" s="74"/>
      <c r="LUP59" s="74"/>
      <c r="LUQ59" s="74"/>
      <c r="LUR59" s="74"/>
      <c r="LUS59" s="74"/>
      <c r="LUT59" s="74"/>
      <c r="LUU59" s="74"/>
      <c r="LUV59" s="74"/>
      <c r="LUW59" s="74"/>
      <c r="LUX59" s="74"/>
      <c r="LUY59" s="74"/>
      <c r="LUZ59" s="74"/>
      <c r="LVA59" s="74"/>
      <c r="LVB59" s="74"/>
      <c r="LVC59" s="74"/>
      <c r="LVD59" s="74"/>
      <c r="LVE59" s="74"/>
      <c r="LVF59" s="74"/>
      <c r="LVG59" s="74"/>
      <c r="LVH59" s="74"/>
      <c r="LVI59" s="74"/>
      <c r="LVJ59" s="74"/>
      <c r="LVK59" s="74"/>
      <c r="LVL59" s="74"/>
      <c r="LVM59" s="74"/>
      <c r="LVN59" s="74"/>
      <c r="LVO59" s="74"/>
      <c r="LVP59" s="74"/>
      <c r="LVQ59" s="74"/>
      <c r="LVR59" s="74"/>
      <c r="LVS59" s="74"/>
      <c r="LVT59" s="74"/>
      <c r="LVU59" s="74"/>
      <c r="LVV59" s="74"/>
      <c r="LVW59" s="74"/>
      <c r="LVX59" s="74"/>
      <c r="LVY59" s="74"/>
      <c r="LVZ59" s="74"/>
      <c r="LWA59" s="74"/>
      <c r="LWB59" s="74"/>
      <c r="LWC59" s="74"/>
      <c r="LWD59" s="74"/>
      <c r="LWE59" s="74"/>
      <c r="LWF59" s="74"/>
      <c r="LWG59" s="74"/>
      <c r="LWH59" s="74"/>
      <c r="LWI59" s="74"/>
      <c r="LWJ59" s="74"/>
      <c r="LWK59" s="74"/>
      <c r="LWL59" s="74"/>
      <c r="LWM59" s="74"/>
      <c r="LWN59" s="74"/>
      <c r="LWO59" s="74"/>
      <c r="LWP59" s="74"/>
      <c r="LWQ59" s="74"/>
      <c r="LWR59" s="74"/>
      <c r="LWS59" s="74"/>
      <c r="LWT59" s="74"/>
      <c r="LWU59" s="74"/>
      <c r="LWV59" s="74"/>
      <c r="LWW59" s="74"/>
      <c r="LWX59" s="74"/>
      <c r="LWY59" s="74"/>
      <c r="LWZ59" s="74"/>
      <c r="LXA59" s="74"/>
      <c r="LXB59" s="74"/>
      <c r="LXC59" s="74"/>
      <c r="LXD59" s="74"/>
      <c r="LXE59" s="74"/>
      <c r="LXF59" s="74"/>
      <c r="LXG59" s="74"/>
      <c r="LXH59" s="74"/>
      <c r="LXI59" s="74"/>
      <c r="LXJ59" s="74"/>
      <c r="LXK59" s="74"/>
      <c r="LXL59" s="74"/>
      <c r="LXM59" s="74"/>
      <c r="LXN59" s="74"/>
      <c r="LXO59" s="74"/>
      <c r="LXP59" s="74"/>
      <c r="LXQ59" s="74"/>
      <c r="LXR59" s="74"/>
      <c r="LXS59" s="74"/>
      <c r="LXT59" s="74"/>
      <c r="LXU59" s="74"/>
      <c r="LXV59" s="74"/>
      <c r="LXW59" s="74"/>
      <c r="LXX59" s="74"/>
      <c r="LXY59" s="74"/>
      <c r="LXZ59" s="74"/>
      <c r="LYA59" s="74"/>
      <c r="LYB59" s="74"/>
      <c r="LYC59" s="74"/>
      <c r="LYD59" s="74"/>
      <c r="LYE59" s="74"/>
      <c r="LYF59" s="74"/>
      <c r="LYG59" s="74"/>
      <c r="LYH59" s="74"/>
      <c r="LYI59" s="74"/>
      <c r="LYJ59" s="74"/>
      <c r="LYK59" s="74"/>
      <c r="LYL59" s="74"/>
      <c r="LYM59" s="74"/>
      <c r="LYN59" s="74"/>
      <c r="LYO59" s="74"/>
      <c r="LYP59" s="74"/>
      <c r="LYQ59" s="74"/>
      <c r="LYR59" s="74"/>
      <c r="LYS59" s="74"/>
      <c r="LYT59" s="74"/>
      <c r="LYU59" s="74"/>
      <c r="LYV59" s="74"/>
      <c r="LYW59" s="74"/>
      <c r="LYX59" s="74"/>
      <c r="LYY59" s="74"/>
      <c r="LYZ59" s="74"/>
      <c r="LZA59" s="74"/>
      <c r="LZB59" s="74"/>
      <c r="LZC59" s="74"/>
      <c r="LZD59" s="74"/>
      <c r="LZE59" s="74"/>
      <c r="LZF59" s="74"/>
      <c r="LZG59" s="74"/>
      <c r="LZH59" s="74"/>
      <c r="LZI59" s="74"/>
      <c r="LZJ59" s="74"/>
      <c r="LZK59" s="74"/>
      <c r="LZL59" s="74"/>
      <c r="LZM59" s="74"/>
      <c r="LZN59" s="74"/>
      <c r="LZO59" s="74"/>
      <c r="LZP59" s="74"/>
      <c r="LZQ59" s="74"/>
      <c r="LZR59" s="74"/>
      <c r="LZS59" s="74"/>
      <c r="LZT59" s="74"/>
      <c r="LZU59" s="74"/>
      <c r="LZV59" s="74"/>
      <c r="LZW59" s="74"/>
      <c r="LZX59" s="74"/>
      <c r="LZY59" s="74"/>
      <c r="LZZ59" s="74"/>
      <c r="MAA59" s="74"/>
      <c r="MAB59" s="74"/>
      <c r="MAC59" s="74"/>
      <c r="MAD59" s="74"/>
      <c r="MAE59" s="74"/>
      <c r="MAF59" s="74"/>
      <c r="MAG59" s="74"/>
      <c r="MAH59" s="74"/>
      <c r="MAI59" s="74"/>
      <c r="MAJ59" s="74"/>
      <c r="MAK59" s="74"/>
      <c r="MAL59" s="74"/>
      <c r="MAM59" s="74"/>
      <c r="MAN59" s="74"/>
      <c r="MAO59" s="74"/>
      <c r="MAP59" s="74"/>
      <c r="MAQ59" s="74"/>
      <c r="MAR59" s="74"/>
      <c r="MAS59" s="74"/>
      <c r="MAT59" s="74"/>
      <c r="MAU59" s="74"/>
      <c r="MAV59" s="74"/>
      <c r="MAW59" s="74"/>
      <c r="MAX59" s="74"/>
      <c r="MAY59" s="74"/>
      <c r="MAZ59" s="74"/>
      <c r="MBA59" s="74"/>
      <c r="MBB59" s="74"/>
      <c r="MBC59" s="74"/>
      <c r="MBD59" s="74"/>
      <c r="MBE59" s="74"/>
      <c r="MBF59" s="74"/>
      <c r="MBG59" s="74"/>
      <c r="MBH59" s="74"/>
      <c r="MBI59" s="74"/>
      <c r="MBJ59" s="74"/>
      <c r="MBK59" s="74"/>
      <c r="MBL59" s="74"/>
      <c r="MBM59" s="74"/>
      <c r="MBN59" s="74"/>
      <c r="MBO59" s="74"/>
      <c r="MBP59" s="74"/>
      <c r="MBQ59" s="74"/>
      <c r="MBR59" s="74"/>
      <c r="MBS59" s="74"/>
      <c r="MBT59" s="74"/>
      <c r="MBU59" s="74"/>
      <c r="MBV59" s="74"/>
      <c r="MBW59" s="74"/>
      <c r="MBX59" s="74"/>
      <c r="MBY59" s="74"/>
      <c r="MBZ59" s="74"/>
      <c r="MCA59" s="74"/>
      <c r="MCB59" s="74"/>
      <c r="MCC59" s="74"/>
      <c r="MCD59" s="74"/>
      <c r="MCE59" s="74"/>
      <c r="MCF59" s="74"/>
      <c r="MCG59" s="74"/>
      <c r="MCH59" s="74"/>
      <c r="MCI59" s="74"/>
      <c r="MCJ59" s="74"/>
      <c r="MCK59" s="74"/>
      <c r="MCL59" s="74"/>
      <c r="MCM59" s="74"/>
      <c r="MCN59" s="74"/>
      <c r="MCO59" s="74"/>
      <c r="MCP59" s="74"/>
      <c r="MCQ59" s="74"/>
      <c r="MCR59" s="74"/>
      <c r="MCS59" s="74"/>
      <c r="MCT59" s="74"/>
      <c r="MCU59" s="74"/>
      <c r="MCV59" s="74"/>
      <c r="MCW59" s="74"/>
      <c r="MCX59" s="74"/>
      <c r="MCY59" s="74"/>
      <c r="MCZ59" s="74"/>
      <c r="MDA59" s="74"/>
      <c r="MDB59" s="74"/>
      <c r="MDC59" s="74"/>
      <c r="MDD59" s="74"/>
      <c r="MDE59" s="74"/>
      <c r="MDF59" s="74"/>
      <c r="MDG59" s="74"/>
      <c r="MDH59" s="74"/>
      <c r="MDI59" s="74"/>
      <c r="MDJ59" s="74"/>
      <c r="MDK59" s="74"/>
      <c r="MDL59" s="74"/>
      <c r="MDM59" s="74"/>
      <c r="MDN59" s="74"/>
      <c r="MDO59" s="74"/>
      <c r="MDP59" s="74"/>
      <c r="MDQ59" s="74"/>
      <c r="MDR59" s="74"/>
      <c r="MDS59" s="74"/>
      <c r="MDT59" s="74"/>
      <c r="MDU59" s="74"/>
      <c r="MDV59" s="74"/>
      <c r="MDW59" s="74"/>
      <c r="MDX59" s="74"/>
      <c r="MDY59" s="74"/>
      <c r="MDZ59" s="74"/>
      <c r="MEA59" s="74"/>
      <c r="MEB59" s="74"/>
      <c r="MEC59" s="74"/>
      <c r="MED59" s="74"/>
      <c r="MEE59" s="74"/>
      <c r="MEF59" s="74"/>
      <c r="MEG59" s="74"/>
      <c r="MEH59" s="74"/>
      <c r="MEI59" s="74"/>
      <c r="MEJ59" s="74"/>
      <c r="MEK59" s="74"/>
      <c r="MEL59" s="74"/>
      <c r="MEM59" s="74"/>
      <c r="MEN59" s="74"/>
      <c r="MEO59" s="74"/>
      <c r="MEP59" s="74"/>
      <c r="MEQ59" s="74"/>
      <c r="MER59" s="74"/>
      <c r="MES59" s="74"/>
      <c r="MET59" s="74"/>
      <c r="MEU59" s="74"/>
      <c r="MEV59" s="74"/>
      <c r="MEW59" s="74"/>
      <c r="MEX59" s="74"/>
      <c r="MEY59" s="74"/>
      <c r="MEZ59" s="74"/>
      <c r="MFA59" s="74"/>
      <c r="MFB59" s="74"/>
      <c r="MFC59" s="74"/>
      <c r="MFD59" s="74"/>
      <c r="MFE59" s="74"/>
      <c r="MFF59" s="74"/>
      <c r="MFG59" s="74"/>
      <c r="MFH59" s="74"/>
      <c r="MFI59" s="74"/>
      <c r="MFJ59" s="74"/>
      <c r="MFK59" s="74"/>
      <c r="MFL59" s="74"/>
      <c r="MFM59" s="74"/>
      <c r="MFN59" s="74"/>
      <c r="MFO59" s="74"/>
      <c r="MFP59" s="74"/>
      <c r="MFQ59" s="74"/>
      <c r="MFR59" s="74"/>
      <c r="MFS59" s="74"/>
      <c r="MFT59" s="74"/>
      <c r="MFU59" s="74"/>
      <c r="MFV59" s="74"/>
      <c r="MFW59" s="74"/>
      <c r="MFX59" s="74"/>
      <c r="MFY59" s="74"/>
      <c r="MFZ59" s="74"/>
      <c r="MGA59" s="74"/>
      <c r="MGB59" s="74"/>
      <c r="MGC59" s="74"/>
      <c r="MGD59" s="74"/>
      <c r="MGE59" s="74"/>
      <c r="MGF59" s="74"/>
      <c r="MGG59" s="74"/>
      <c r="MGH59" s="74"/>
      <c r="MGI59" s="74"/>
      <c r="MGJ59" s="74"/>
      <c r="MGK59" s="74"/>
      <c r="MGL59" s="74"/>
      <c r="MGM59" s="74"/>
      <c r="MGN59" s="74"/>
      <c r="MGO59" s="74"/>
      <c r="MGP59" s="74"/>
      <c r="MGQ59" s="74"/>
      <c r="MGR59" s="74"/>
      <c r="MGS59" s="74"/>
      <c r="MGT59" s="74"/>
      <c r="MGU59" s="74"/>
      <c r="MGV59" s="74"/>
      <c r="MGW59" s="74"/>
      <c r="MGX59" s="74"/>
      <c r="MGY59" s="74"/>
      <c r="MGZ59" s="74"/>
      <c r="MHA59" s="74"/>
      <c r="MHB59" s="74"/>
      <c r="MHC59" s="74"/>
      <c r="MHD59" s="74"/>
      <c r="MHE59" s="74"/>
      <c r="MHF59" s="74"/>
      <c r="MHG59" s="74"/>
      <c r="MHH59" s="74"/>
      <c r="MHI59" s="74"/>
      <c r="MHJ59" s="74"/>
      <c r="MHK59" s="74"/>
      <c r="MHL59" s="74"/>
      <c r="MHM59" s="74"/>
      <c r="MHN59" s="74"/>
      <c r="MHO59" s="74"/>
      <c r="MHP59" s="74"/>
      <c r="MHQ59" s="74"/>
      <c r="MHR59" s="74"/>
      <c r="MHS59" s="74"/>
      <c r="MHT59" s="74"/>
      <c r="MHU59" s="74"/>
      <c r="MHV59" s="74"/>
      <c r="MHW59" s="74"/>
      <c r="MHX59" s="74"/>
      <c r="MHY59" s="74"/>
      <c r="MHZ59" s="74"/>
      <c r="MIA59" s="74"/>
      <c r="MIB59" s="74"/>
      <c r="MIC59" s="74"/>
      <c r="MID59" s="74"/>
      <c r="MIE59" s="74"/>
      <c r="MIF59" s="74"/>
      <c r="MIG59" s="74"/>
      <c r="MIH59" s="74"/>
      <c r="MII59" s="74"/>
      <c r="MIJ59" s="74"/>
      <c r="MIK59" s="74"/>
      <c r="MIL59" s="74"/>
      <c r="MIM59" s="74"/>
      <c r="MIN59" s="74"/>
      <c r="MIO59" s="74"/>
      <c r="MIP59" s="74"/>
      <c r="MIQ59" s="74"/>
      <c r="MIR59" s="74"/>
      <c r="MIS59" s="74"/>
      <c r="MIT59" s="74"/>
      <c r="MIU59" s="74"/>
      <c r="MIV59" s="74"/>
      <c r="MIW59" s="74"/>
      <c r="MIX59" s="74"/>
      <c r="MIY59" s="74"/>
      <c r="MIZ59" s="74"/>
      <c r="MJA59" s="74"/>
      <c r="MJB59" s="74"/>
      <c r="MJC59" s="74"/>
      <c r="MJD59" s="74"/>
      <c r="MJE59" s="74"/>
      <c r="MJF59" s="74"/>
      <c r="MJG59" s="74"/>
      <c r="MJH59" s="74"/>
      <c r="MJI59" s="74"/>
      <c r="MJJ59" s="74"/>
      <c r="MJK59" s="74"/>
      <c r="MJL59" s="74"/>
      <c r="MJM59" s="74"/>
      <c r="MJN59" s="74"/>
      <c r="MJO59" s="74"/>
      <c r="MJP59" s="74"/>
      <c r="MJQ59" s="74"/>
      <c r="MJR59" s="74"/>
      <c r="MJS59" s="74"/>
      <c r="MJT59" s="74"/>
      <c r="MJU59" s="74"/>
      <c r="MJV59" s="74"/>
      <c r="MJW59" s="74"/>
      <c r="MJX59" s="74"/>
      <c r="MJY59" s="74"/>
      <c r="MJZ59" s="74"/>
      <c r="MKA59" s="74"/>
      <c r="MKB59" s="74"/>
      <c r="MKC59" s="74"/>
      <c r="MKD59" s="74"/>
      <c r="MKE59" s="74"/>
      <c r="MKF59" s="74"/>
      <c r="MKG59" s="74"/>
      <c r="MKH59" s="74"/>
      <c r="MKI59" s="74"/>
      <c r="MKJ59" s="74"/>
      <c r="MKK59" s="74"/>
      <c r="MKL59" s="74"/>
      <c r="MKM59" s="74"/>
      <c r="MKN59" s="74"/>
      <c r="MKO59" s="74"/>
      <c r="MKP59" s="74"/>
      <c r="MKQ59" s="74"/>
      <c r="MKR59" s="74"/>
      <c r="MKS59" s="74"/>
      <c r="MKT59" s="74"/>
      <c r="MKU59" s="74"/>
      <c r="MKV59" s="74"/>
      <c r="MKW59" s="74"/>
      <c r="MKX59" s="74"/>
      <c r="MKY59" s="74"/>
      <c r="MKZ59" s="74"/>
      <c r="MLA59" s="74"/>
      <c r="MLB59" s="74"/>
      <c r="MLC59" s="74"/>
      <c r="MLD59" s="74"/>
      <c r="MLE59" s="74"/>
      <c r="MLF59" s="74"/>
      <c r="MLG59" s="74"/>
      <c r="MLH59" s="74"/>
      <c r="MLI59" s="74"/>
      <c r="MLJ59" s="74"/>
      <c r="MLK59" s="74"/>
      <c r="MLL59" s="74"/>
      <c r="MLM59" s="74"/>
      <c r="MLN59" s="74"/>
      <c r="MLO59" s="74"/>
      <c r="MLP59" s="74"/>
      <c r="MLQ59" s="74"/>
      <c r="MLR59" s="74"/>
      <c r="MLS59" s="74"/>
      <c r="MLT59" s="74"/>
      <c r="MLU59" s="74"/>
      <c r="MLV59" s="74"/>
      <c r="MLW59" s="74"/>
      <c r="MLX59" s="74"/>
      <c r="MLY59" s="74"/>
      <c r="MLZ59" s="74"/>
      <c r="MMA59" s="74"/>
      <c r="MMB59" s="74"/>
      <c r="MMC59" s="74"/>
      <c r="MMD59" s="74"/>
      <c r="MME59" s="74"/>
      <c r="MMF59" s="74"/>
      <c r="MMG59" s="74"/>
      <c r="MMH59" s="74"/>
      <c r="MMI59" s="74"/>
      <c r="MMJ59" s="74"/>
      <c r="MMK59" s="74"/>
      <c r="MML59" s="74"/>
      <c r="MMM59" s="74"/>
      <c r="MMN59" s="74"/>
      <c r="MMO59" s="74"/>
      <c r="MMP59" s="74"/>
      <c r="MMQ59" s="74"/>
      <c r="MMR59" s="74"/>
      <c r="MMS59" s="74"/>
      <c r="MMT59" s="74"/>
      <c r="MMU59" s="74"/>
      <c r="MMV59" s="74"/>
      <c r="MMW59" s="74"/>
      <c r="MMX59" s="74"/>
      <c r="MMY59" s="74"/>
      <c r="MMZ59" s="74"/>
      <c r="MNA59" s="74"/>
      <c r="MNB59" s="74"/>
      <c r="MNC59" s="74"/>
      <c r="MND59" s="74"/>
      <c r="MNE59" s="74"/>
      <c r="MNF59" s="74"/>
      <c r="MNG59" s="74"/>
      <c r="MNH59" s="74"/>
      <c r="MNI59" s="74"/>
      <c r="MNJ59" s="74"/>
      <c r="MNK59" s="74"/>
      <c r="MNL59" s="74"/>
      <c r="MNM59" s="74"/>
      <c r="MNN59" s="74"/>
      <c r="MNO59" s="74"/>
      <c r="MNP59" s="74"/>
      <c r="MNQ59" s="74"/>
      <c r="MNR59" s="74"/>
      <c r="MNS59" s="74"/>
      <c r="MNT59" s="74"/>
      <c r="MNU59" s="74"/>
      <c r="MNV59" s="74"/>
      <c r="MNW59" s="74"/>
      <c r="MNX59" s="74"/>
      <c r="MNY59" s="74"/>
      <c r="MNZ59" s="74"/>
      <c r="MOA59" s="74"/>
      <c r="MOB59" s="74"/>
      <c r="MOC59" s="74"/>
      <c r="MOD59" s="74"/>
      <c r="MOE59" s="74"/>
      <c r="MOF59" s="74"/>
      <c r="MOG59" s="74"/>
      <c r="MOH59" s="74"/>
      <c r="MOI59" s="74"/>
      <c r="MOJ59" s="74"/>
      <c r="MOK59" s="74"/>
      <c r="MOL59" s="74"/>
      <c r="MOM59" s="74"/>
      <c r="MON59" s="74"/>
      <c r="MOO59" s="74"/>
      <c r="MOP59" s="74"/>
      <c r="MOQ59" s="74"/>
      <c r="MOR59" s="74"/>
      <c r="MOS59" s="74"/>
      <c r="MOT59" s="74"/>
      <c r="MOU59" s="74"/>
      <c r="MOV59" s="74"/>
      <c r="MOW59" s="74"/>
      <c r="MOX59" s="74"/>
      <c r="MOY59" s="74"/>
      <c r="MOZ59" s="74"/>
      <c r="MPA59" s="74"/>
      <c r="MPB59" s="74"/>
      <c r="MPC59" s="74"/>
      <c r="MPD59" s="74"/>
      <c r="MPE59" s="74"/>
      <c r="MPF59" s="74"/>
      <c r="MPG59" s="74"/>
      <c r="MPH59" s="74"/>
      <c r="MPI59" s="74"/>
      <c r="MPJ59" s="74"/>
      <c r="MPK59" s="74"/>
      <c r="MPL59" s="74"/>
      <c r="MPM59" s="74"/>
      <c r="MPN59" s="74"/>
      <c r="MPO59" s="74"/>
      <c r="MPP59" s="74"/>
      <c r="MPQ59" s="74"/>
      <c r="MPR59" s="74"/>
      <c r="MPS59" s="74"/>
      <c r="MPT59" s="74"/>
      <c r="MPU59" s="74"/>
      <c r="MPV59" s="74"/>
      <c r="MPW59" s="74"/>
      <c r="MPX59" s="74"/>
      <c r="MPY59" s="74"/>
      <c r="MPZ59" s="74"/>
      <c r="MQA59" s="74"/>
      <c r="MQB59" s="74"/>
      <c r="MQC59" s="74"/>
      <c r="MQD59" s="74"/>
      <c r="MQE59" s="74"/>
      <c r="MQF59" s="74"/>
      <c r="MQG59" s="74"/>
      <c r="MQH59" s="74"/>
      <c r="MQI59" s="74"/>
      <c r="MQJ59" s="74"/>
      <c r="MQK59" s="74"/>
      <c r="MQL59" s="74"/>
      <c r="MQM59" s="74"/>
      <c r="MQN59" s="74"/>
      <c r="MQO59" s="74"/>
      <c r="MQP59" s="74"/>
      <c r="MQQ59" s="74"/>
      <c r="MQR59" s="74"/>
      <c r="MQS59" s="74"/>
      <c r="MQT59" s="74"/>
      <c r="MQU59" s="74"/>
      <c r="MQV59" s="74"/>
      <c r="MQW59" s="74"/>
      <c r="MQX59" s="74"/>
      <c r="MQY59" s="74"/>
      <c r="MQZ59" s="74"/>
      <c r="MRA59" s="74"/>
      <c r="MRB59" s="74"/>
      <c r="MRC59" s="74"/>
      <c r="MRD59" s="74"/>
      <c r="MRE59" s="74"/>
      <c r="MRF59" s="74"/>
      <c r="MRG59" s="74"/>
      <c r="MRH59" s="74"/>
      <c r="MRI59" s="74"/>
      <c r="MRJ59" s="74"/>
      <c r="MRK59" s="74"/>
      <c r="MRL59" s="74"/>
      <c r="MRM59" s="74"/>
      <c r="MRN59" s="74"/>
      <c r="MRO59" s="74"/>
      <c r="MRP59" s="74"/>
      <c r="MRQ59" s="74"/>
      <c r="MRR59" s="74"/>
      <c r="MRS59" s="74"/>
      <c r="MRT59" s="74"/>
      <c r="MRU59" s="74"/>
      <c r="MRV59" s="74"/>
      <c r="MRW59" s="74"/>
      <c r="MRX59" s="74"/>
      <c r="MRY59" s="74"/>
      <c r="MRZ59" s="74"/>
      <c r="MSA59" s="74"/>
      <c r="MSB59" s="74"/>
      <c r="MSC59" s="74"/>
      <c r="MSD59" s="74"/>
      <c r="MSE59" s="74"/>
      <c r="MSF59" s="74"/>
      <c r="MSG59" s="74"/>
      <c r="MSH59" s="74"/>
      <c r="MSI59" s="74"/>
      <c r="MSJ59" s="74"/>
      <c r="MSK59" s="74"/>
      <c r="MSL59" s="74"/>
      <c r="MSM59" s="74"/>
      <c r="MSN59" s="74"/>
      <c r="MSO59" s="74"/>
      <c r="MSP59" s="74"/>
      <c r="MSQ59" s="74"/>
      <c r="MSR59" s="74"/>
      <c r="MSS59" s="74"/>
      <c r="MST59" s="74"/>
      <c r="MSU59" s="74"/>
      <c r="MSV59" s="74"/>
      <c r="MSW59" s="74"/>
      <c r="MSX59" s="74"/>
      <c r="MSY59" s="74"/>
      <c r="MSZ59" s="74"/>
      <c r="MTA59" s="74"/>
      <c r="MTB59" s="74"/>
      <c r="MTC59" s="74"/>
      <c r="MTD59" s="74"/>
      <c r="MTE59" s="74"/>
      <c r="MTF59" s="74"/>
      <c r="MTG59" s="74"/>
      <c r="MTH59" s="74"/>
      <c r="MTI59" s="74"/>
      <c r="MTJ59" s="74"/>
      <c r="MTK59" s="74"/>
      <c r="MTL59" s="74"/>
      <c r="MTM59" s="74"/>
      <c r="MTN59" s="74"/>
      <c r="MTO59" s="74"/>
      <c r="MTP59" s="74"/>
      <c r="MTQ59" s="74"/>
      <c r="MTR59" s="74"/>
      <c r="MTS59" s="74"/>
      <c r="MTT59" s="74"/>
      <c r="MTU59" s="74"/>
      <c r="MTV59" s="74"/>
      <c r="MTW59" s="74"/>
      <c r="MTX59" s="74"/>
      <c r="MTY59" s="74"/>
      <c r="MTZ59" s="74"/>
      <c r="MUA59" s="74"/>
      <c r="MUB59" s="74"/>
      <c r="MUC59" s="74"/>
      <c r="MUD59" s="74"/>
      <c r="MUE59" s="74"/>
      <c r="MUF59" s="74"/>
      <c r="MUG59" s="74"/>
      <c r="MUH59" s="74"/>
      <c r="MUI59" s="74"/>
      <c r="MUJ59" s="74"/>
      <c r="MUK59" s="74"/>
      <c r="MUL59" s="74"/>
      <c r="MUM59" s="74"/>
      <c r="MUN59" s="74"/>
      <c r="MUO59" s="74"/>
      <c r="MUP59" s="74"/>
      <c r="MUQ59" s="74"/>
      <c r="MUR59" s="74"/>
      <c r="MUS59" s="74"/>
      <c r="MUT59" s="74"/>
      <c r="MUU59" s="74"/>
      <c r="MUV59" s="74"/>
      <c r="MUW59" s="74"/>
      <c r="MUX59" s="74"/>
      <c r="MUY59" s="74"/>
      <c r="MUZ59" s="74"/>
      <c r="MVA59" s="74"/>
      <c r="MVB59" s="74"/>
      <c r="MVC59" s="74"/>
      <c r="MVD59" s="74"/>
      <c r="MVE59" s="74"/>
      <c r="MVF59" s="74"/>
      <c r="MVG59" s="74"/>
      <c r="MVH59" s="74"/>
      <c r="MVI59" s="74"/>
      <c r="MVJ59" s="74"/>
      <c r="MVK59" s="74"/>
      <c r="MVL59" s="74"/>
      <c r="MVM59" s="74"/>
      <c r="MVN59" s="74"/>
      <c r="MVO59" s="74"/>
      <c r="MVP59" s="74"/>
      <c r="MVQ59" s="74"/>
      <c r="MVR59" s="74"/>
      <c r="MVS59" s="74"/>
      <c r="MVT59" s="74"/>
      <c r="MVU59" s="74"/>
      <c r="MVV59" s="74"/>
      <c r="MVW59" s="74"/>
      <c r="MVX59" s="74"/>
      <c r="MVY59" s="74"/>
      <c r="MVZ59" s="74"/>
      <c r="MWA59" s="74"/>
      <c r="MWB59" s="74"/>
      <c r="MWC59" s="74"/>
      <c r="MWD59" s="74"/>
      <c r="MWE59" s="74"/>
      <c r="MWF59" s="74"/>
      <c r="MWG59" s="74"/>
      <c r="MWH59" s="74"/>
      <c r="MWI59" s="74"/>
      <c r="MWJ59" s="74"/>
      <c r="MWK59" s="74"/>
      <c r="MWL59" s="74"/>
      <c r="MWM59" s="74"/>
      <c r="MWN59" s="74"/>
      <c r="MWO59" s="74"/>
      <c r="MWP59" s="74"/>
      <c r="MWQ59" s="74"/>
      <c r="MWR59" s="74"/>
      <c r="MWS59" s="74"/>
      <c r="MWT59" s="74"/>
      <c r="MWU59" s="74"/>
      <c r="MWV59" s="74"/>
      <c r="MWW59" s="74"/>
      <c r="MWX59" s="74"/>
      <c r="MWY59" s="74"/>
      <c r="MWZ59" s="74"/>
      <c r="MXA59" s="74"/>
      <c r="MXB59" s="74"/>
      <c r="MXC59" s="74"/>
      <c r="MXD59" s="74"/>
      <c r="MXE59" s="74"/>
      <c r="MXF59" s="74"/>
      <c r="MXG59" s="74"/>
      <c r="MXH59" s="74"/>
      <c r="MXI59" s="74"/>
      <c r="MXJ59" s="74"/>
      <c r="MXK59" s="74"/>
      <c r="MXL59" s="74"/>
      <c r="MXM59" s="74"/>
      <c r="MXN59" s="74"/>
      <c r="MXO59" s="74"/>
      <c r="MXP59" s="74"/>
      <c r="MXQ59" s="74"/>
      <c r="MXR59" s="74"/>
      <c r="MXS59" s="74"/>
      <c r="MXT59" s="74"/>
      <c r="MXU59" s="74"/>
      <c r="MXV59" s="74"/>
      <c r="MXW59" s="74"/>
      <c r="MXX59" s="74"/>
      <c r="MXY59" s="74"/>
      <c r="MXZ59" s="74"/>
      <c r="MYA59" s="74"/>
      <c r="MYB59" s="74"/>
      <c r="MYC59" s="74"/>
      <c r="MYD59" s="74"/>
      <c r="MYE59" s="74"/>
      <c r="MYF59" s="74"/>
      <c r="MYG59" s="74"/>
      <c r="MYH59" s="74"/>
      <c r="MYI59" s="74"/>
      <c r="MYJ59" s="74"/>
      <c r="MYK59" s="74"/>
      <c r="MYL59" s="74"/>
      <c r="MYM59" s="74"/>
      <c r="MYN59" s="74"/>
      <c r="MYO59" s="74"/>
      <c r="MYP59" s="74"/>
      <c r="MYQ59" s="74"/>
      <c r="MYR59" s="74"/>
      <c r="MYS59" s="74"/>
      <c r="MYT59" s="74"/>
      <c r="MYU59" s="74"/>
      <c r="MYV59" s="74"/>
      <c r="MYW59" s="74"/>
      <c r="MYX59" s="74"/>
      <c r="MYY59" s="74"/>
      <c r="MYZ59" s="74"/>
      <c r="MZA59" s="74"/>
      <c r="MZB59" s="74"/>
      <c r="MZC59" s="74"/>
      <c r="MZD59" s="74"/>
      <c r="MZE59" s="74"/>
      <c r="MZF59" s="74"/>
      <c r="MZG59" s="74"/>
      <c r="MZH59" s="74"/>
      <c r="MZI59" s="74"/>
      <c r="MZJ59" s="74"/>
      <c r="MZK59" s="74"/>
      <c r="MZL59" s="74"/>
      <c r="MZM59" s="74"/>
      <c r="MZN59" s="74"/>
      <c r="MZO59" s="74"/>
      <c r="MZP59" s="74"/>
      <c r="MZQ59" s="74"/>
      <c r="MZR59" s="74"/>
      <c r="MZS59" s="74"/>
      <c r="MZT59" s="74"/>
      <c r="MZU59" s="74"/>
      <c r="MZV59" s="74"/>
      <c r="MZW59" s="74"/>
      <c r="MZX59" s="74"/>
      <c r="MZY59" s="74"/>
      <c r="MZZ59" s="74"/>
      <c r="NAA59" s="74"/>
      <c r="NAB59" s="74"/>
      <c r="NAC59" s="74"/>
      <c r="NAD59" s="74"/>
      <c r="NAE59" s="74"/>
      <c r="NAF59" s="74"/>
      <c r="NAG59" s="74"/>
      <c r="NAH59" s="74"/>
      <c r="NAI59" s="74"/>
      <c r="NAJ59" s="74"/>
      <c r="NAK59" s="74"/>
      <c r="NAL59" s="74"/>
      <c r="NAM59" s="74"/>
      <c r="NAN59" s="74"/>
      <c r="NAO59" s="74"/>
      <c r="NAP59" s="74"/>
      <c r="NAQ59" s="74"/>
      <c r="NAR59" s="74"/>
      <c r="NAS59" s="74"/>
      <c r="NAT59" s="74"/>
      <c r="NAU59" s="74"/>
      <c r="NAV59" s="74"/>
      <c r="NAW59" s="74"/>
      <c r="NAX59" s="74"/>
      <c r="NAY59" s="74"/>
      <c r="NAZ59" s="74"/>
      <c r="NBA59" s="74"/>
      <c r="NBB59" s="74"/>
      <c r="NBC59" s="74"/>
      <c r="NBD59" s="74"/>
      <c r="NBE59" s="74"/>
      <c r="NBF59" s="74"/>
      <c r="NBG59" s="74"/>
      <c r="NBH59" s="74"/>
      <c r="NBI59" s="74"/>
      <c r="NBJ59" s="74"/>
      <c r="NBK59" s="74"/>
      <c r="NBL59" s="74"/>
      <c r="NBM59" s="74"/>
      <c r="NBN59" s="74"/>
      <c r="NBO59" s="74"/>
      <c r="NBP59" s="74"/>
      <c r="NBQ59" s="74"/>
      <c r="NBR59" s="74"/>
      <c r="NBS59" s="74"/>
      <c r="NBT59" s="74"/>
      <c r="NBU59" s="74"/>
      <c r="NBV59" s="74"/>
      <c r="NBW59" s="74"/>
      <c r="NBX59" s="74"/>
      <c r="NBY59" s="74"/>
      <c r="NBZ59" s="74"/>
      <c r="NCA59" s="74"/>
      <c r="NCB59" s="74"/>
      <c r="NCC59" s="74"/>
      <c r="NCD59" s="74"/>
      <c r="NCE59" s="74"/>
      <c r="NCF59" s="74"/>
      <c r="NCG59" s="74"/>
      <c r="NCH59" s="74"/>
      <c r="NCI59" s="74"/>
      <c r="NCJ59" s="74"/>
      <c r="NCK59" s="74"/>
      <c r="NCL59" s="74"/>
      <c r="NCM59" s="74"/>
      <c r="NCN59" s="74"/>
      <c r="NCO59" s="74"/>
      <c r="NCP59" s="74"/>
      <c r="NCQ59" s="74"/>
      <c r="NCR59" s="74"/>
      <c r="NCS59" s="74"/>
      <c r="NCT59" s="74"/>
      <c r="NCU59" s="74"/>
      <c r="NCV59" s="74"/>
      <c r="NCW59" s="74"/>
      <c r="NCX59" s="74"/>
      <c r="NCY59" s="74"/>
      <c r="NCZ59" s="74"/>
      <c r="NDA59" s="74"/>
      <c r="NDB59" s="74"/>
      <c r="NDC59" s="74"/>
      <c r="NDD59" s="74"/>
      <c r="NDE59" s="74"/>
      <c r="NDF59" s="74"/>
      <c r="NDG59" s="74"/>
      <c r="NDH59" s="74"/>
      <c r="NDI59" s="74"/>
      <c r="NDJ59" s="74"/>
      <c r="NDK59" s="74"/>
      <c r="NDL59" s="74"/>
      <c r="NDM59" s="74"/>
      <c r="NDN59" s="74"/>
      <c r="NDO59" s="74"/>
      <c r="NDP59" s="74"/>
      <c r="NDQ59" s="74"/>
      <c r="NDR59" s="74"/>
      <c r="NDS59" s="74"/>
      <c r="NDT59" s="74"/>
      <c r="NDU59" s="74"/>
      <c r="NDV59" s="74"/>
      <c r="NDW59" s="74"/>
      <c r="NDX59" s="74"/>
      <c r="NDY59" s="74"/>
      <c r="NDZ59" s="74"/>
      <c r="NEA59" s="74"/>
      <c r="NEB59" s="74"/>
      <c r="NEC59" s="74"/>
      <c r="NED59" s="74"/>
      <c r="NEE59" s="74"/>
      <c r="NEF59" s="74"/>
      <c r="NEG59" s="74"/>
      <c r="NEH59" s="74"/>
      <c r="NEI59" s="74"/>
      <c r="NEJ59" s="74"/>
      <c r="NEK59" s="74"/>
      <c r="NEL59" s="74"/>
      <c r="NEM59" s="74"/>
      <c r="NEN59" s="74"/>
      <c r="NEO59" s="74"/>
      <c r="NEP59" s="74"/>
      <c r="NEQ59" s="74"/>
      <c r="NER59" s="74"/>
      <c r="NES59" s="74"/>
      <c r="NET59" s="74"/>
      <c r="NEU59" s="74"/>
      <c r="NEV59" s="74"/>
      <c r="NEW59" s="74"/>
      <c r="NEX59" s="74"/>
      <c r="NEY59" s="74"/>
      <c r="NEZ59" s="74"/>
      <c r="NFA59" s="74"/>
      <c r="NFB59" s="74"/>
      <c r="NFC59" s="74"/>
      <c r="NFD59" s="74"/>
      <c r="NFE59" s="74"/>
      <c r="NFF59" s="74"/>
      <c r="NFG59" s="74"/>
      <c r="NFH59" s="74"/>
      <c r="NFI59" s="74"/>
      <c r="NFJ59" s="74"/>
      <c r="NFK59" s="74"/>
      <c r="NFL59" s="74"/>
      <c r="NFM59" s="74"/>
      <c r="NFN59" s="74"/>
      <c r="NFO59" s="74"/>
      <c r="NFP59" s="74"/>
      <c r="NFQ59" s="74"/>
      <c r="NFR59" s="74"/>
      <c r="NFS59" s="74"/>
      <c r="NFT59" s="74"/>
      <c r="NFU59" s="74"/>
      <c r="NFV59" s="74"/>
      <c r="NFW59" s="74"/>
      <c r="NFX59" s="74"/>
      <c r="NFY59" s="74"/>
      <c r="NFZ59" s="74"/>
      <c r="NGA59" s="74"/>
      <c r="NGB59" s="74"/>
      <c r="NGC59" s="74"/>
      <c r="NGD59" s="74"/>
      <c r="NGE59" s="74"/>
      <c r="NGF59" s="74"/>
      <c r="NGG59" s="74"/>
      <c r="NGH59" s="74"/>
      <c r="NGI59" s="74"/>
      <c r="NGJ59" s="74"/>
      <c r="NGK59" s="74"/>
      <c r="NGL59" s="74"/>
      <c r="NGM59" s="74"/>
      <c r="NGN59" s="74"/>
      <c r="NGO59" s="74"/>
      <c r="NGP59" s="74"/>
      <c r="NGQ59" s="74"/>
      <c r="NGR59" s="74"/>
      <c r="NGS59" s="74"/>
      <c r="NGT59" s="74"/>
      <c r="NGU59" s="74"/>
      <c r="NGV59" s="74"/>
      <c r="NGW59" s="74"/>
      <c r="NGX59" s="74"/>
      <c r="NGY59" s="74"/>
      <c r="NGZ59" s="74"/>
      <c r="NHA59" s="74"/>
      <c r="NHB59" s="74"/>
      <c r="NHC59" s="74"/>
      <c r="NHD59" s="74"/>
      <c r="NHE59" s="74"/>
      <c r="NHF59" s="74"/>
      <c r="NHG59" s="74"/>
      <c r="NHH59" s="74"/>
      <c r="NHI59" s="74"/>
      <c r="NHJ59" s="74"/>
      <c r="NHK59" s="74"/>
      <c r="NHL59" s="74"/>
      <c r="NHM59" s="74"/>
      <c r="NHN59" s="74"/>
      <c r="NHO59" s="74"/>
      <c r="NHP59" s="74"/>
      <c r="NHQ59" s="74"/>
      <c r="NHR59" s="74"/>
      <c r="NHS59" s="74"/>
      <c r="NHT59" s="74"/>
      <c r="NHU59" s="74"/>
      <c r="NHV59" s="74"/>
      <c r="NHW59" s="74"/>
      <c r="NHX59" s="74"/>
      <c r="NHY59" s="74"/>
      <c r="NHZ59" s="74"/>
      <c r="NIA59" s="74"/>
      <c r="NIB59" s="74"/>
      <c r="NIC59" s="74"/>
      <c r="NID59" s="74"/>
      <c r="NIE59" s="74"/>
      <c r="NIF59" s="74"/>
      <c r="NIG59" s="74"/>
      <c r="NIH59" s="74"/>
      <c r="NII59" s="74"/>
      <c r="NIJ59" s="74"/>
      <c r="NIK59" s="74"/>
      <c r="NIL59" s="74"/>
      <c r="NIM59" s="74"/>
      <c r="NIN59" s="74"/>
      <c r="NIO59" s="74"/>
      <c r="NIP59" s="74"/>
      <c r="NIQ59" s="74"/>
      <c r="NIR59" s="74"/>
      <c r="NIS59" s="74"/>
      <c r="NIT59" s="74"/>
      <c r="NIU59" s="74"/>
      <c r="NIV59" s="74"/>
      <c r="NIW59" s="74"/>
      <c r="NIX59" s="74"/>
      <c r="NIY59" s="74"/>
      <c r="NIZ59" s="74"/>
      <c r="NJA59" s="74"/>
      <c r="NJB59" s="74"/>
      <c r="NJC59" s="74"/>
      <c r="NJD59" s="74"/>
      <c r="NJE59" s="74"/>
      <c r="NJF59" s="74"/>
      <c r="NJG59" s="74"/>
      <c r="NJH59" s="74"/>
      <c r="NJI59" s="74"/>
      <c r="NJJ59" s="74"/>
      <c r="NJK59" s="74"/>
      <c r="NJL59" s="74"/>
      <c r="NJM59" s="74"/>
      <c r="NJN59" s="74"/>
      <c r="NJO59" s="74"/>
      <c r="NJP59" s="74"/>
      <c r="NJQ59" s="74"/>
      <c r="NJR59" s="74"/>
      <c r="NJS59" s="74"/>
      <c r="NJT59" s="74"/>
      <c r="NJU59" s="74"/>
      <c r="NJV59" s="74"/>
      <c r="NJW59" s="74"/>
      <c r="NJX59" s="74"/>
      <c r="NJY59" s="74"/>
      <c r="NJZ59" s="74"/>
      <c r="NKA59" s="74"/>
      <c r="NKB59" s="74"/>
      <c r="NKC59" s="74"/>
      <c r="NKD59" s="74"/>
      <c r="NKE59" s="74"/>
      <c r="NKF59" s="74"/>
      <c r="NKG59" s="74"/>
      <c r="NKH59" s="74"/>
      <c r="NKI59" s="74"/>
      <c r="NKJ59" s="74"/>
      <c r="NKK59" s="74"/>
      <c r="NKL59" s="74"/>
      <c r="NKM59" s="74"/>
      <c r="NKN59" s="74"/>
      <c r="NKO59" s="74"/>
      <c r="NKP59" s="74"/>
      <c r="NKQ59" s="74"/>
      <c r="NKR59" s="74"/>
      <c r="NKS59" s="74"/>
      <c r="NKT59" s="74"/>
      <c r="NKU59" s="74"/>
      <c r="NKV59" s="74"/>
      <c r="NKW59" s="74"/>
      <c r="NKX59" s="74"/>
      <c r="NKY59" s="74"/>
      <c r="NKZ59" s="74"/>
      <c r="NLA59" s="74"/>
      <c r="NLB59" s="74"/>
      <c r="NLC59" s="74"/>
      <c r="NLD59" s="74"/>
      <c r="NLE59" s="74"/>
      <c r="NLF59" s="74"/>
      <c r="NLG59" s="74"/>
      <c r="NLH59" s="74"/>
      <c r="NLI59" s="74"/>
      <c r="NLJ59" s="74"/>
      <c r="NLK59" s="74"/>
      <c r="NLL59" s="74"/>
      <c r="NLM59" s="74"/>
      <c r="NLN59" s="74"/>
      <c r="NLO59" s="74"/>
      <c r="NLP59" s="74"/>
      <c r="NLQ59" s="74"/>
      <c r="NLR59" s="74"/>
      <c r="NLS59" s="74"/>
      <c r="NLT59" s="74"/>
      <c r="NLU59" s="74"/>
      <c r="NLV59" s="74"/>
      <c r="NLW59" s="74"/>
      <c r="NLX59" s="74"/>
      <c r="NLY59" s="74"/>
      <c r="NLZ59" s="74"/>
      <c r="NMA59" s="74"/>
      <c r="NMB59" s="74"/>
      <c r="NMC59" s="74"/>
      <c r="NMD59" s="74"/>
      <c r="NME59" s="74"/>
      <c r="NMF59" s="74"/>
      <c r="NMG59" s="74"/>
      <c r="NMH59" s="74"/>
      <c r="NMI59" s="74"/>
      <c r="NMJ59" s="74"/>
      <c r="NMK59" s="74"/>
      <c r="NML59" s="74"/>
      <c r="NMM59" s="74"/>
      <c r="NMN59" s="74"/>
      <c r="NMO59" s="74"/>
      <c r="NMP59" s="74"/>
      <c r="NMQ59" s="74"/>
      <c r="NMR59" s="74"/>
      <c r="NMS59" s="74"/>
      <c r="NMT59" s="74"/>
      <c r="NMU59" s="74"/>
      <c r="NMV59" s="74"/>
      <c r="NMW59" s="74"/>
      <c r="NMX59" s="74"/>
      <c r="NMY59" s="74"/>
      <c r="NMZ59" s="74"/>
      <c r="NNA59" s="74"/>
      <c r="NNB59" s="74"/>
      <c r="NNC59" s="74"/>
      <c r="NND59" s="74"/>
      <c r="NNE59" s="74"/>
      <c r="NNF59" s="74"/>
      <c r="NNG59" s="74"/>
      <c r="NNH59" s="74"/>
      <c r="NNI59" s="74"/>
      <c r="NNJ59" s="74"/>
      <c r="NNK59" s="74"/>
      <c r="NNL59" s="74"/>
      <c r="NNM59" s="74"/>
      <c r="NNN59" s="74"/>
      <c r="NNO59" s="74"/>
      <c r="NNP59" s="74"/>
      <c r="NNQ59" s="74"/>
      <c r="NNR59" s="74"/>
      <c r="NNS59" s="74"/>
      <c r="NNT59" s="74"/>
      <c r="NNU59" s="74"/>
      <c r="NNV59" s="74"/>
      <c r="NNW59" s="74"/>
      <c r="NNX59" s="74"/>
      <c r="NNY59" s="74"/>
      <c r="NNZ59" s="74"/>
      <c r="NOA59" s="74"/>
      <c r="NOB59" s="74"/>
      <c r="NOC59" s="74"/>
      <c r="NOD59" s="74"/>
      <c r="NOE59" s="74"/>
      <c r="NOF59" s="74"/>
      <c r="NOG59" s="74"/>
      <c r="NOH59" s="74"/>
      <c r="NOI59" s="74"/>
      <c r="NOJ59" s="74"/>
      <c r="NOK59" s="74"/>
      <c r="NOL59" s="74"/>
      <c r="NOM59" s="74"/>
      <c r="NON59" s="74"/>
      <c r="NOO59" s="74"/>
      <c r="NOP59" s="74"/>
      <c r="NOQ59" s="74"/>
      <c r="NOR59" s="74"/>
      <c r="NOS59" s="74"/>
      <c r="NOT59" s="74"/>
      <c r="NOU59" s="74"/>
      <c r="NOV59" s="74"/>
      <c r="NOW59" s="74"/>
      <c r="NOX59" s="74"/>
      <c r="NOY59" s="74"/>
      <c r="NOZ59" s="74"/>
      <c r="NPA59" s="74"/>
      <c r="NPB59" s="74"/>
      <c r="NPC59" s="74"/>
      <c r="NPD59" s="74"/>
      <c r="NPE59" s="74"/>
      <c r="NPF59" s="74"/>
      <c r="NPG59" s="74"/>
      <c r="NPH59" s="74"/>
      <c r="NPI59" s="74"/>
      <c r="NPJ59" s="74"/>
      <c r="NPK59" s="74"/>
      <c r="NPL59" s="74"/>
      <c r="NPM59" s="74"/>
      <c r="NPN59" s="74"/>
      <c r="NPO59" s="74"/>
      <c r="NPP59" s="74"/>
      <c r="NPQ59" s="74"/>
      <c r="NPR59" s="74"/>
      <c r="NPS59" s="74"/>
      <c r="NPT59" s="74"/>
      <c r="NPU59" s="74"/>
      <c r="NPV59" s="74"/>
      <c r="NPW59" s="74"/>
      <c r="NPX59" s="74"/>
      <c r="NPY59" s="74"/>
      <c r="NPZ59" s="74"/>
      <c r="NQA59" s="74"/>
      <c r="NQB59" s="74"/>
      <c r="NQC59" s="74"/>
      <c r="NQD59" s="74"/>
      <c r="NQE59" s="74"/>
      <c r="NQF59" s="74"/>
      <c r="NQG59" s="74"/>
      <c r="NQH59" s="74"/>
      <c r="NQI59" s="74"/>
      <c r="NQJ59" s="74"/>
      <c r="NQK59" s="74"/>
      <c r="NQL59" s="74"/>
      <c r="NQM59" s="74"/>
      <c r="NQN59" s="74"/>
      <c r="NQO59" s="74"/>
      <c r="NQP59" s="74"/>
      <c r="NQQ59" s="74"/>
      <c r="NQR59" s="74"/>
      <c r="NQS59" s="74"/>
      <c r="NQT59" s="74"/>
      <c r="NQU59" s="74"/>
      <c r="NQV59" s="74"/>
      <c r="NQW59" s="74"/>
      <c r="NQX59" s="74"/>
      <c r="NQY59" s="74"/>
      <c r="NQZ59" s="74"/>
      <c r="NRA59" s="74"/>
      <c r="NRB59" s="74"/>
      <c r="NRC59" s="74"/>
      <c r="NRD59" s="74"/>
      <c r="NRE59" s="74"/>
      <c r="NRF59" s="74"/>
      <c r="NRG59" s="74"/>
      <c r="NRH59" s="74"/>
      <c r="NRI59" s="74"/>
      <c r="NRJ59" s="74"/>
      <c r="NRK59" s="74"/>
      <c r="NRL59" s="74"/>
      <c r="NRM59" s="74"/>
      <c r="NRN59" s="74"/>
      <c r="NRO59" s="74"/>
      <c r="NRP59" s="74"/>
      <c r="NRQ59" s="74"/>
      <c r="NRR59" s="74"/>
      <c r="NRS59" s="74"/>
      <c r="NRT59" s="74"/>
      <c r="NRU59" s="74"/>
      <c r="NRV59" s="74"/>
      <c r="NRW59" s="74"/>
      <c r="NRX59" s="74"/>
      <c r="NRY59" s="74"/>
      <c r="NRZ59" s="74"/>
      <c r="NSA59" s="74"/>
      <c r="NSB59" s="74"/>
      <c r="NSC59" s="74"/>
      <c r="NSD59" s="74"/>
      <c r="NSE59" s="74"/>
      <c r="NSF59" s="74"/>
      <c r="NSG59" s="74"/>
      <c r="NSH59" s="74"/>
      <c r="NSI59" s="74"/>
      <c r="NSJ59" s="74"/>
      <c r="NSK59" s="74"/>
      <c r="NSL59" s="74"/>
      <c r="NSM59" s="74"/>
      <c r="NSN59" s="74"/>
      <c r="NSO59" s="74"/>
      <c r="NSP59" s="74"/>
      <c r="NSQ59" s="74"/>
      <c r="NSR59" s="74"/>
      <c r="NSS59" s="74"/>
      <c r="NST59" s="74"/>
      <c r="NSU59" s="74"/>
      <c r="NSV59" s="74"/>
      <c r="NSW59" s="74"/>
      <c r="NSX59" s="74"/>
      <c r="NSY59" s="74"/>
      <c r="NSZ59" s="74"/>
      <c r="NTA59" s="74"/>
      <c r="NTB59" s="74"/>
      <c r="NTC59" s="74"/>
      <c r="NTD59" s="74"/>
      <c r="NTE59" s="74"/>
      <c r="NTF59" s="74"/>
      <c r="NTG59" s="74"/>
      <c r="NTH59" s="74"/>
      <c r="NTI59" s="74"/>
      <c r="NTJ59" s="74"/>
      <c r="NTK59" s="74"/>
      <c r="NTL59" s="74"/>
      <c r="NTM59" s="74"/>
      <c r="NTN59" s="74"/>
      <c r="NTO59" s="74"/>
      <c r="NTP59" s="74"/>
      <c r="NTQ59" s="74"/>
      <c r="NTR59" s="74"/>
      <c r="NTS59" s="74"/>
      <c r="NTT59" s="74"/>
      <c r="NTU59" s="74"/>
      <c r="NTV59" s="74"/>
      <c r="NTW59" s="74"/>
      <c r="NTX59" s="74"/>
      <c r="NTY59" s="74"/>
      <c r="NTZ59" s="74"/>
      <c r="NUA59" s="74"/>
      <c r="NUB59" s="74"/>
      <c r="NUC59" s="74"/>
      <c r="NUD59" s="74"/>
      <c r="NUE59" s="74"/>
      <c r="NUF59" s="74"/>
      <c r="NUG59" s="74"/>
      <c r="NUH59" s="74"/>
      <c r="NUI59" s="74"/>
      <c r="NUJ59" s="74"/>
      <c r="NUK59" s="74"/>
      <c r="NUL59" s="74"/>
      <c r="NUM59" s="74"/>
      <c r="NUN59" s="74"/>
      <c r="NUO59" s="74"/>
      <c r="NUP59" s="74"/>
      <c r="NUQ59" s="74"/>
      <c r="NUR59" s="74"/>
      <c r="NUS59" s="74"/>
      <c r="NUT59" s="74"/>
      <c r="NUU59" s="74"/>
      <c r="NUV59" s="74"/>
      <c r="NUW59" s="74"/>
      <c r="NUX59" s="74"/>
      <c r="NUY59" s="74"/>
      <c r="NUZ59" s="74"/>
      <c r="NVA59" s="74"/>
      <c r="NVB59" s="74"/>
      <c r="NVC59" s="74"/>
      <c r="NVD59" s="74"/>
      <c r="NVE59" s="74"/>
      <c r="NVF59" s="74"/>
      <c r="NVG59" s="74"/>
      <c r="NVH59" s="74"/>
      <c r="NVI59" s="74"/>
      <c r="NVJ59" s="74"/>
      <c r="NVK59" s="74"/>
      <c r="NVL59" s="74"/>
      <c r="NVM59" s="74"/>
      <c r="NVN59" s="74"/>
      <c r="NVO59" s="74"/>
      <c r="NVP59" s="74"/>
      <c r="NVQ59" s="74"/>
      <c r="NVR59" s="74"/>
      <c r="NVS59" s="74"/>
      <c r="NVT59" s="74"/>
      <c r="NVU59" s="74"/>
      <c r="NVV59" s="74"/>
      <c r="NVW59" s="74"/>
      <c r="NVX59" s="74"/>
      <c r="NVY59" s="74"/>
      <c r="NVZ59" s="74"/>
      <c r="NWA59" s="74"/>
      <c r="NWB59" s="74"/>
      <c r="NWC59" s="74"/>
      <c r="NWD59" s="74"/>
      <c r="NWE59" s="74"/>
      <c r="NWF59" s="74"/>
      <c r="NWG59" s="74"/>
      <c r="NWH59" s="74"/>
      <c r="NWI59" s="74"/>
      <c r="NWJ59" s="74"/>
      <c r="NWK59" s="74"/>
      <c r="NWL59" s="74"/>
      <c r="NWM59" s="74"/>
      <c r="NWN59" s="74"/>
      <c r="NWO59" s="74"/>
      <c r="NWP59" s="74"/>
      <c r="NWQ59" s="74"/>
      <c r="NWR59" s="74"/>
      <c r="NWS59" s="74"/>
      <c r="NWT59" s="74"/>
      <c r="NWU59" s="74"/>
      <c r="NWV59" s="74"/>
      <c r="NWW59" s="74"/>
      <c r="NWX59" s="74"/>
      <c r="NWY59" s="74"/>
      <c r="NWZ59" s="74"/>
      <c r="NXA59" s="74"/>
      <c r="NXB59" s="74"/>
      <c r="NXC59" s="74"/>
      <c r="NXD59" s="74"/>
      <c r="NXE59" s="74"/>
      <c r="NXF59" s="74"/>
      <c r="NXG59" s="74"/>
      <c r="NXH59" s="74"/>
      <c r="NXI59" s="74"/>
      <c r="NXJ59" s="74"/>
      <c r="NXK59" s="74"/>
      <c r="NXL59" s="74"/>
      <c r="NXM59" s="74"/>
      <c r="NXN59" s="74"/>
      <c r="NXO59" s="74"/>
      <c r="NXP59" s="74"/>
      <c r="NXQ59" s="74"/>
      <c r="NXR59" s="74"/>
      <c r="NXS59" s="74"/>
      <c r="NXT59" s="74"/>
      <c r="NXU59" s="74"/>
      <c r="NXV59" s="74"/>
      <c r="NXW59" s="74"/>
      <c r="NXX59" s="74"/>
      <c r="NXY59" s="74"/>
      <c r="NXZ59" s="74"/>
      <c r="NYA59" s="74"/>
      <c r="NYB59" s="74"/>
      <c r="NYC59" s="74"/>
      <c r="NYD59" s="74"/>
      <c r="NYE59" s="74"/>
      <c r="NYF59" s="74"/>
      <c r="NYG59" s="74"/>
      <c r="NYH59" s="74"/>
      <c r="NYI59" s="74"/>
      <c r="NYJ59" s="74"/>
      <c r="NYK59" s="74"/>
      <c r="NYL59" s="74"/>
      <c r="NYM59" s="74"/>
      <c r="NYN59" s="74"/>
      <c r="NYO59" s="74"/>
      <c r="NYP59" s="74"/>
      <c r="NYQ59" s="74"/>
      <c r="NYR59" s="74"/>
      <c r="NYS59" s="74"/>
      <c r="NYT59" s="74"/>
      <c r="NYU59" s="74"/>
      <c r="NYV59" s="74"/>
      <c r="NYW59" s="74"/>
      <c r="NYX59" s="74"/>
      <c r="NYY59" s="74"/>
      <c r="NYZ59" s="74"/>
      <c r="NZA59" s="74"/>
      <c r="NZB59" s="74"/>
      <c r="NZC59" s="74"/>
      <c r="NZD59" s="74"/>
      <c r="NZE59" s="74"/>
      <c r="NZF59" s="74"/>
      <c r="NZG59" s="74"/>
      <c r="NZH59" s="74"/>
      <c r="NZI59" s="74"/>
      <c r="NZJ59" s="74"/>
      <c r="NZK59" s="74"/>
      <c r="NZL59" s="74"/>
      <c r="NZM59" s="74"/>
      <c r="NZN59" s="74"/>
      <c r="NZO59" s="74"/>
      <c r="NZP59" s="74"/>
      <c r="NZQ59" s="74"/>
      <c r="NZR59" s="74"/>
      <c r="NZS59" s="74"/>
      <c r="NZT59" s="74"/>
      <c r="NZU59" s="74"/>
      <c r="NZV59" s="74"/>
      <c r="NZW59" s="74"/>
      <c r="NZX59" s="74"/>
      <c r="NZY59" s="74"/>
      <c r="NZZ59" s="74"/>
      <c r="OAA59" s="74"/>
      <c r="OAB59" s="74"/>
      <c r="OAC59" s="74"/>
      <c r="OAD59" s="74"/>
      <c r="OAE59" s="74"/>
      <c r="OAF59" s="74"/>
      <c r="OAG59" s="74"/>
      <c r="OAH59" s="74"/>
      <c r="OAI59" s="74"/>
      <c r="OAJ59" s="74"/>
      <c r="OAK59" s="74"/>
      <c r="OAL59" s="74"/>
      <c r="OAM59" s="74"/>
      <c r="OAN59" s="74"/>
      <c r="OAO59" s="74"/>
      <c r="OAP59" s="74"/>
      <c r="OAQ59" s="74"/>
      <c r="OAR59" s="74"/>
      <c r="OAS59" s="74"/>
      <c r="OAT59" s="74"/>
      <c r="OAU59" s="74"/>
      <c r="OAV59" s="74"/>
      <c r="OAW59" s="74"/>
      <c r="OAX59" s="74"/>
      <c r="OAY59" s="74"/>
      <c r="OAZ59" s="74"/>
      <c r="OBA59" s="74"/>
      <c r="OBB59" s="74"/>
      <c r="OBC59" s="74"/>
      <c r="OBD59" s="74"/>
      <c r="OBE59" s="74"/>
      <c r="OBF59" s="74"/>
      <c r="OBG59" s="74"/>
      <c r="OBH59" s="74"/>
      <c r="OBI59" s="74"/>
      <c r="OBJ59" s="74"/>
      <c r="OBK59" s="74"/>
      <c r="OBL59" s="74"/>
      <c r="OBM59" s="74"/>
      <c r="OBN59" s="74"/>
      <c r="OBO59" s="74"/>
      <c r="OBP59" s="74"/>
      <c r="OBQ59" s="74"/>
      <c r="OBR59" s="74"/>
      <c r="OBS59" s="74"/>
      <c r="OBT59" s="74"/>
      <c r="OBU59" s="74"/>
      <c r="OBV59" s="74"/>
      <c r="OBW59" s="74"/>
      <c r="OBX59" s="74"/>
      <c r="OBY59" s="74"/>
      <c r="OBZ59" s="74"/>
      <c r="OCA59" s="74"/>
      <c r="OCB59" s="74"/>
      <c r="OCC59" s="74"/>
      <c r="OCD59" s="74"/>
      <c r="OCE59" s="74"/>
      <c r="OCF59" s="74"/>
      <c r="OCG59" s="74"/>
      <c r="OCH59" s="74"/>
      <c r="OCI59" s="74"/>
      <c r="OCJ59" s="74"/>
      <c r="OCK59" s="74"/>
      <c r="OCL59" s="74"/>
      <c r="OCM59" s="74"/>
      <c r="OCN59" s="74"/>
      <c r="OCO59" s="74"/>
      <c r="OCP59" s="74"/>
      <c r="OCQ59" s="74"/>
      <c r="OCR59" s="74"/>
      <c r="OCS59" s="74"/>
      <c r="OCT59" s="74"/>
      <c r="OCU59" s="74"/>
      <c r="OCV59" s="74"/>
      <c r="OCW59" s="74"/>
      <c r="OCX59" s="74"/>
      <c r="OCY59" s="74"/>
      <c r="OCZ59" s="74"/>
      <c r="ODA59" s="74"/>
      <c r="ODB59" s="74"/>
      <c r="ODC59" s="74"/>
      <c r="ODD59" s="74"/>
      <c r="ODE59" s="74"/>
      <c r="ODF59" s="74"/>
      <c r="ODG59" s="74"/>
      <c r="ODH59" s="74"/>
      <c r="ODI59" s="74"/>
      <c r="ODJ59" s="74"/>
      <c r="ODK59" s="74"/>
      <c r="ODL59" s="74"/>
      <c r="ODM59" s="74"/>
      <c r="ODN59" s="74"/>
      <c r="ODO59" s="74"/>
      <c r="ODP59" s="74"/>
      <c r="ODQ59" s="74"/>
      <c r="ODR59" s="74"/>
      <c r="ODS59" s="74"/>
      <c r="ODT59" s="74"/>
      <c r="ODU59" s="74"/>
      <c r="ODV59" s="74"/>
      <c r="ODW59" s="74"/>
      <c r="ODX59" s="74"/>
      <c r="ODY59" s="74"/>
      <c r="ODZ59" s="74"/>
      <c r="OEA59" s="74"/>
      <c r="OEB59" s="74"/>
      <c r="OEC59" s="74"/>
      <c r="OED59" s="74"/>
      <c r="OEE59" s="74"/>
      <c r="OEF59" s="74"/>
      <c r="OEG59" s="74"/>
      <c r="OEH59" s="74"/>
      <c r="OEI59" s="74"/>
      <c r="OEJ59" s="74"/>
      <c r="OEK59" s="74"/>
      <c r="OEL59" s="74"/>
      <c r="OEM59" s="74"/>
      <c r="OEN59" s="74"/>
      <c r="OEO59" s="74"/>
      <c r="OEP59" s="74"/>
      <c r="OEQ59" s="74"/>
      <c r="OER59" s="74"/>
      <c r="OES59" s="74"/>
      <c r="OET59" s="74"/>
      <c r="OEU59" s="74"/>
      <c r="OEV59" s="74"/>
      <c r="OEW59" s="74"/>
      <c r="OEX59" s="74"/>
      <c r="OEY59" s="74"/>
      <c r="OEZ59" s="74"/>
      <c r="OFA59" s="74"/>
      <c r="OFB59" s="74"/>
      <c r="OFC59" s="74"/>
      <c r="OFD59" s="74"/>
      <c r="OFE59" s="74"/>
      <c r="OFF59" s="74"/>
      <c r="OFG59" s="74"/>
      <c r="OFH59" s="74"/>
      <c r="OFI59" s="74"/>
      <c r="OFJ59" s="74"/>
      <c r="OFK59" s="74"/>
      <c r="OFL59" s="74"/>
      <c r="OFM59" s="74"/>
      <c r="OFN59" s="74"/>
      <c r="OFO59" s="74"/>
      <c r="OFP59" s="74"/>
      <c r="OFQ59" s="74"/>
      <c r="OFR59" s="74"/>
      <c r="OFS59" s="74"/>
      <c r="OFT59" s="74"/>
      <c r="OFU59" s="74"/>
      <c r="OFV59" s="74"/>
      <c r="OFW59" s="74"/>
      <c r="OFX59" s="74"/>
      <c r="OFY59" s="74"/>
      <c r="OFZ59" s="74"/>
      <c r="OGA59" s="74"/>
      <c r="OGB59" s="74"/>
      <c r="OGC59" s="74"/>
      <c r="OGD59" s="74"/>
      <c r="OGE59" s="74"/>
      <c r="OGF59" s="74"/>
      <c r="OGG59" s="74"/>
      <c r="OGH59" s="74"/>
      <c r="OGI59" s="74"/>
      <c r="OGJ59" s="74"/>
      <c r="OGK59" s="74"/>
      <c r="OGL59" s="74"/>
      <c r="OGM59" s="74"/>
      <c r="OGN59" s="74"/>
      <c r="OGO59" s="74"/>
      <c r="OGP59" s="74"/>
      <c r="OGQ59" s="74"/>
      <c r="OGR59" s="74"/>
      <c r="OGS59" s="74"/>
      <c r="OGT59" s="74"/>
      <c r="OGU59" s="74"/>
      <c r="OGV59" s="74"/>
      <c r="OGW59" s="74"/>
      <c r="OGX59" s="74"/>
      <c r="OGY59" s="74"/>
      <c r="OGZ59" s="74"/>
      <c r="OHA59" s="74"/>
      <c r="OHB59" s="74"/>
      <c r="OHC59" s="74"/>
      <c r="OHD59" s="74"/>
      <c r="OHE59" s="74"/>
      <c r="OHF59" s="74"/>
      <c r="OHG59" s="74"/>
      <c r="OHH59" s="74"/>
      <c r="OHI59" s="74"/>
      <c r="OHJ59" s="74"/>
      <c r="OHK59" s="74"/>
      <c r="OHL59" s="74"/>
      <c r="OHM59" s="74"/>
      <c r="OHN59" s="74"/>
      <c r="OHO59" s="74"/>
      <c r="OHP59" s="74"/>
      <c r="OHQ59" s="74"/>
      <c r="OHR59" s="74"/>
      <c r="OHS59" s="74"/>
      <c r="OHT59" s="74"/>
      <c r="OHU59" s="74"/>
      <c r="OHV59" s="74"/>
      <c r="OHW59" s="74"/>
      <c r="OHX59" s="74"/>
      <c r="OHY59" s="74"/>
      <c r="OHZ59" s="74"/>
      <c r="OIA59" s="74"/>
      <c r="OIB59" s="74"/>
      <c r="OIC59" s="74"/>
      <c r="OID59" s="74"/>
      <c r="OIE59" s="74"/>
      <c r="OIF59" s="74"/>
      <c r="OIG59" s="74"/>
      <c r="OIH59" s="74"/>
      <c r="OII59" s="74"/>
      <c r="OIJ59" s="74"/>
      <c r="OIK59" s="74"/>
      <c r="OIL59" s="74"/>
      <c r="OIM59" s="74"/>
      <c r="OIN59" s="74"/>
      <c r="OIO59" s="74"/>
      <c r="OIP59" s="74"/>
      <c r="OIQ59" s="74"/>
      <c r="OIR59" s="74"/>
      <c r="OIS59" s="74"/>
      <c r="OIT59" s="74"/>
      <c r="OIU59" s="74"/>
      <c r="OIV59" s="74"/>
      <c r="OIW59" s="74"/>
      <c r="OIX59" s="74"/>
      <c r="OIY59" s="74"/>
      <c r="OIZ59" s="74"/>
      <c r="OJA59" s="74"/>
      <c r="OJB59" s="74"/>
      <c r="OJC59" s="74"/>
      <c r="OJD59" s="74"/>
      <c r="OJE59" s="74"/>
      <c r="OJF59" s="74"/>
      <c r="OJG59" s="74"/>
      <c r="OJH59" s="74"/>
      <c r="OJI59" s="74"/>
      <c r="OJJ59" s="74"/>
      <c r="OJK59" s="74"/>
      <c r="OJL59" s="74"/>
      <c r="OJM59" s="74"/>
      <c r="OJN59" s="74"/>
      <c r="OJO59" s="74"/>
      <c r="OJP59" s="74"/>
      <c r="OJQ59" s="74"/>
      <c r="OJR59" s="74"/>
      <c r="OJS59" s="74"/>
      <c r="OJT59" s="74"/>
      <c r="OJU59" s="74"/>
      <c r="OJV59" s="74"/>
      <c r="OJW59" s="74"/>
      <c r="OJX59" s="74"/>
      <c r="OJY59" s="74"/>
      <c r="OJZ59" s="74"/>
      <c r="OKA59" s="74"/>
      <c r="OKB59" s="74"/>
      <c r="OKC59" s="74"/>
      <c r="OKD59" s="74"/>
      <c r="OKE59" s="74"/>
      <c r="OKF59" s="74"/>
      <c r="OKG59" s="74"/>
      <c r="OKH59" s="74"/>
      <c r="OKI59" s="74"/>
      <c r="OKJ59" s="74"/>
      <c r="OKK59" s="74"/>
      <c r="OKL59" s="74"/>
      <c r="OKM59" s="74"/>
      <c r="OKN59" s="74"/>
      <c r="OKO59" s="74"/>
      <c r="OKP59" s="74"/>
      <c r="OKQ59" s="74"/>
      <c r="OKR59" s="74"/>
      <c r="OKS59" s="74"/>
      <c r="OKT59" s="74"/>
      <c r="OKU59" s="74"/>
      <c r="OKV59" s="74"/>
      <c r="OKW59" s="74"/>
      <c r="OKX59" s="74"/>
      <c r="OKY59" s="74"/>
      <c r="OKZ59" s="74"/>
      <c r="OLA59" s="74"/>
      <c r="OLB59" s="74"/>
      <c r="OLC59" s="74"/>
      <c r="OLD59" s="74"/>
      <c r="OLE59" s="74"/>
      <c r="OLF59" s="74"/>
      <c r="OLG59" s="74"/>
      <c r="OLH59" s="74"/>
      <c r="OLI59" s="74"/>
      <c r="OLJ59" s="74"/>
      <c r="OLK59" s="74"/>
      <c r="OLL59" s="74"/>
      <c r="OLM59" s="74"/>
      <c r="OLN59" s="74"/>
      <c r="OLO59" s="74"/>
      <c r="OLP59" s="74"/>
      <c r="OLQ59" s="74"/>
      <c r="OLR59" s="74"/>
      <c r="OLS59" s="74"/>
      <c r="OLT59" s="74"/>
      <c r="OLU59" s="74"/>
      <c r="OLV59" s="74"/>
      <c r="OLW59" s="74"/>
      <c r="OLX59" s="74"/>
      <c r="OLY59" s="74"/>
      <c r="OLZ59" s="74"/>
      <c r="OMA59" s="74"/>
      <c r="OMB59" s="74"/>
      <c r="OMC59" s="74"/>
      <c r="OMD59" s="74"/>
      <c r="OME59" s="74"/>
      <c r="OMF59" s="74"/>
      <c r="OMG59" s="74"/>
      <c r="OMH59" s="74"/>
      <c r="OMI59" s="74"/>
      <c r="OMJ59" s="74"/>
      <c r="OMK59" s="74"/>
      <c r="OML59" s="74"/>
      <c r="OMM59" s="74"/>
      <c r="OMN59" s="74"/>
      <c r="OMO59" s="74"/>
      <c r="OMP59" s="74"/>
      <c r="OMQ59" s="74"/>
      <c r="OMR59" s="74"/>
      <c r="OMS59" s="74"/>
      <c r="OMT59" s="74"/>
      <c r="OMU59" s="74"/>
      <c r="OMV59" s="74"/>
      <c r="OMW59" s="74"/>
      <c r="OMX59" s="74"/>
      <c r="OMY59" s="74"/>
      <c r="OMZ59" s="74"/>
      <c r="ONA59" s="74"/>
      <c r="ONB59" s="74"/>
      <c r="ONC59" s="74"/>
      <c r="OND59" s="74"/>
      <c r="ONE59" s="74"/>
      <c r="ONF59" s="74"/>
      <c r="ONG59" s="74"/>
      <c r="ONH59" s="74"/>
      <c r="ONI59" s="74"/>
      <c r="ONJ59" s="74"/>
      <c r="ONK59" s="74"/>
      <c r="ONL59" s="74"/>
      <c r="ONM59" s="74"/>
      <c r="ONN59" s="74"/>
      <c r="ONO59" s="74"/>
      <c r="ONP59" s="74"/>
      <c r="ONQ59" s="74"/>
      <c r="ONR59" s="74"/>
      <c r="ONS59" s="74"/>
      <c r="ONT59" s="74"/>
      <c r="ONU59" s="74"/>
      <c r="ONV59" s="74"/>
      <c r="ONW59" s="74"/>
      <c r="ONX59" s="74"/>
      <c r="ONY59" s="74"/>
      <c r="ONZ59" s="74"/>
      <c r="OOA59" s="74"/>
      <c r="OOB59" s="74"/>
      <c r="OOC59" s="74"/>
      <c r="OOD59" s="74"/>
      <c r="OOE59" s="74"/>
      <c r="OOF59" s="74"/>
      <c r="OOG59" s="74"/>
      <c r="OOH59" s="74"/>
      <c r="OOI59" s="74"/>
      <c r="OOJ59" s="74"/>
      <c r="OOK59" s="74"/>
      <c r="OOL59" s="74"/>
      <c r="OOM59" s="74"/>
      <c r="OON59" s="74"/>
      <c r="OOO59" s="74"/>
      <c r="OOP59" s="74"/>
      <c r="OOQ59" s="74"/>
      <c r="OOR59" s="74"/>
      <c r="OOS59" s="74"/>
      <c r="OOT59" s="74"/>
      <c r="OOU59" s="74"/>
      <c r="OOV59" s="74"/>
      <c r="OOW59" s="74"/>
      <c r="OOX59" s="74"/>
      <c r="OOY59" s="74"/>
      <c r="OOZ59" s="74"/>
      <c r="OPA59" s="74"/>
      <c r="OPB59" s="74"/>
      <c r="OPC59" s="74"/>
      <c r="OPD59" s="74"/>
      <c r="OPE59" s="74"/>
      <c r="OPF59" s="74"/>
      <c r="OPG59" s="74"/>
      <c r="OPH59" s="74"/>
      <c r="OPI59" s="74"/>
      <c r="OPJ59" s="74"/>
      <c r="OPK59" s="74"/>
      <c r="OPL59" s="74"/>
      <c r="OPM59" s="74"/>
      <c r="OPN59" s="74"/>
      <c r="OPO59" s="74"/>
      <c r="OPP59" s="74"/>
      <c r="OPQ59" s="74"/>
      <c r="OPR59" s="74"/>
      <c r="OPS59" s="74"/>
      <c r="OPT59" s="74"/>
      <c r="OPU59" s="74"/>
      <c r="OPV59" s="74"/>
      <c r="OPW59" s="74"/>
      <c r="OPX59" s="74"/>
      <c r="OPY59" s="74"/>
      <c r="OPZ59" s="74"/>
      <c r="OQA59" s="74"/>
      <c r="OQB59" s="74"/>
      <c r="OQC59" s="74"/>
      <c r="OQD59" s="74"/>
      <c r="OQE59" s="74"/>
      <c r="OQF59" s="74"/>
      <c r="OQG59" s="74"/>
      <c r="OQH59" s="74"/>
      <c r="OQI59" s="74"/>
      <c r="OQJ59" s="74"/>
      <c r="OQK59" s="74"/>
      <c r="OQL59" s="74"/>
      <c r="OQM59" s="74"/>
      <c r="OQN59" s="74"/>
      <c r="OQO59" s="74"/>
      <c r="OQP59" s="74"/>
      <c r="OQQ59" s="74"/>
      <c r="OQR59" s="74"/>
      <c r="OQS59" s="74"/>
      <c r="OQT59" s="74"/>
      <c r="OQU59" s="74"/>
      <c r="OQV59" s="74"/>
      <c r="OQW59" s="74"/>
      <c r="OQX59" s="74"/>
      <c r="OQY59" s="74"/>
      <c r="OQZ59" s="74"/>
      <c r="ORA59" s="74"/>
      <c r="ORB59" s="74"/>
      <c r="ORC59" s="74"/>
      <c r="ORD59" s="74"/>
      <c r="ORE59" s="74"/>
      <c r="ORF59" s="74"/>
      <c r="ORG59" s="74"/>
      <c r="ORH59" s="74"/>
      <c r="ORI59" s="74"/>
      <c r="ORJ59" s="74"/>
      <c r="ORK59" s="74"/>
      <c r="ORL59" s="74"/>
      <c r="ORM59" s="74"/>
      <c r="ORN59" s="74"/>
      <c r="ORO59" s="74"/>
      <c r="ORP59" s="74"/>
      <c r="ORQ59" s="74"/>
      <c r="ORR59" s="74"/>
      <c r="ORS59" s="74"/>
      <c r="ORT59" s="74"/>
      <c r="ORU59" s="74"/>
      <c r="ORV59" s="74"/>
      <c r="ORW59" s="74"/>
      <c r="ORX59" s="74"/>
      <c r="ORY59" s="74"/>
      <c r="ORZ59" s="74"/>
      <c r="OSA59" s="74"/>
      <c r="OSB59" s="74"/>
      <c r="OSC59" s="74"/>
      <c r="OSD59" s="74"/>
      <c r="OSE59" s="74"/>
      <c r="OSF59" s="74"/>
      <c r="OSG59" s="74"/>
      <c r="OSH59" s="74"/>
      <c r="OSI59" s="74"/>
      <c r="OSJ59" s="74"/>
      <c r="OSK59" s="74"/>
      <c r="OSL59" s="74"/>
      <c r="OSM59" s="74"/>
      <c r="OSN59" s="74"/>
      <c r="OSO59" s="74"/>
      <c r="OSP59" s="74"/>
      <c r="OSQ59" s="74"/>
      <c r="OSR59" s="74"/>
      <c r="OSS59" s="74"/>
      <c r="OST59" s="74"/>
      <c r="OSU59" s="74"/>
      <c r="OSV59" s="74"/>
      <c r="OSW59" s="74"/>
      <c r="OSX59" s="74"/>
      <c r="OSY59" s="74"/>
      <c r="OSZ59" s="74"/>
      <c r="OTA59" s="74"/>
      <c r="OTB59" s="74"/>
      <c r="OTC59" s="74"/>
      <c r="OTD59" s="74"/>
      <c r="OTE59" s="74"/>
      <c r="OTF59" s="74"/>
      <c r="OTG59" s="74"/>
      <c r="OTH59" s="74"/>
      <c r="OTI59" s="74"/>
      <c r="OTJ59" s="74"/>
      <c r="OTK59" s="74"/>
      <c r="OTL59" s="74"/>
      <c r="OTM59" s="74"/>
      <c r="OTN59" s="74"/>
      <c r="OTO59" s="74"/>
      <c r="OTP59" s="74"/>
      <c r="OTQ59" s="74"/>
      <c r="OTR59" s="74"/>
      <c r="OTS59" s="74"/>
      <c r="OTT59" s="74"/>
      <c r="OTU59" s="74"/>
      <c r="OTV59" s="74"/>
      <c r="OTW59" s="74"/>
      <c r="OTX59" s="74"/>
      <c r="OTY59" s="74"/>
      <c r="OTZ59" s="74"/>
      <c r="OUA59" s="74"/>
      <c r="OUB59" s="74"/>
      <c r="OUC59" s="74"/>
      <c r="OUD59" s="74"/>
      <c r="OUE59" s="74"/>
      <c r="OUF59" s="74"/>
      <c r="OUG59" s="74"/>
      <c r="OUH59" s="74"/>
      <c r="OUI59" s="74"/>
      <c r="OUJ59" s="74"/>
      <c r="OUK59" s="74"/>
      <c r="OUL59" s="74"/>
      <c r="OUM59" s="74"/>
      <c r="OUN59" s="74"/>
      <c r="OUO59" s="74"/>
      <c r="OUP59" s="74"/>
      <c r="OUQ59" s="74"/>
      <c r="OUR59" s="74"/>
      <c r="OUS59" s="74"/>
      <c r="OUT59" s="74"/>
      <c r="OUU59" s="74"/>
      <c r="OUV59" s="74"/>
      <c r="OUW59" s="74"/>
      <c r="OUX59" s="74"/>
      <c r="OUY59" s="74"/>
      <c r="OUZ59" s="74"/>
      <c r="OVA59" s="74"/>
      <c r="OVB59" s="74"/>
      <c r="OVC59" s="74"/>
      <c r="OVD59" s="74"/>
      <c r="OVE59" s="74"/>
      <c r="OVF59" s="74"/>
      <c r="OVG59" s="74"/>
      <c r="OVH59" s="74"/>
      <c r="OVI59" s="74"/>
      <c r="OVJ59" s="74"/>
      <c r="OVK59" s="74"/>
      <c r="OVL59" s="74"/>
      <c r="OVM59" s="74"/>
      <c r="OVN59" s="74"/>
      <c r="OVO59" s="74"/>
      <c r="OVP59" s="74"/>
      <c r="OVQ59" s="74"/>
      <c r="OVR59" s="74"/>
      <c r="OVS59" s="74"/>
      <c r="OVT59" s="74"/>
      <c r="OVU59" s="74"/>
      <c r="OVV59" s="74"/>
      <c r="OVW59" s="74"/>
      <c r="OVX59" s="74"/>
      <c r="OVY59" s="74"/>
      <c r="OVZ59" s="74"/>
      <c r="OWA59" s="74"/>
      <c r="OWB59" s="74"/>
      <c r="OWC59" s="74"/>
      <c r="OWD59" s="74"/>
      <c r="OWE59" s="74"/>
      <c r="OWF59" s="74"/>
      <c r="OWG59" s="74"/>
      <c r="OWH59" s="74"/>
      <c r="OWI59" s="74"/>
      <c r="OWJ59" s="74"/>
      <c r="OWK59" s="74"/>
      <c r="OWL59" s="74"/>
      <c r="OWM59" s="74"/>
      <c r="OWN59" s="74"/>
      <c r="OWO59" s="74"/>
      <c r="OWP59" s="74"/>
      <c r="OWQ59" s="74"/>
      <c r="OWR59" s="74"/>
      <c r="OWS59" s="74"/>
      <c r="OWT59" s="74"/>
      <c r="OWU59" s="74"/>
      <c r="OWV59" s="74"/>
      <c r="OWW59" s="74"/>
      <c r="OWX59" s="74"/>
      <c r="OWY59" s="74"/>
      <c r="OWZ59" s="74"/>
      <c r="OXA59" s="74"/>
      <c r="OXB59" s="74"/>
      <c r="OXC59" s="74"/>
      <c r="OXD59" s="74"/>
      <c r="OXE59" s="74"/>
      <c r="OXF59" s="74"/>
      <c r="OXG59" s="74"/>
      <c r="OXH59" s="74"/>
      <c r="OXI59" s="74"/>
      <c r="OXJ59" s="74"/>
      <c r="OXK59" s="74"/>
      <c r="OXL59" s="74"/>
      <c r="OXM59" s="74"/>
      <c r="OXN59" s="74"/>
      <c r="OXO59" s="74"/>
      <c r="OXP59" s="74"/>
      <c r="OXQ59" s="74"/>
      <c r="OXR59" s="74"/>
      <c r="OXS59" s="74"/>
      <c r="OXT59" s="74"/>
      <c r="OXU59" s="74"/>
      <c r="OXV59" s="74"/>
      <c r="OXW59" s="74"/>
      <c r="OXX59" s="74"/>
      <c r="OXY59" s="74"/>
      <c r="OXZ59" s="74"/>
      <c r="OYA59" s="74"/>
      <c r="OYB59" s="74"/>
      <c r="OYC59" s="74"/>
      <c r="OYD59" s="74"/>
      <c r="OYE59" s="74"/>
      <c r="OYF59" s="74"/>
      <c r="OYG59" s="74"/>
      <c r="OYH59" s="74"/>
      <c r="OYI59" s="74"/>
      <c r="OYJ59" s="74"/>
      <c r="OYK59" s="74"/>
      <c r="OYL59" s="74"/>
      <c r="OYM59" s="74"/>
      <c r="OYN59" s="74"/>
      <c r="OYO59" s="74"/>
      <c r="OYP59" s="74"/>
      <c r="OYQ59" s="74"/>
      <c r="OYR59" s="74"/>
      <c r="OYS59" s="74"/>
      <c r="OYT59" s="74"/>
      <c r="OYU59" s="74"/>
      <c r="OYV59" s="74"/>
      <c r="OYW59" s="74"/>
      <c r="OYX59" s="74"/>
      <c r="OYY59" s="74"/>
      <c r="OYZ59" s="74"/>
      <c r="OZA59" s="74"/>
      <c r="OZB59" s="74"/>
      <c r="OZC59" s="74"/>
      <c r="OZD59" s="74"/>
      <c r="OZE59" s="74"/>
      <c r="OZF59" s="74"/>
      <c r="OZG59" s="74"/>
      <c r="OZH59" s="74"/>
      <c r="OZI59" s="74"/>
      <c r="OZJ59" s="74"/>
      <c r="OZK59" s="74"/>
      <c r="OZL59" s="74"/>
      <c r="OZM59" s="74"/>
      <c r="OZN59" s="74"/>
      <c r="OZO59" s="74"/>
      <c r="OZP59" s="74"/>
      <c r="OZQ59" s="74"/>
      <c r="OZR59" s="74"/>
      <c r="OZS59" s="74"/>
      <c r="OZT59" s="74"/>
      <c r="OZU59" s="74"/>
      <c r="OZV59" s="74"/>
      <c r="OZW59" s="74"/>
      <c r="OZX59" s="74"/>
      <c r="OZY59" s="74"/>
      <c r="OZZ59" s="74"/>
      <c r="PAA59" s="74"/>
      <c r="PAB59" s="74"/>
      <c r="PAC59" s="74"/>
      <c r="PAD59" s="74"/>
      <c r="PAE59" s="74"/>
      <c r="PAF59" s="74"/>
      <c r="PAG59" s="74"/>
      <c r="PAH59" s="74"/>
      <c r="PAI59" s="74"/>
      <c r="PAJ59" s="74"/>
      <c r="PAK59" s="74"/>
      <c r="PAL59" s="74"/>
      <c r="PAM59" s="74"/>
      <c r="PAN59" s="74"/>
      <c r="PAO59" s="74"/>
      <c r="PAP59" s="74"/>
      <c r="PAQ59" s="74"/>
      <c r="PAR59" s="74"/>
      <c r="PAS59" s="74"/>
      <c r="PAT59" s="74"/>
      <c r="PAU59" s="74"/>
      <c r="PAV59" s="74"/>
      <c r="PAW59" s="74"/>
      <c r="PAX59" s="74"/>
      <c r="PAY59" s="74"/>
      <c r="PAZ59" s="74"/>
      <c r="PBA59" s="74"/>
      <c r="PBB59" s="74"/>
      <c r="PBC59" s="74"/>
      <c r="PBD59" s="74"/>
      <c r="PBE59" s="74"/>
      <c r="PBF59" s="74"/>
      <c r="PBG59" s="74"/>
      <c r="PBH59" s="74"/>
      <c r="PBI59" s="74"/>
      <c r="PBJ59" s="74"/>
      <c r="PBK59" s="74"/>
      <c r="PBL59" s="74"/>
      <c r="PBM59" s="74"/>
      <c r="PBN59" s="74"/>
      <c r="PBO59" s="74"/>
      <c r="PBP59" s="74"/>
      <c r="PBQ59" s="74"/>
      <c r="PBR59" s="74"/>
      <c r="PBS59" s="74"/>
      <c r="PBT59" s="74"/>
      <c r="PBU59" s="74"/>
      <c r="PBV59" s="74"/>
      <c r="PBW59" s="74"/>
      <c r="PBX59" s="74"/>
      <c r="PBY59" s="74"/>
      <c r="PBZ59" s="74"/>
      <c r="PCA59" s="74"/>
      <c r="PCB59" s="74"/>
      <c r="PCC59" s="74"/>
      <c r="PCD59" s="74"/>
      <c r="PCE59" s="74"/>
      <c r="PCF59" s="74"/>
      <c r="PCG59" s="74"/>
      <c r="PCH59" s="74"/>
      <c r="PCI59" s="74"/>
      <c r="PCJ59" s="74"/>
      <c r="PCK59" s="74"/>
      <c r="PCL59" s="74"/>
      <c r="PCM59" s="74"/>
      <c r="PCN59" s="74"/>
      <c r="PCO59" s="74"/>
      <c r="PCP59" s="74"/>
      <c r="PCQ59" s="74"/>
      <c r="PCR59" s="74"/>
      <c r="PCS59" s="74"/>
      <c r="PCT59" s="74"/>
      <c r="PCU59" s="74"/>
      <c r="PCV59" s="74"/>
      <c r="PCW59" s="74"/>
      <c r="PCX59" s="74"/>
      <c r="PCY59" s="74"/>
      <c r="PCZ59" s="74"/>
      <c r="PDA59" s="74"/>
      <c r="PDB59" s="74"/>
      <c r="PDC59" s="74"/>
      <c r="PDD59" s="74"/>
      <c r="PDE59" s="74"/>
      <c r="PDF59" s="74"/>
      <c r="PDG59" s="74"/>
      <c r="PDH59" s="74"/>
      <c r="PDI59" s="74"/>
      <c r="PDJ59" s="74"/>
      <c r="PDK59" s="74"/>
      <c r="PDL59" s="74"/>
      <c r="PDM59" s="74"/>
      <c r="PDN59" s="74"/>
      <c r="PDO59" s="74"/>
      <c r="PDP59" s="74"/>
      <c r="PDQ59" s="74"/>
      <c r="PDR59" s="74"/>
      <c r="PDS59" s="74"/>
      <c r="PDT59" s="74"/>
      <c r="PDU59" s="74"/>
      <c r="PDV59" s="74"/>
      <c r="PDW59" s="74"/>
      <c r="PDX59" s="74"/>
      <c r="PDY59" s="74"/>
      <c r="PDZ59" s="74"/>
      <c r="PEA59" s="74"/>
      <c r="PEB59" s="74"/>
      <c r="PEC59" s="74"/>
      <c r="PED59" s="74"/>
      <c r="PEE59" s="74"/>
      <c r="PEF59" s="74"/>
      <c r="PEG59" s="74"/>
      <c r="PEH59" s="74"/>
      <c r="PEI59" s="74"/>
      <c r="PEJ59" s="74"/>
      <c r="PEK59" s="74"/>
      <c r="PEL59" s="74"/>
      <c r="PEM59" s="74"/>
      <c r="PEN59" s="74"/>
      <c r="PEO59" s="74"/>
      <c r="PEP59" s="74"/>
      <c r="PEQ59" s="74"/>
      <c r="PER59" s="74"/>
      <c r="PES59" s="74"/>
      <c r="PET59" s="74"/>
      <c r="PEU59" s="74"/>
      <c r="PEV59" s="74"/>
      <c r="PEW59" s="74"/>
      <c r="PEX59" s="74"/>
      <c r="PEY59" s="74"/>
      <c r="PEZ59" s="74"/>
      <c r="PFA59" s="74"/>
      <c r="PFB59" s="74"/>
      <c r="PFC59" s="74"/>
      <c r="PFD59" s="74"/>
      <c r="PFE59" s="74"/>
      <c r="PFF59" s="74"/>
      <c r="PFG59" s="74"/>
      <c r="PFH59" s="74"/>
      <c r="PFI59" s="74"/>
      <c r="PFJ59" s="74"/>
      <c r="PFK59" s="74"/>
      <c r="PFL59" s="74"/>
      <c r="PFM59" s="74"/>
      <c r="PFN59" s="74"/>
      <c r="PFO59" s="74"/>
      <c r="PFP59" s="74"/>
      <c r="PFQ59" s="74"/>
      <c r="PFR59" s="74"/>
      <c r="PFS59" s="74"/>
      <c r="PFT59" s="74"/>
      <c r="PFU59" s="74"/>
      <c r="PFV59" s="74"/>
      <c r="PFW59" s="74"/>
      <c r="PFX59" s="74"/>
      <c r="PFY59" s="74"/>
      <c r="PFZ59" s="74"/>
      <c r="PGA59" s="74"/>
      <c r="PGB59" s="74"/>
      <c r="PGC59" s="74"/>
      <c r="PGD59" s="74"/>
      <c r="PGE59" s="74"/>
      <c r="PGF59" s="74"/>
      <c r="PGG59" s="74"/>
      <c r="PGH59" s="74"/>
      <c r="PGI59" s="74"/>
      <c r="PGJ59" s="74"/>
      <c r="PGK59" s="74"/>
      <c r="PGL59" s="74"/>
      <c r="PGM59" s="74"/>
      <c r="PGN59" s="74"/>
      <c r="PGO59" s="74"/>
      <c r="PGP59" s="74"/>
      <c r="PGQ59" s="74"/>
      <c r="PGR59" s="74"/>
      <c r="PGS59" s="74"/>
      <c r="PGT59" s="74"/>
      <c r="PGU59" s="74"/>
      <c r="PGV59" s="74"/>
      <c r="PGW59" s="74"/>
      <c r="PGX59" s="74"/>
      <c r="PGY59" s="74"/>
      <c r="PGZ59" s="74"/>
      <c r="PHA59" s="74"/>
      <c r="PHB59" s="74"/>
      <c r="PHC59" s="74"/>
      <c r="PHD59" s="74"/>
      <c r="PHE59" s="74"/>
      <c r="PHF59" s="74"/>
      <c r="PHG59" s="74"/>
      <c r="PHH59" s="74"/>
      <c r="PHI59" s="74"/>
      <c r="PHJ59" s="74"/>
      <c r="PHK59" s="74"/>
      <c r="PHL59" s="74"/>
      <c r="PHM59" s="74"/>
      <c r="PHN59" s="74"/>
      <c r="PHO59" s="74"/>
      <c r="PHP59" s="74"/>
      <c r="PHQ59" s="74"/>
      <c r="PHR59" s="74"/>
      <c r="PHS59" s="74"/>
      <c r="PHT59" s="74"/>
      <c r="PHU59" s="74"/>
      <c r="PHV59" s="74"/>
      <c r="PHW59" s="74"/>
      <c r="PHX59" s="74"/>
      <c r="PHY59" s="74"/>
      <c r="PHZ59" s="74"/>
      <c r="PIA59" s="74"/>
      <c r="PIB59" s="74"/>
      <c r="PIC59" s="74"/>
      <c r="PID59" s="74"/>
      <c r="PIE59" s="74"/>
      <c r="PIF59" s="74"/>
      <c r="PIG59" s="74"/>
      <c r="PIH59" s="74"/>
      <c r="PII59" s="74"/>
      <c r="PIJ59" s="74"/>
      <c r="PIK59" s="74"/>
      <c r="PIL59" s="74"/>
      <c r="PIM59" s="74"/>
      <c r="PIN59" s="74"/>
      <c r="PIO59" s="74"/>
      <c r="PIP59" s="74"/>
      <c r="PIQ59" s="74"/>
      <c r="PIR59" s="74"/>
      <c r="PIS59" s="74"/>
      <c r="PIT59" s="74"/>
      <c r="PIU59" s="74"/>
      <c r="PIV59" s="74"/>
      <c r="PIW59" s="74"/>
      <c r="PIX59" s="74"/>
      <c r="PIY59" s="74"/>
      <c r="PIZ59" s="74"/>
      <c r="PJA59" s="74"/>
      <c r="PJB59" s="74"/>
      <c r="PJC59" s="74"/>
      <c r="PJD59" s="74"/>
      <c r="PJE59" s="74"/>
      <c r="PJF59" s="74"/>
      <c r="PJG59" s="74"/>
      <c r="PJH59" s="74"/>
      <c r="PJI59" s="74"/>
      <c r="PJJ59" s="74"/>
      <c r="PJK59" s="74"/>
      <c r="PJL59" s="74"/>
      <c r="PJM59" s="74"/>
      <c r="PJN59" s="74"/>
      <c r="PJO59" s="74"/>
      <c r="PJP59" s="74"/>
      <c r="PJQ59" s="74"/>
      <c r="PJR59" s="74"/>
      <c r="PJS59" s="74"/>
      <c r="PJT59" s="74"/>
      <c r="PJU59" s="74"/>
      <c r="PJV59" s="74"/>
      <c r="PJW59" s="74"/>
      <c r="PJX59" s="74"/>
      <c r="PJY59" s="74"/>
      <c r="PJZ59" s="74"/>
      <c r="PKA59" s="74"/>
      <c r="PKB59" s="74"/>
      <c r="PKC59" s="74"/>
      <c r="PKD59" s="74"/>
      <c r="PKE59" s="74"/>
      <c r="PKF59" s="74"/>
      <c r="PKG59" s="74"/>
      <c r="PKH59" s="74"/>
      <c r="PKI59" s="74"/>
      <c r="PKJ59" s="74"/>
      <c r="PKK59" s="74"/>
      <c r="PKL59" s="74"/>
      <c r="PKM59" s="74"/>
      <c r="PKN59" s="74"/>
      <c r="PKO59" s="74"/>
      <c r="PKP59" s="74"/>
      <c r="PKQ59" s="74"/>
      <c r="PKR59" s="74"/>
      <c r="PKS59" s="74"/>
      <c r="PKT59" s="74"/>
      <c r="PKU59" s="74"/>
      <c r="PKV59" s="74"/>
      <c r="PKW59" s="74"/>
      <c r="PKX59" s="74"/>
      <c r="PKY59" s="74"/>
      <c r="PKZ59" s="74"/>
      <c r="PLA59" s="74"/>
      <c r="PLB59" s="74"/>
      <c r="PLC59" s="74"/>
      <c r="PLD59" s="74"/>
      <c r="PLE59" s="74"/>
      <c r="PLF59" s="74"/>
      <c r="PLG59" s="74"/>
      <c r="PLH59" s="74"/>
      <c r="PLI59" s="74"/>
      <c r="PLJ59" s="74"/>
      <c r="PLK59" s="74"/>
      <c r="PLL59" s="74"/>
      <c r="PLM59" s="74"/>
      <c r="PLN59" s="74"/>
      <c r="PLO59" s="74"/>
      <c r="PLP59" s="74"/>
      <c r="PLQ59" s="74"/>
      <c r="PLR59" s="74"/>
      <c r="PLS59" s="74"/>
      <c r="PLT59" s="74"/>
      <c r="PLU59" s="74"/>
      <c r="PLV59" s="74"/>
      <c r="PLW59" s="74"/>
      <c r="PLX59" s="74"/>
      <c r="PLY59" s="74"/>
      <c r="PLZ59" s="74"/>
      <c r="PMA59" s="74"/>
      <c r="PMB59" s="74"/>
      <c r="PMC59" s="74"/>
      <c r="PMD59" s="74"/>
      <c r="PME59" s="74"/>
      <c r="PMF59" s="74"/>
      <c r="PMG59" s="74"/>
      <c r="PMH59" s="74"/>
      <c r="PMI59" s="74"/>
      <c r="PMJ59" s="74"/>
      <c r="PMK59" s="74"/>
      <c r="PML59" s="74"/>
      <c r="PMM59" s="74"/>
      <c r="PMN59" s="74"/>
      <c r="PMO59" s="74"/>
      <c r="PMP59" s="74"/>
      <c r="PMQ59" s="74"/>
      <c r="PMR59" s="74"/>
      <c r="PMS59" s="74"/>
      <c r="PMT59" s="74"/>
      <c r="PMU59" s="74"/>
      <c r="PMV59" s="74"/>
      <c r="PMW59" s="74"/>
      <c r="PMX59" s="74"/>
      <c r="PMY59" s="74"/>
      <c r="PMZ59" s="74"/>
      <c r="PNA59" s="74"/>
      <c r="PNB59" s="74"/>
      <c r="PNC59" s="74"/>
      <c r="PND59" s="74"/>
      <c r="PNE59" s="74"/>
      <c r="PNF59" s="74"/>
      <c r="PNG59" s="74"/>
      <c r="PNH59" s="74"/>
      <c r="PNI59" s="74"/>
      <c r="PNJ59" s="74"/>
      <c r="PNK59" s="74"/>
      <c r="PNL59" s="74"/>
      <c r="PNM59" s="74"/>
      <c r="PNN59" s="74"/>
      <c r="PNO59" s="74"/>
      <c r="PNP59" s="74"/>
      <c r="PNQ59" s="74"/>
      <c r="PNR59" s="74"/>
      <c r="PNS59" s="74"/>
      <c r="PNT59" s="74"/>
      <c r="PNU59" s="74"/>
      <c r="PNV59" s="74"/>
      <c r="PNW59" s="74"/>
      <c r="PNX59" s="74"/>
      <c r="PNY59" s="74"/>
      <c r="PNZ59" s="74"/>
      <c r="POA59" s="74"/>
      <c r="POB59" s="74"/>
      <c r="POC59" s="74"/>
      <c r="POD59" s="74"/>
      <c r="POE59" s="74"/>
      <c r="POF59" s="74"/>
      <c r="POG59" s="74"/>
      <c r="POH59" s="74"/>
      <c r="POI59" s="74"/>
      <c r="POJ59" s="74"/>
      <c r="POK59" s="74"/>
      <c r="POL59" s="74"/>
      <c r="POM59" s="74"/>
      <c r="PON59" s="74"/>
      <c r="POO59" s="74"/>
      <c r="POP59" s="74"/>
      <c r="POQ59" s="74"/>
      <c r="POR59" s="74"/>
      <c r="POS59" s="74"/>
      <c r="POT59" s="74"/>
      <c r="POU59" s="74"/>
      <c r="POV59" s="74"/>
      <c r="POW59" s="74"/>
      <c r="POX59" s="74"/>
      <c r="POY59" s="74"/>
      <c r="POZ59" s="74"/>
      <c r="PPA59" s="74"/>
      <c r="PPB59" s="74"/>
      <c r="PPC59" s="74"/>
      <c r="PPD59" s="74"/>
      <c r="PPE59" s="74"/>
      <c r="PPF59" s="74"/>
      <c r="PPG59" s="74"/>
      <c r="PPH59" s="74"/>
      <c r="PPI59" s="74"/>
      <c r="PPJ59" s="74"/>
      <c r="PPK59" s="74"/>
      <c r="PPL59" s="74"/>
      <c r="PPM59" s="74"/>
      <c r="PPN59" s="74"/>
      <c r="PPO59" s="74"/>
      <c r="PPP59" s="74"/>
      <c r="PPQ59" s="74"/>
      <c r="PPR59" s="74"/>
      <c r="PPS59" s="74"/>
      <c r="PPT59" s="74"/>
      <c r="PPU59" s="74"/>
      <c r="PPV59" s="74"/>
      <c r="PPW59" s="74"/>
      <c r="PPX59" s="74"/>
      <c r="PPY59" s="74"/>
      <c r="PPZ59" s="74"/>
      <c r="PQA59" s="74"/>
      <c r="PQB59" s="74"/>
      <c r="PQC59" s="74"/>
      <c r="PQD59" s="74"/>
      <c r="PQE59" s="74"/>
      <c r="PQF59" s="74"/>
      <c r="PQG59" s="74"/>
      <c r="PQH59" s="74"/>
      <c r="PQI59" s="74"/>
      <c r="PQJ59" s="74"/>
      <c r="PQK59" s="74"/>
      <c r="PQL59" s="74"/>
      <c r="PQM59" s="74"/>
      <c r="PQN59" s="74"/>
      <c r="PQO59" s="74"/>
      <c r="PQP59" s="74"/>
      <c r="PQQ59" s="74"/>
      <c r="PQR59" s="74"/>
      <c r="PQS59" s="74"/>
      <c r="PQT59" s="74"/>
      <c r="PQU59" s="74"/>
      <c r="PQV59" s="74"/>
      <c r="PQW59" s="74"/>
      <c r="PQX59" s="74"/>
      <c r="PQY59" s="74"/>
      <c r="PQZ59" s="74"/>
      <c r="PRA59" s="74"/>
      <c r="PRB59" s="74"/>
      <c r="PRC59" s="74"/>
      <c r="PRD59" s="74"/>
      <c r="PRE59" s="74"/>
      <c r="PRF59" s="74"/>
      <c r="PRG59" s="74"/>
      <c r="PRH59" s="74"/>
      <c r="PRI59" s="74"/>
      <c r="PRJ59" s="74"/>
      <c r="PRK59" s="74"/>
      <c r="PRL59" s="74"/>
      <c r="PRM59" s="74"/>
      <c r="PRN59" s="74"/>
      <c r="PRO59" s="74"/>
      <c r="PRP59" s="74"/>
      <c r="PRQ59" s="74"/>
      <c r="PRR59" s="74"/>
      <c r="PRS59" s="74"/>
      <c r="PRT59" s="74"/>
      <c r="PRU59" s="74"/>
      <c r="PRV59" s="74"/>
      <c r="PRW59" s="74"/>
      <c r="PRX59" s="74"/>
      <c r="PRY59" s="74"/>
      <c r="PRZ59" s="74"/>
      <c r="PSA59" s="74"/>
      <c r="PSB59" s="74"/>
      <c r="PSC59" s="74"/>
      <c r="PSD59" s="74"/>
      <c r="PSE59" s="74"/>
      <c r="PSF59" s="74"/>
      <c r="PSG59" s="74"/>
      <c r="PSH59" s="74"/>
      <c r="PSI59" s="74"/>
      <c r="PSJ59" s="74"/>
      <c r="PSK59" s="74"/>
      <c r="PSL59" s="74"/>
      <c r="PSM59" s="74"/>
      <c r="PSN59" s="74"/>
      <c r="PSO59" s="74"/>
      <c r="PSP59" s="74"/>
      <c r="PSQ59" s="74"/>
      <c r="PSR59" s="74"/>
      <c r="PSS59" s="74"/>
      <c r="PST59" s="74"/>
      <c r="PSU59" s="74"/>
      <c r="PSV59" s="74"/>
      <c r="PSW59" s="74"/>
      <c r="PSX59" s="74"/>
      <c r="PSY59" s="74"/>
      <c r="PSZ59" s="74"/>
      <c r="PTA59" s="74"/>
      <c r="PTB59" s="74"/>
      <c r="PTC59" s="74"/>
      <c r="PTD59" s="74"/>
      <c r="PTE59" s="74"/>
      <c r="PTF59" s="74"/>
      <c r="PTG59" s="74"/>
      <c r="PTH59" s="74"/>
      <c r="PTI59" s="74"/>
      <c r="PTJ59" s="74"/>
      <c r="PTK59" s="74"/>
      <c r="PTL59" s="74"/>
      <c r="PTM59" s="74"/>
      <c r="PTN59" s="74"/>
      <c r="PTO59" s="74"/>
      <c r="PTP59" s="74"/>
      <c r="PTQ59" s="74"/>
      <c r="PTR59" s="74"/>
      <c r="PTS59" s="74"/>
      <c r="PTT59" s="74"/>
      <c r="PTU59" s="74"/>
      <c r="PTV59" s="74"/>
      <c r="PTW59" s="74"/>
      <c r="PTX59" s="74"/>
      <c r="PTY59" s="74"/>
      <c r="PTZ59" s="74"/>
      <c r="PUA59" s="74"/>
      <c r="PUB59" s="74"/>
      <c r="PUC59" s="74"/>
      <c r="PUD59" s="74"/>
      <c r="PUE59" s="74"/>
      <c r="PUF59" s="74"/>
      <c r="PUG59" s="74"/>
      <c r="PUH59" s="74"/>
      <c r="PUI59" s="74"/>
      <c r="PUJ59" s="74"/>
      <c r="PUK59" s="74"/>
      <c r="PUL59" s="74"/>
      <c r="PUM59" s="74"/>
      <c r="PUN59" s="74"/>
      <c r="PUO59" s="74"/>
      <c r="PUP59" s="74"/>
      <c r="PUQ59" s="74"/>
      <c r="PUR59" s="74"/>
      <c r="PUS59" s="74"/>
      <c r="PUT59" s="74"/>
      <c r="PUU59" s="74"/>
      <c r="PUV59" s="74"/>
      <c r="PUW59" s="74"/>
      <c r="PUX59" s="74"/>
      <c r="PUY59" s="74"/>
      <c r="PUZ59" s="74"/>
      <c r="PVA59" s="74"/>
      <c r="PVB59" s="74"/>
      <c r="PVC59" s="74"/>
      <c r="PVD59" s="74"/>
      <c r="PVE59" s="74"/>
      <c r="PVF59" s="74"/>
      <c r="PVG59" s="74"/>
      <c r="PVH59" s="74"/>
      <c r="PVI59" s="74"/>
      <c r="PVJ59" s="74"/>
      <c r="PVK59" s="74"/>
      <c r="PVL59" s="74"/>
      <c r="PVM59" s="74"/>
      <c r="PVN59" s="74"/>
      <c r="PVO59" s="74"/>
      <c r="PVP59" s="74"/>
      <c r="PVQ59" s="74"/>
      <c r="PVR59" s="74"/>
      <c r="PVS59" s="74"/>
      <c r="PVT59" s="74"/>
      <c r="PVU59" s="74"/>
      <c r="PVV59" s="74"/>
      <c r="PVW59" s="74"/>
      <c r="PVX59" s="74"/>
      <c r="PVY59" s="74"/>
      <c r="PVZ59" s="74"/>
      <c r="PWA59" s="74"/>
      <c r="PWB59" s="74"/>
      <c r="PWC59" s="74"/>
      <c r="PWD59" s="74"/>
      <c r="PWE59" s="74"/>
      <c r="PWF59" s="74"/>
      <c r="PWG59" s="74"/>
      <c r="PWH59" s="74"/>
      <c r="PWI59" s="74"/>
      <c r="PWJ59" s="74"/>
      <c r="PWK59" s="74"/>
      <c r="PWL59" s="74"/>
      <c r="PWM59" s="74"/>
      <c r="PWN59" s="74"/>
      <c r="PWO59" s="74"/>
      <c r="PWP59" s="74"/>
      <c r="PWQ59" s="74"/>
      <c r="PWR59" s="74"/>
      <c r="PWS59" s="74"/>
      <c r="PWT59" s="74"/>
      <c r="PWU59" s="74"/>
      <c r="PWV59" s="74"/>
      <c r="PWW59" s="74"/>
      <c r="PWX59" s="74"/>
      <c r="PWY59" s="74"/>
      <c r="PWZ59" s="74"/>
      <c r="PXA59" s="74"/>
      <c r="PXB59" s="74"/>
      <c r="PXC59" s="74"/>
      <c r="PXD59" s="74"/>
      <c r="PXE59" s="74"/>
      <c r="PXF59" s="74"/>
      <c r="PXG59" s="74"/>
      <c r="PXH59" s="74"/>
      <c r="PXI59" s="74"/>
      <c r="PXJ59" s="74"/>
      <c r="PXK59" s="74"/>
      <c r="PXL59" s="74"/>
      <c r="PXM59" s="74"/>
      <c r="PXN59" s="74"/>
      <c r="PXO59" s="74"/>
      <c r="PXP59" s="74"/>
      <c r="PXQ59" s="74"/>
      <c r="PXR59" s="74"/>
      <c r="PXS59" s="74"/>
      <c r="PXT59" s="74"/>
      <c r="PXU59" s="74"/>
      <c r="PXV59" s="74"/>
      <c r="PXW59" s="74"/>
      <c r="PXX59" s="74"/>
      <c r="PXY59" s="74"/>
      <c r="PXZ59" s="74"/>
      <c r="PYA59" s="74"/>
      <c r="PYB59" s="74"/>
      <c r="PYC59" s="74"/>
      <c r="PYD59" s="74"/>
      <c r="PYE59" s="74"/>
      <c r="PYF59" s="74"/>
      <c r="PYG59" s="74"/>
      <c r="PYH59" s="74"/>
      <c r="PYI59" s="74"/>
      <c r="PYJ59" s="74"/>
      <c r="PYK59" s="74"/>
      <c r="PYL59" s="74"/>
      <c r="PYM59" s="74"/>
      <c r="PYN59" s="74"/>
      <c r="PYO59" s="74"/>
      <c r="PYP59" s="74"/>
      <c r="PYQ59" s="74"/>
      <c r="PYR59" s="74"/>
      <c r="PYS59" s="74"/>
      <c r="PYT59" s="74"/>
      <c r="PYU59" s="74"/>
      <c r="PYV59" s="74"/>
      <c r="PYW59" s="74"/>
      <c r="PYX59" s="74"/>
      <c r="PYY59" s="74"/>
      <c r="PYZ59" s="74"/>
      <c r="PZA59" s="74"/>
      <c r="PZB59" s="74"/>
      <c r="PZC59" s="74"/>
      <c r="PZD59" s="74"/>
      <c r="PZE59" s="74"/>
      <c r="PZF59" s="74"/>
      <c r="PZG59" s="74"/>
      <c r="PZH59" s="74"/>
      <c r="PZI59" s="74"/>
      <c r="PZJ59" s="74"/>
      <c r="PZK59" s="74"/>
      <c r="PZL59" s="74"/>
      <c r="PZM59" s="74"/>
      <c r="PZN59" s="74"/>
      <c r="PZO59" s="74"/>
      <c r="PZP59" s="74"/>
      <c r="PZQ59" s="74"/>
      <c r="PZR59" s="74"/>
      <c r="PZS59" s="74"/>
      <c r="PZT59" s="74"/>
      <c r="PZU59" s="74"/>
      <c r="PZV59" s="74"/>
      <c r="PZW59" s="74"/>
      <c r="PZX59" s="74"/>
      <c r="PZY59" s="74"/>
      <c r="PZZ59" s="74"/>
      <c r="QAA59" s="74"/>
      <c r="QAB59" s="74"/>
      <c r="QAC59" s="74"/>
      <c r="QAD59" s="74"/>
      <c r="QAE59" s="74"/>
      <c r="QAF59" s="74"/>
      <c r="QAG59" s="74"/>
      <c r="QAH59" s="74"/>
      <c r="QAI59" s="74"/>
      <c r="QAJ59" s="74"/>
      <c r="QAK59" s="74"/>
      <c r="QAL59" s="74"/>
      <c r="QAM59" s="74"/>
      <c r="QAN59" s="74"/>
      <c r="QAO59" s="74"/>
      <c r="QAP59" s="74"/>
      <c r="QAQ59" s="74"/>
      <c r="QAR59" s="74"/>
      <c r="QAS59" s="74"/>
      <c r="QAT59" s="74"/>
      <c r="QAU59" s="74"/>
      <c r="QAV59" s="74"/>
      <c r="QAW59" s="74"/>
      <c r="QAX59" s="74"/>
      <c r="QAY59" s="74"/>
      <c r="QAZ59" s="74"/>
      <c r="QBA59" s="74"/>
      <c r="QBB59" s="74"/>
      <c r="QBC59" s="74"/>
      <c r="QBD59" s="74"/>
      <c r="QBE59" s="74"/>
      <c r="QBF59" s="74"/>
      <c r="QBG59" s="74"/>
      <c r="QBH59" s="74"/>
      <c r="QBI59" s="74"/>
      <c r="QBJ59" s="74"/>
      <c r="QBK59" s="74"/>
      <c r="QBL59" s="74"/>
      <c r="QBM59" s="74"/>
      <c r="QBN59" s="74"/>
      <c r="QBO59" s="74"/>
      <c r="QBP59" s="74"/>
      <c r="QBQ59" s="74"/>
      <c r="QBR59" s="74"/>
      <c r="QBS59" s="74"/>
      <c r="QBT59" s="74"/>
      <c r="QBU59" s="74"/>
      <c r="QBV59" s="74"/>
      <c r="QBW59" s="74"/>
      <c r="QBX59" s="74"/>
      <c r="QBY59" s="74"/>
      <c r="QBZ59" s="74"/>
      <c r="QCA59" s="74"/>
      <c r="QCB59" s="74"/>
      <c r="QCC59" s="74"/>
      <c r="QCD59" s="74"/>
      <c r="QCE59" s="74"/>
      <c r="QCF59" s="74"/>
      <c r="QCG59" s="74"/>
      <c r="QCH59" s="74"/>
      <c r="QCI59" s="74"/>
      <c r="QCJ59" s="74"/>
      <c r="QCK59" s="74"/>
      <c r="QCL59" s="74"/>
      <c r="QCM59" s="74"/>
      <c r="QCN59" s="74"/>
      <c r="QCO59" s="74"/>
      <c r="QCP59" s="74"/>
      <c r="QCQ59" s="74"/>
      <c r="QCR59" s="74"/>
      <c r="QCS59" s="74"/>
      <c r="QCT59" s="74"/>
      <c r="QCU59" s="74"/>
      <c r="QCV59" s="74"/>
      <c r="QCW59" s="74"/>
      <c r="QCX59" s="74"/>
      <c r="QCY59" s="74"/>
      <c r="QCZ59" s="74"/>
      <c r="QDA59" s="74"/>
      <c r="QDB59" s="74"/>
      <c r="QDC59" s="74"/>
      <c r="QDD59" s="74"/>
      <c r="QDE59" s="74"/>
      <c r="QDF59" s="74"/>
      <c r="QDG59" s="74"/>
      <c r="QDH59" s="74"/>
      <c r="QDI59" s="74"/>
      <c r="QDJ59" s="74"/>
      <c r="QDK59" s="74"/>
      <c r="QDL59" s="74"/>
      <c r="QDM59" s="74"/>
      <c r="QDN59" s="74"/>
      <c r="QDO59" s="74"/>
      <c r="QDP59" s="74"/>
      <c r="QDQ59" s="74"/>
      <c r="QDR59" s="74"/>
      <c r="QDS59" s="74"/>
      <c r="QDT59" s="74"/>
      <c r="QDU59" s="74"/>
      <c r="QDV59" s="74"/>
      <c r="QDW59" s="74"/>
      <c r="QDX59" s="74"/>
      <c r="QDY59" s="74"/>
      <c r="QDZ59" s="74"/>
      <c r="QEA59" s="74"/>
      <c r="QEB59" s="74"/>
      <c r="QEC59" s="74"/>
      <c r="QED59" s="74"/>
      <c r="QEE59" s="74"/>
      <c r="QEF59" s="74"/>
      <c r="QEG59" s="74"/>
      <c r="QEH59" s="74"/>
      <c r="QEI59" s="74"/>
      <c r="QEJ59" s="74"/>
      <c r="QEK59" s="74"/>
      <c r="QEL59" s="74"/>
      <c r="QEM59" s="74"/>
      <c r="QEN59" s="74"/>
      <c r="QEO59" s="74"/>
      <c r="QEP59" s="74"/>
      <c r="QEQ59" s="74"/>
      <c r="QER59" s="74"/>
      <c r="QES59" s="74"/>
      <c r="QET59" s="74"/>
      <c r="QEU59" s="74"/>
      <c r="QEV59" s="74"/>
      <c r="QEW59" s="74"/>
      <c r="QEX59" s="74"/>
      <c r="QEY59" s="74"/>
      <c r="QEZ59" s="74"/>
      <c r="QFA59" s="74"/>
      <c r="QFB59" s="74"/>
      <c r="QFC59" s="74"/>
      <c r="QFD59" s="74"/>
      <c r="QFE59" s="74"/>
      <c r="QFF59" s="74"/>
      <c r="QFG59" s="74"/>
      <c r="QFH59" s="74"/>
      <c r="QFI59" s="74"/>
      <c r="QFJ59" s="74"/>
      <c r="QFK59" s="74"/>
      <c r="QFL59" s="74"/>
      <c r="QFM59" s="74"/>
      <c r="QFN59" s="74"/>
      <c r="QFO59" s="74"/>
      <c r="QFP59" s="74"/>
      <c r="QFQ59" s="74"/>
      <c r="QFR59" s="74"/>
      <c r="QFS59" s="74"/>
      <c r="QFT59" s="74"/>
      <c r="QFU59" s="74"/>
      <c r="QFV59" s="74"/>
      <c r="QFW59" s="74"/>
      <c r="QFX59" s="74"/>
      <c r="QFY59" s="74"/>
      <c r="QFZ59" s="74"/>
      <c r="QGA59" s="74"/>
      <c r="QGB59" s="74"/>
      <c r="QGC59" s="74"/>
      <c r="QGD59" s="74"/>
      <c r="QGE59" s="74"/>
      <c r="QGF59" s="74"/>
      <c r="QGG59" s="74"/>
      <c r="QGH59" s="74"/>
      <c r="QGI59" s="74"/>
      <c r="QGJ59" s="74"/>
      <c r="QGK59" s="74"/>
      <c r="QGL59" s="74"/>
      <c r="QGM59" s="74"/>
      <c r="QGN59" s="74"/>
      <c r="QGO59" s="74"/>
      <c r="QGP59" s="74"/>
      <c r="QGQ59" s="74"/>
      <c r="QGR59" s="74"/>
      <c r="QGS59" s="74"/>
      <c r="QGT59" s="74"/>
      <c r="QGU59" s="74"/>
      <c r="QGV59" s="74"/>
      <c r="QGW59" s="74"/>
      <c r="QGX59" s="74"/>
      <c r="QGY59" s="74"/>
      <c r="QGZ59" s="74"/>
      <c r="QHA59" s="74"/>
      <c r="QHB59" s="74"/>
      <c r="QHC59" s="74"/>
      <c r="QHD59" s="74"/>
      <c r="QHE59" s="74"/>
      <c r="QHF59" s="74"/>
      <c r="QHG59" s="74"/>
      <c r="QHH59" s="74"/>
      <c r="QHI59" s="74"/>
      <c r="QHJ59" s="74"/>
      <c r="QHK59" s="74"/>
      <c r="QHL59" s="74"/>
      <c r="QHM59" s="74"/>
      <c r="QHN59" s="74"/>
      <c r="QHO59" s="74"/>
      <c r="QHP59" s="74"/>
      <c r="QHQ59" s="74"/>
      <c r="QHR59" s="74"/>
      <c r="QHS59" s="74"/>
      <c r="QHT59" s="74"/>
      <c r="QHU59" s="74"/>
      <c r="QHV59" s="74"/>
      <c r="QHW59" s="74"/>
      <c r="QHX59" s="74"/>
      <c r="QHY59" s="74"/>
      <c r="QHZ59" s="74"/>
      <c r="QIA59" s="74"/>
      <c r="QIB59" s="74"/>
      <c r="QIC59" s="74"/>
      <c r="QID59" s="74"/>
      <c r="QIE59" s="74"/>
      <c r="QIF59" s="74"/>
      <c r="QIG59" s="74"/>
      <c r="QIH59" s="74"/>
      <c r="QII59" s="74"/>
      <c r="QIJ59" s="74"/>
      <c r="QIK59" s="74"/>
      <c r="QIL59" s="74"/>
      <c r="QIM59" s="74"/>
      <c r="QIN59" s="74"/>
      <c r="QIO59" s="74"/>
      <c r="QIP59" s="74"/>
      <c r="QIQ59" s="74"/>
      <c r="QIR59" s="74"/>
      <c r="QIS59" s="74"/>
      <c r="QIT59" s="74"/>
      <c r="QIU59" s="74"/>
      <c r="QIV59" s="74"/>
      <c r="QIW59" s="74"/>
      <c r="QIX59" s="74"/>
      <c r="QIY59" s="74"/>
      <c r="QIZ59" s="74"/>
      <c r="QJA59" s="74"/>
      <c r="QJB59" s="74"/>
      <c r="QJC59" s="74"/>
      <c r="QJD59" s="74"/>
      <c r="QJE59" s="74"/>
      <c r="QJF59" s="74"/>
      <c r="QJG59" s="74"/>
      <c r="QJH59" s="74"/>
      <c r="QJI59" s="74"/>
      <c r="QJJ59" s="74"/>
      <c r="QJK59" s="74"/>
      <c r="QJL59" s="74"/>
      <c r="QJM59" s="74"/>
      <c r="QJN59" s="74"/>
      <c r="QJO59" s="74"/>
      <c r="QJP59" s="74"/>
      <c r="QJQ59" s="74"/>
      <c r="QJR59" s="74"/>
      <c r="QJS59" s="74"/>
      <c r="QJT59" s="74"/>
      <c r="QJU59" s="74"/>
      <c r="QJV59" s="74"/>
      <c r="QJW59" s="74"/>
      <c r="QJX59" s="74"/>
      <c r="QJY59" s="74"/>
      <c r="QJZ59" s="74"/>
      <c r="QKA59" s="74"/>
      <c r="QKB59" s="74"/>
      <c r="QKC59" s="74"/>
      <c r="QKD59" s="74"/>
      <c r="QKE59" s="74"/>
      <c r="QKF59" s="74"/>
      <c r="QKG59" s="74"/>
      <c r="QKH59" s="74"/>
      <c r="QKI59" s="74"/>
      <c r="QKJ59" s="74"/>
      <c r="QKK59" s="74"/>
      <c r="QKL59" s="74"/>
      <c r="QKM59" s="74"/>
      <c r="QKN59" s="74"/>
      <c r="QKO59" s="74"/>
      <c r="QKP59" s="74"/>
      <c r="QKQ59" s="74"/>
      <c r="QKR59" s="74"/>
      <c r="QKS59" s="74"/>
      <c r="QKT59" s="74"/>
      <c r="QKU59" s="74"/>
      <c r="QKV59" s="74"/>
      <c r="QKW59" s="74"/>
      <c r="QKX59" s="74"/>
      <c r="QKY59" s="74"/>
      <c r="QKZ59" s="74"/>
      <c r="QLA59" s="74"/>
      <c r="QLB59" s="74"/>
      <c r="QLC59" s="74"/>
      <c r="QLD59" s="74"/>
      <c r="QLE59" s="74"/>
      <c r="QLF59" s="74"/>
      <c r="QLG59" s="74"/>
      <c r="QLH59" s="74"/>
      <c r="QLI59" s="74"/>
      <c r="QLJ59" s="74"/>
      <c r="QLK59" s="74"/>
      <c r="QLL59" s="74"/>
      <c r="QLM59" s="74"/>
      <c r="QLN59" s="74"/>
      <c r="QLO59" s="74"/>
      <c r="QLP59" s="74"/>
      <c r="QLQ59" s="74"/>
      <c r="QLR59" s="74"/>
      <c r="QLS59" s="74"/>
      <c r="QLT59" s="74"/>
      <c r="QLU59" s="74"/>
      <c r="QLV59" s="74"/>
      <c r="QLW59" s="74"/>
      <c r="QLX59" s="74"/>
      <c r="QLY59" s="74"/>
      <c r="QLZ59" s="74"/>
      <c r="QMA59" s="74"/>
      <c r="QMB59" s="74"/>
      <c r="QMC59" s="74"/>
      <c r="QMD59" s="74"/>
      <c r="QME59" s="74"/>
      <c r="QMF59" s="74"/>
      <c r="QMG59" s="74"/>
      <c r="QMH59" s="74"/>
      <c r="QMI59" s="74"/>
      <c r="QMJ59" s="74"/>
      <c r="QMK59" s="74"/>
      <c r="QML59" s="74"/>
      <c r="QMM59" s="74"/>
      <c r="QMN59" s="74"/>
      <c r="QMO59" s="74"/>
      <c r="QMP59" s="74"/>
      <c r="QMQ59" s="74"/>
      <c r="QMR59" s="74"/>
      <c r="QMS59" s="74"/>
      <c r="QMT59" s="74"/>
      <c r="QMU59" s="74"/>
      <c r="QMV59" s="74"/>
      <c r="QMW59" s="74"/>
      <c r="QMX59" s="74"/>
      <c r="QMY59" s="74"/>
      <c r="QMZ59" s="74"/>
      <c r="QNA59" s="74"/>
      <c r="QNB59" s="74"/>
      <c r="QNC59" s="74"/>
      <c r="QND59" s="74"/>
      <c r="QNE59" s="74"/>
      <c r="QNF59" s="74"/>
      <c r="QNG59" s="74"/>
      <c r="QNH59" s="74"/>
      <c r="QNI59" s="74"/>
      <c r="QNJ59" s="74"/>
      <c r="QNK59" s="74"/>
      <c r="QNL59" s="74"/>
      <c r="QNM59" s="74"/>
      <c r="QNN59" s="74"/>
      <c r="QNO59" s="74"/>
      <c r="QNP59" s="74"/>
      <c r="QNQ59" s="74"/>
      <c r="QNR59" s="74"/>
      <c r="QNS59" s="74"/>
      <c r="QNT59" s="74"/>
      <c r="QNU59" s="74"/>
      <c r="QNV59" s="74"/>
      <c r="QNW59" s="74"/>
      <c r="QNX59" s="74"/>
      <c r="QNY59" s="74"/>
      <c r="QNZ59" s="74"/>
      <c r="QOA59" s="74"/>
      <c r="QOB59" s="74"/>
      <c r="QOC59" s="74"/>
      <c r="QOD59" s="74"/>
      <c r="QOE59" s="74"/>
      <c r="QOF59" s="74"/>
      <c r="QOG59" s="74"/>
      <c r="QOH59" s="74"/>
      <c r="QOI59" s="74"/>
      <c r="QOJ59" s="74"/>
      <c r="QOK59" s="74"/>
      <c r="QOL59" s="74"/>
      <c r="QOM59" s="74"/>
      <c r="QON59" s="74"/>
      <c r="QOO59" s="74"/>
      <c r="QOP59" s="74"/>
      <c r="QOQ59" s="74"/>
      <c r="QOR59" s="74"/>
      <c r="QOS59" s="74"/>
      <c r="QOT59" s="74"/>
      <c r="QOU59" s="74"/>
      <c r="QOV59" s="74"/>
      <c r="QOW59" s="74"/>
      <c r="QOX59" s="74"/>
      <c r="QOY59" s="74"/>
      <c r="QOZ59" s="74"/>
      <c r="QPA59" s="74"/>
      <c r="QPB59" s="74"/>
      <c r="QPC59" s="74"/>
      <c r="QPD59" s="74"/>
      <c r="QPE59" s="74"/>
      <c r="QPF59" s="74"/>
      <c r="QPG59" s="74"/>
      <c r="QPH59" s="74"/>
      <c r="QPI59" s="74"/>
      <c r="QPJ59" s="74"/>
      <c r="QPK59" s="74"/>
      <c r="QPL59" s="74"/>
      <c r="QPM59" s="74"/>
      <c r="QPN59" s="74"/>
      <c r="QPO59" s="74"/>
      <c r="QPP59" s="74"/>
      <c r="QPQ59" s="74"/>
      <c r="QPR59" s="74"/>
      <c r="QPS59" s="74"/>
      <c r="QPT59" s="74"/>
      <c r="QPU59" s="74"/>
      <c r="QPV59" s="74"/>
      <c r="QPW59" s="74"/>
      <c r="QPX59" s="74"/>
      <c r="QPY59" s="74"/>
      <c r="QPZ59" s="74"/>
      <c r="QQA59" s="74"/>
      <c r="QQB59" s="74"/>
      <c r="QQC59" s="74"/>
      <c r="QQD59" s="74"/>
      <c r="QQE59" s="74"/>
      <c r="QQF59" s="74"/>
      <c r="QQG59" s="74"/>
      <c r="QQH59" s="74"/>
      <c r="QQI59" s="74"/>
      <c r="QQJ59" s="74"/>
      <c r="QQK59" s="74"/>
      <c r="QQL59" s="74"/>
      <c r="QQM59" s="74"/>
      <c r="QQN59" s="74"/>
      <c r="QQO59" s="74"/>
      <c r="QQP59" s="74"/>
      <c r="QQQ59" s="74"/>
      <c r="QQR59" s="74"/>
      <c r="QQS59" s="74"/>
      <c r="QQT59" s="74"/>
      <c r="QQU59" s="74"/>
      <c r="QQV59" s="74"/>
      <c r="QQW59" s="74"/>
      <c r="QQX59" s="74"/>
      <c r="QQY59" s="74"/>
      <c r="QQZ59" s="74"/>
      <c r="QRA59" s="74"/>
      <c r="QRB59" s="74"/>
      <c r="QRC59" s="74"/>
      <c r="QRD59" s="74"/>
      <c r="QRE59" s="74"/>
      <c r="QRF59" s="74"/>
      <c r="QRG59" s="74"/>
      <c r="QRH59" s="74"/>
      <c r="QRI59" s="74"/>
      <c r="QRJ59" s="74"/>
      <c r="QRK59" s="74"/>
      <c r="QRL59" s="74"/>
      <c r="QRM59" s="74"/>
      <c r="QRN59" s="74"/>
      <c r="QRO59" s="74"/>
      <c r="QRP59" s="74"/>
      <c r="QRQ59" s="74"/>
      <c r="QRR59" s="74"/>
      <c r="QRS59" s="74"/>
      <c r="QRT59" s="74"/>
      <c r="QRU59" s="74"/>
      <c r="QRV59" s="74"/>
      <c r="QRW59" s="74"/>
      <c r="QRX59" s="74"/>
      <c r="QRY59" s="74"/>
      <c r="QRZ59" s="74"/>
      <c r="QSA59" s="74"/>
      <c r="QSB59" s="74"/>
      <c r="QSC59" s="74"/>
      <c r="QSD59" s="74"/>
      <c r="QSE59" s="74"/>
      <c r="QSF59" s="74"/>
      <c r="QSG59" s="74"/>
      <c r="QSH59" s="74"/>
      <c r="QSI59" s="74"/>
      <c r="QSJ59" s="74"/>
      <c r="QSK59" s="74"/>
      <c r="QSL59" s="74"/>
      <c r="QSM59" s="74"/>
      <c r="QSN59" s="74"/>
      <c r="QSO59" s="74"/>
      <c r="QSP59" s="74"/>
      <c r="QSQ59" s="74"/>
      <c r="QSR59" s="74"/>
      <c r="QSS59" s="74"/>
      <c r="QST59" s="74"/>
      <c r="QSU59" s="74"/>
      <c r="QSV59" s="74"/>
      <c r="QSW59" s="74"/>
      <c r="QSX59" s="74"/>
      <c r="QSY59" s="74"/>
      <c r="QSZ59" s="74"/>
      <c r="QTA59" s="74"/>
      <c r="QTB59" s="74"/>
      <c r="QTC59" s="74"/>
      <c r="QTD59" s="74"/>
      <c r="QTE59" s="74"/>
      <c r="QTF59" s="74"/>
      <c r="QTG59" s="74"/>
      <c r="QTH59" s="74"/>
      <c r="QTI59" s="74"/>
      <c r="QTJ59" s="74"/>
      <c r="QTK59" s="74"/>
      <c r="QTL59" s="74"/>
      <c r="QTM59" s="74"/>
      <c r="QTN59" s="74"/>
      <c r="QTO59" s="74"/>
      <c r="QTP59" s="74"/>
      <c r="QTQ59" s="74"/>
      <c r="QTR59" s="74"/>
      <c r="QTS59" s="74"/>
      <c r="QTT59" s="74"/>
      <c r="QTU59" s="74"/>
      <c r="QTV59" s="74"/>
      <c r="QTW59" s="74"/>
      <c r="QTX59" s="74"/>
      <c r="QTY59" s="74"/>
      <c r="QTZ59" s="74"/>
      <c r="QUA59" s="74"/>
      <c r="QUB59" s="74"/>
      <c r="QUC59" s="74"/>
      <c r="QUD59" s="74"/>
      <c r="QUE59" s="74"/>
      <c r="QUF59" s="74"/>
      <c r="QUG59" s="74"/>
      <c r="QUH59" s="74"/>
      <c r="QUI59" s="74"/>
      <c r="QUJ59" s="74"/>
      <c r="QUK59" s="74"/>
      <c r="QUL59" s="74"/>
      <c r="QUM59" s="74"/>
      <c r="QUN59" s="74"/>
      <c r="QUO59" s="74"/>
      <c r="QUP59" s="74"/>
      <c r="QUQ59" s="74"/>
      <c r="QUR59" s="74"/>
      <c r="QUS59" s="74"/>
      <c r="QUT59" s="74"/>
      <c r="QUU59" s="74"/>
      <c r="QUV59" s="74"/>
      <c r="QUW59" s="74"/>
      <c r="QUX59" s="74"/>
      <c r="QUY59" s="74"/>
      <c r="QUZ59" s="74"/>
      <c r="QVA59" s="74"/>
      <c r="QVB59" s="74"/>
      <c r="QVC59" s="74"/>
      <c r="QVD59" s="74"/>
      <c r="QVE59" s="74"/>
      <c r="QVF59" s="74"/>
      <c r="QVG59" s="74"/>
      <c r="QVH59" s="74"/>
      <c r="QVI59" s="74"/>
      <c r="QVJ59" s="74"/>
      <c r="QVK59" s="74"/>
      <c r="QVL59" s="74"/>
      <c r="QVM59" s="74"/>
      <c r="QVN59" s="74"/>
      <c r="QVO59" s="74"/>
      <c r="QVP59" s="74"/>
      <c r="QVQ59" s="74"/>
      <c r="QVR59" s="74"/>
      <c r="QVS59" s="74"/>
      <c r="QVT59" s="74"/>
      <c r="QVU59" s="74"/>
      <c r="QVV59" s="74"/>
      <c r="QVW59" s="74"/>
      <c r="QVX59" s="74"/>
      <c r="QVY59" s="74"/>
      <c r="QVZ59" s="74"/>
      <c r="QWA59" s="74"/>
      <c r="QWB59" s="74"/>
      <c r="QWC59" s="74"/>
      <c r="QWD59" s="74"/>
      <c r="QWE59" s="74"/>
      <c r="QWF59" s="74"/>
      <c r="QWG59" s="74"/>
      <c r="QWH59" s="74"/>
      <c r="QWI59" s="74"/>
      <c r="QWJ59" s="74"/>
      <c r="QWK59" s="74"/>
      <c r="QWL59" s="74"/>
      <c r="QWM59" s="74"/>
      <c r="QWN59" s="74"/>
      <c r="QWO59" s="74"/>
      <c r="QWP59" s="74"/>
      <c r="QWQ59" s="74"/>
      <c r="QWR59" s="74"/>
      <c r="QWS59" s="74"/>
      <c r="QWT59" s="74"/>
      <c r="QWU59" s="74"/>
      <c r="QWV59" s="74"/>
      <c r="QWW59" s="74"/>
      <c r="QWX59" s="74"/>
      <c r="QWY59" s="74"/>
      <c r="QWZ59" s="74"/>
      <c r="QXA59" s="74"/>
      <c r="QXB59" s="74"/>
      <c r="QXC59" s="74"/>
      <c r="QXD59" s="74"/>
      <c r="QXE59" s="74"/>
      <c r="QXF59" s="74"/>
      <c r="QXG59" s="74"/>
      <c r="QXH59" s="74"/>
      <c r="QXI59" s="74"/>
      <c r="QXJ59" s="74"/>
      <c r="QXK59" s="74"/>
      <c r="QXL59" s="74"/>
      <c r="QXM59" s="74"/>
      <c r="QXN59" s="74"/>
      <c r="QXO59" s="74"/>
      <c r="QXP59" s="74"/>
      <c r="QXQ59" s="74"/>
      <c r="QXR59" s="74"/>
      <c r="QXS59" s="74"/>
      <c r="QXT59" s="74"/>
      <c r="QXU59" s="74"/>
      <c r="QXV59" s="74"/>
      <c r="QXW59" s="74"/>
      <c r="QXX59" s="74"/>
      <c r="QXY59" s="74"/>
      <c r="QXZ59" s="74"/>
      <c r="QYA59" s="74"/>
      <c r="QYB59" s="74"/>
      <c r="QYC59" s="74"/>
      <c r="QYD59" s="74"/>
      <c r="QYE59" s="74"/>
      <c r="QYF59" s="74"/>
      <c r="QYG59" s="74"/>
      <c r="QYH59" s="74"/>
      <c r="QYI59" s="74"/>
      <c r="QYJ59" s="74"/>
      <c r="QYK59" s="74"/>
      <c r="QYL59" s="74"/>
      <c r="QYM59" s="74"/>
      <c r="QYN59" s="74"/>
      <c r="QYO59" s="74"/>
      <c r="QYP59" s="74"/>
      <c r="QYQ59" s="74"/>
      <c r="QYR59" s="74"/>
      <c r="QYS59" s="74"/>
      <c r="QYT59" s="74"/>
      <c r="QYU59" s="74"/>
      <c r="QYV59" s="74"/>
      <c r="QYW59" s="74"/>
      <c r="QYX59" s="74"/>
      <c r="QYY59" s="74"/>
      <c r="QYZ59" s="74"/>
      <c r="QZA59" s="74"/>
      <c r="QZB59" s="74"/>
      <c r="QZC59" s="74"/>
      <c r="QZD59" s="74"/>
      <c r="QZE59" s="74"/>
      <c r="QZF59" s="74"/>
      <c r="QZG59" s="74"/>
      <c r="QZH59" s="74"/>
      <c r="QZI59" s="74"/>
      <c r="QZJ59" s="74"/>
      <c r="QZK59" s="74"/>
      <c r="QZL59" s="74"/>
      <c r="QZM59" s="74"/>
      <c r="QZN59" s="74"/>
      <c r="QZO59" s="74"/>
      <c r="QZP59" s="74"/>
      <c r="QZQ59" s="74"/>
      <c r="QZR59" s="74"/>
      <c r="QZS59" s="74"/>
      <c r="QZT59" s="74"/>
      <c r="QZU59" s="74"/>
      <c r="QZV59" s="74"/>
      <c r="QZW59" s="74"/>
      <c r="QZX59" s="74"/>
      <c r="QZY59" s="74"/>
      <c r="QZZ59" s="74"/>
      <c r="RAA59" s="74"/>
      <c r="RAB59" s="74"/>
      <c r="RAC59" s="74"/>
      <c r="RAD59" s="74"/>
      <c r="RAE59" s="74"/>
      <c r="RAF59" s="74"/>
      <c r="RAG59" s="74"/>
      <c r="RAH59" s="74"/>
      <c r="RAI59" s="74"/>
      <c r="RAJ59" s="74"/>
      <c r="RAK59" s="74"/>
      <c r="RAL59" s="74"/>
      <c r="RAM59" s="74"/>
      <c r="RAN59" s="74"/>
      <c r="RAO59" s="74"/>
      <c r="RAP59" s="74"/>
      <c r="RAQ59" s="74"/>
      <c r="RAR59" s="74"/>
      <c r="RAS59" s="74"/>
      <c r="RAT59" s="74"/>
      <c r="RAU59" s="74"/>
      <c r="RAV59" s="74"/>
      <c r="RAW59" s="74"/>
      <c r="RAX59" s="74"/>
      <c r="RAY59" s="74"/>
      <c r="RAZ59" s="74"/>
      <c r="RBA59" s="74"/>
      <c r="RBB59" s="74"/>
      <c r="RBC59" s="74"/>
      <c r="RBD59" s="74"/>
      <c r="RBE59" s="74"/>
      <c r="RBF59" s="74"/>
      <c r="RBG59" s="74"/>
      <c r="RBH59" s="74"/>
      <c r="RBI59" s="74"/>
      <c r="RBJ59" s="74"/>
      <c r="RBK59" s="74"/>
      <c r="RBL59" s="74"/>
      <c r="RBM59" s="74"/>
      <c r="RBN59" s="74"/>
      <c r="RBO59" s="74"/>
      <c r="RBP59" s="74"/>
      <c r="RBQ59" s="74"/>
      <c r="RBR59" s="74"/>
      <c r="RBS59" s="74"/>
      <c r="RBT59" s="74"/>
      <c r="RBU59" s="74"/>
      <c r="RBV59" s="74"/>
      <c r="RBW59" s="74"/>
      <c r="RBX59" s="74"/>
      <c r="RBY59" s="74"/>
      <c r="RBZ59" s="74"/>
      <c r="RCA59" s="74"/>
      <c r="RCB59" s="74"/>
      <c r="RCC59" s="74"/>
      <c r="RCD59" s="74"/>
      <c r="RCE59" s="74"/>
      <c r="RCF59" s="74"/>
      <c r="RCG59" s="74"/>
      <c r="RCH59" s="74"/>
      <c r="RCI59" s="74"/>
      <c r="RCJ59" s="74"/>
      <c r="RCK59" s="74"/>
      <c r="RCL59" s="74"/>
      <c r="RCM59" s="74"/>
      <c r="RCN59" s="74"/>
      <c r="RCO59" s="74"/>
      <c r="RCP59" s="74"/>
      <c r="RCQ59" s="74"/>
      <c r="RCR59" s="74"/>
      <c r="RCS59" s="74"/>
      <c r="RCT59" s="74"/>
      <c r="RCU59" s="74"/>
      <c r="RCV59" s="74"/>
      <c r="RCW59" s="74"/>
      <c r="RCX59" s="74"/>
      <c r="RCY59" s="74"/>
      <c r="RCZ59" s="74"/>
      <c r="RDA59" s="74"/>
      <c r="RDB59" s="74"/>
      <c r="RDC59" s="74"/>
      <c r="RDD59" s="74"/>
      <c r="RDE59" s="74"/>
      <c r="RDF59" s="74"/>
      <c r="RDG59" s="74"/>
      <c r="RDH59" s="74"/>
      <c r="RDI59" s="74"/>
      <c r="RDJ59" s="74"/>
      <c r="RDK59" s="74"/>
      <c r="RDL59" s="74"/>
      <c r="RDM59" s="74"/>
      <c r="RDN59" s="74"/>
      <c r="RDO59" s="74"/>
      <c r="RDP59" s="74"/>
      <c r="RDQ59" s="74"/>
      <c r="RDR59" s="74"/>
      <c r="RDS59" s="74"/>
      <c r="RDT59" s="74"/>
      <c r="RDU59" s="74"/>
      <c r="RDV59" s="74"/>
      <c r="RDW59" s="74"/>
      <c r="RDX59" s="74"/>
      <c r="RDY59" s="74"/>
      <c r="RDZ59" s="74"/>
      <c r="REA59" s="74"/>
      <c r="REB59" s="74"/>
      <c r="REC59" s="74"/>
      <c r="RED59" s="74"/>
      <c r="REE59" s="74"/>
      <c r="REF59" s="74"/>
      <c r="REG59" s="74"/>
      <c r="REH59" s="74"/>
      <c r="REI59" s="74"/>
      <c r="REJ59" s="74"/>
      <c r="REK59" s="74"/>
      <c r="REL59" s="74"/>
      <c r="REM59" s="74"/>
      <c r="REN59" s="74"/>
      <c r="REO59" s="74"/>
      <c r="REP59" s="74"/>
      <c r="REQ59" s="74"/>
      <c r="RER59" s="74"/>
      <c r="RES59" s="74"/>
      <c r="RET59" s="74"/>
      <c r="REU59" s="74"/>
      <c r="REV59" s="74"/>
      <c r="REW59" s="74"/>
      <c r="REX59" s="74"/>
      <c r="REY59" s="74"/>
      <c r="REZ59" s="74"/>
      <c r="RFA59" s="74"/>
      <c r="RFB59" s="74"/>
      <c r="RFC59" s="74"/>
      <c r="RFD59" s="74"/>
      <c r="RFE59" s="74"/>
      <c r="RFF59" s="74"/>
      <c r="RFG59" s="74"/>
      <c r="RFH59" s="74"/>
      <c r="RFI59" s="74"/>
      <c r="RFJ59" s="74"/>
      <c r="RFK59" s="74"/>
      <c r="RFL59" s="74"/>
      <c r="RFM59" s="74"/>
      <c r="RFN59" s="74"/>
      <c r="RFO59" s="74"/>
      <c r="RFP59" s="74"/>
      <c r="RFQ59" s="74"/>
      <c r="RFR59" s="74"/>
      <c r="RFS59" s="74"/>
      <c r="RFT59" s="74"/>
      <c r="RFU59" s="74"/>
      <c r="RFV59" s="74"/>
      <c r="RFW59" s="74"/>
      <c r="RFX59" s="74"/>
      <c r="RFY59" s="74"/>
      <c r="RFZ59" s="74"/>
      <c r="RGA59" s="74"/>
      <c r="RGB59" s="74"/>
      <c r="RGC59" s="74"/>
      <c r="RGD59" s="74"/>
      <c r="RGE59" s="74"/>
      <c r="RGF59" s="74"/>
      <c r="RGG59" s="74"/>
      <c r="RGH59" s="74"/>
      <c r="RGI59" s="74"/>
      <c r="RGJ59" s="74"/>
      <c r="RGK59" s="74"/>
      <c r="RGL59" s="74"/>
      <c r="RGM59" s="74"/>
      <c r="RGN59" s="74"/>
      <c r="RGO59" s="74"/>
      <c r="RGP59" s="74"/>
      <c r="RGQ59" s="74"/>
      <c r="RGR59" s="74"/>
      <c r="RGS59" s="74"/>
      <c r="RGT59" s="74"/>
      <c r="RGU59" s="74"/>
      <c r="RGV59" s="74"/>
      <c r="RGW59" s="74"/>
      <c r="RGX59" s="74"/>
      <c r="RGY59" s="74"/>
      <c r="RGZ59" s="74"/>
      <c r="RHA59" s="74"/>
      <c r="RHB59" s="74"/>
      <c r="RHC59" s="74"/>
      <c r="RHD59" s="74"/>
      <c r="RHE59" s="74"/>
      <c r="RHF59" s="74"/>
      <c r="RHG59" s="74"/>
      <c r="RHH59" s="74"/>
      <c r="RHI59" s="74"/>
      <c r="RHJ59" s="74"/>
      <c r="RHK59" s="74"/>
      <c r="RHL59" s="74"/>
      <c r="RHM59" s="74"/>
      <c r="RHN59" s="74"/>
      <c r="RHO59" s="74"/>
      <c r="RHP59" s="74"/>
      <c r="RHQ59" s="74"/>
      <c r="RHR59" s="74"/>
      <c r="RHS59" s="74"/>
      <c r="RHT59" s="74"/>
      <c r="RHU59" s="74"/>
      <c r="RHV59" s="74"/>
      <c r="RHW59" s="74"/>
      <c r="RHX59" s="74"/>
      <c r="RHY59" s="74"/>
      <c r="RHZ59" s="74"/>
      <c r="RIA59" s="74"/>
      <c r="RIB59" s="74"/>
      <c r="RIC59" s="74"/>
      <c r="RID59" s="74"/>
      <c r="RIE59" s="74"/>
      <c r="RIF59" s="74"/>
      <c r="RIG59" s="74"/>
      <c r="RIH59" s="74"/>
      <c r="RII59" s="74"/>
      <c r="RIJ59" s="74"/>
      <c r="RIK59" s="74"/>
      <c r="RIL59" s="74"/>
      <c r="RIM59" s="74"/>
      <c r="RIN59" s="74"/>
      <c r="RIO59" s="74"/>
      <c r="RIP59" s="74"/>
      <c r="RIQ59" s="74"/>
      <c r="RIR59" s="74"/>
      <c r="RIS59" s="74"/>
      <c r="RIT59" s="74"/>
      <c r="RIU59" s="74"/>
      <c r="RIV59" s="74"/>
      <c r="RIW59" s="74"/>
      <c r="RIX59" s="74"/>
      <c r="RIY59" s="74"/>
      <c r="RIZ59" s="74"/>
      <c r="RJA59" s="74"/>
      <c r="RJB59" s="74"/>
      <c r="RJC59" s="74"/>
      <c r="RJD59" s="74"/>
      <c r="RJE59" s="74"/>
      <c r="RJF59" s="74"/>
      <c r="RJG59" s="74"/>
      <c r="RJH59" s="74"/>
      <c r="RJI59" s="74"/>
      <c r="RJJ59" s="74"/>
      <c r="RJK59" s="74"/>
      <c r="RJL59" s="74"/>
      <c r="RJM59" s="74"/>
      <c r="RJN59" s="74"/>
      <c r="RJO59" s="74"/>
      <c r="RJP59" s="74"/>
      <c r="RJQ59" s="74"/>
      <c r="RJR59" s="74"/>
      <c r="RJS59" s="74"/>
      <c r="RJT59" s="74"/>
      <c r="RJU59" s="74"/>
      <c r="RJV59" s="74"/>
      <c r="RJW59" s="74"/>
      <c r="RJX59" s="74"/>
      <c r="RJY59" s="74"/>
      <c r="RJZ59" s="74"/>
      <c r="RKA59" s="74"/>
      <c r="RKB59" s="74"/>
      <c r="RKC59" s="74"/>
      <c r="RKD59" s="74"/>
      <c r="RKE59" s="74"/>
      <c r="RKF59" s="74"/>
      <c r="RKG59" s="74"/>
      <c r="RKH59" s="74"/>
      <c r="RKI59" s="74"/>
      <c r="RKJ59" s="74"/>
      <c r="RKK59" s="74"/>
      <c r="RKL59" s="74"/>
      <c r="RKM59" s="74"/>
      <c r="RKN59" s="74"/>
      <c r="RKO59" s="74"/>
      <c r="RKP59" s="74"/>
      <c r="RKQ59" s="74"/>
      <c r="RKR59" s="74"/>
      <c r="RKS59" s="74"/>
      <c r="RKT59" s="74"/>
      <c r="RKU59" s="74"/>
      <c r="RKV59" s="74"/>
      <c r="RKW59" s="74"/>
      <c r="RKX59" s="74"/>
      <c r="RKY59" s="74"/>
      <c r="RKZ59" s="74"/>
      <c r="RLA59" s="74"/>
      <c r="RLB59" s="74"/>
      <c r="RLC59" s="74"/>
      <c r="RLD59" s="74"/>
      <c r="RLE59" s="74"/>
      <c r="RLF59" s="74"/>
      <c r="RLG59" s="74"/>
      <c r="RLH59" s="74"/>
      <c r="RLI59" s="74"/>
      <c r="RLJ59" s="74"/>
      <c r="RLK59" s="74"/>
      <c r="RLL59" s="74"/>
      <c r="RLM59" s="74"/>
      <c r="RLN59" s="74"/>
      <c r="RLO59" s="74"/>
      <c r="RLP59" s="74"/>
      <c r="RLQ59" s="74"/>
      <c r="RLR59" s="74"/>
      <c r="RLS59" s="74"/>
      <c r="RLT59" s="74"/>
      <c r="RLU59" s="74"/>
      <c r="RLV59" s="74"/>
      <c r="RLW59" s="74"/>
      <c r="RLX59" s="74"/>
      <c r="RLY59" s="74"/>
      <c r="RLZ59" s="74"/>
      <c r="RMA59" s="74"/>
      <c r="RMB59" s="74"/>
      <c r="RMC59" s="74"/>
      <c r="RMD59" s="74"/>
      <c r="RME59" s="74"/>
      <c r="RMF59" s="74"/>
      <c r="RMG59" s="74"/>
      <c r="RMH59" s="74"/>
      <c r="RMI59" s="74"/>
      <c r="RMJ59" s="74"/>
      <c r="RMK59" s="74"/>
      <c r="RML59" s="74"/>
      <c r="RMM59" s="74"/>
      <c r="RMN59" s="74"/>
      <c r="RMO59" s="74"/>
      <c r="RMP59" s="74"/>
      <c r="RMQ59" s="74"/>
      <c r="RMR59" s="74"/>
      <c r="RMS59" s="74"/>
      <c r="RMT59" s="74"/>
      <c r="RMU59" s="74"/>
      <c r="RMV59" s="74"/>
      <c r="RMW59" s="74"/>
      <c r="RMX59" s="74"/>
      <c r="RMY59" s="74"/>
      <c r="RMZ59" s="74"/>
      <c r="RNA59" s="74"/>
      <c r="RNB59" s="74"/>
      <c r="RNC59" s="74"/>
      <c r="RND59" s="74"/>
      <c r="RNE59" s="74"/>
      <c r="RNF59" s="74"/>
      <c r="RNG59" s="74"/>
      <c r="RNH59" s="74"/>
      <c r="RNI59" s="74"/>
      <c r="RNJ59" s="74"/>
      <c r="RNK59" s="74"/>
      <c r="RNL59" s="74"/>
      <c r="RNM59" s="74"/>
      <c r="RNN59" s="74"/>
      <c r="RNO59" s="74"/>
      <c r="RNP59" s="74"/>
      <c r="RNQ59" s="74"/>
      <c r="RNR59" s="74"/>
      <c r="RNS59" s="74"/>
      <c r="RNT59" s="74"/>
      <c r="RNU59" s="74"/>
      <c r="RNV59" s="74"/>
      <c r="RNW59" s="74"/>
      <c r="RNX59" s="74"/>
      <c r="RNY59" s="74"/>
      <c r="RNZ59" s="74"/>
      <c r="ROA59" s="74"/>
      <c r="ROB59" s="74"/>
      <c r="ROC59" s="74"/>
      <c r="ROD59" s="74"/>
      <c r="ROE59" s="74"/>
      <c r="ROF59" s="74"/>
      <c r="ROG59" s="74"/>
      <c r="ROH59" s="74"/>
      <c r="ROI59" s="74"/>
      <c r="ROJ59" s="74"/>
      <c r="ROK59" s="74"/>
      <c r="ROL59" s="74"/>
      <c r="ROM59" s="74"/>
      <c r="RON59" s="74"/>
      <c r="ROO59" s="74"/>
      <c r="ROP59" s="74"/>
      <c r="ROQ59" s="74"/>
      <c r="ROR59" s="74"/>
      <c r="ROS59" s="74"/>
      <c r="ROT59" s="74"/>
      <c r="ROU59" s="74"/>
      <c r="ROV59" s="74"/>
      <c r="ROW59" s="74"/>
      <c r="ROX59" s="74"/>
      <c r="ROY59" s="74"/>
      <c r="ROZ59" s="74"/>
      <c r="RPA59" s="74"/>
      <c r="RPB59" s="74"/>
      <c r="RPC59" s="74"/>
      <c r="RPD59" s="74"/>
      <c r="RPE59" s="74"/>
      <c r="RPF59" s="74"/>
      <c r="RPG59" s="74"/>
      <c r="RPH59" s="74"/>
      <c r="RPI59" s="74"/>
      <c r="RPJ59" s="74"/>
      <c r="RPK59" s="74"/>
      <c r="RPL59" s="74"/>
      <c r="RPM59" s="74"/>
      <c r="RPN59" s="74"/>
      <c r="RPO59" s="74"/>
      <c r="RPP59" s="74"/>
      <c r="RPQ59" s="74"/>
      <c r="RPR59" s="74"/>
      <c r="RPS59" s="74"/>
      <c r="RPT59" s="74"/>
      <c r="RPU59" s="74"/>
      <c r="RPV59" s="74"/>
      <c r="RPW59" s="74"/>
      <c r="RPX59" s="74"/>
      <c r="RPY59" s="74"/>
      <c r="RPZ59" s="74"/>
      <c r="RQA59" s="74"/>
      <c r="RQB59" s="74"/>
      <c r="RQC59" s="74"/>
      <c r="RQD59" s="74"/>
      <c r="RQE59" s="74"/>
      <c r="RQF59" s="74"/>
      <c r="RQG59" s="74"/>
      <c r="RQH59" s="74"/>
      <c r="RQI59" s="74"/>
      <c r="RQJ59" s="74"/>
      <c r="RQK59" s="74"/>
      <c r="RQL59" s="74"/>
      <c r="RQM59" s="74"/>
      <c r="RQN59" s="74"/>
      <c r="RQO59" s="74"/>
      <c r="RQP59" s="74"/>
      <c r="RQQ59" s="74"/>
      <c r="RQR59" s="74"/>
      <c r="RQS59" s="74"/>
      <c r="RQT59" s="74"/>
      <c r="RQU59" s="74"/>
      <c r="RQV59" s="74"/>
      <c r="RQW59" s="74"/>
      <c r="RQX59" s="74"/>
      <c r="RQY59" s="74"/>
      <c r="RQZ59" s="74"/>
      <c r="RRA59" s="74"/>
      <c r="RRB59" s="74"/>
      <c r="RRC59" s="74"/>
      <c r="RRD59" s="74"/>
      <c r="RRE59" s="74"/>
      <c r="RRF59" s="74"/>
      <c r="RRG59" s="74"/>
      <c r="RRH59" s="74"/>
      <c r="RRI59" s="74"/>
      <c r="RRJ59" s="74"/>
      <c r="RRK59" s="74"/>
      <c r="RRL59" s="74"/>
      <c r="RRM59" s="74"/>
      <c r="RRN59" s="74"/>
      <c r="RRO59" s="74"/>
      <c r="RRP59" s="74"/>
      <c r="RRQ59" s="74"/>
      <c r="RRR59" s="74"/>
      <c r="RRS59" s="74"/>
      <c r="RRT59" s="74"/>
      <c r="RRU59" s="74"/>
      <c r="RRV59" s="74"/>
      <c r="RRW59" s="74"/>
      <c r="RRX59" s="74"/>
      <c r="RRY59" s="74"/>
      <c r="RRZ59" s="74"/>
      <c r="RSA59" s="74"/>
      <c r="RSB59" s="74"/>
      <c r="RSC59" s="74"/>
      <c r="RSD59" s="74"/>
      <c r="RSE59" s="74"/>
      <c r="RSF59" s="74"/>
      <c r="RSG59" s="74"/>
      <c r="RSH59" s="74"/>
      <c r="RSI59" s="74"/>
      <c r="RSJ59" s="74"/>
      <c r="RSK59" s="74"/>
      <c r="RSL59" s="74"/>
      <c r="RSM59" s="74"/>
      <c r="RSN59" s="74"/>
      <c r="RSO59" s="74"/>
      <c r="RSP59" s="74"/>
      <c r="RSQ59" s="74"/>
      <c r="RSR59" s="74"/>
      <c r="RSS59" s="74"/>
      <c r="RST59" s="74"/>
      <c r="RSU59" s="74"/>
      <c r="RSV59" s="74"/>
      <c r="RSW59" s="74"/>
      <c r="RSX59" s="74"/>
      <c r="RSY59" s="74"/>
      <c r="RSZ59" s="74"/>
      <c r="RTA59" s="74"/>
      <c r="RTB59" s="74"/>
      <c r="RTC59" s="74"/>
      <c r="RTD59" s="74"/>
      <c r="RTE59" s="74"/>
      <c r="RTF59" s="74"/>
      <c r="RTG59" s="74"/>
      <c r="RTH59" s="74"/>
      <c r="RTI59" s="74"/>
      <c r="RTJ59" s="74"/>
      <c r="RTK59" s="74"/>
      <c r="RTL59" s="74"/>
      <c r="RTM59" s="74"/>
      <c r="RTN59" s="74"/>
      <c r="RTO59" s="74"/>
      <c r="RTP59" s="74"/>
      <c r="RTQ59" s="74"/>
      <c r="RTR59" s="74"/>
      <c r="RTS59" s="74"/>
      <c r="RTT59" s="74"/>
      <c r="RTU59" s="74"/>
      <c r="RTV59" s="74"/>
      <c r="RTW59" s="74"/>
      <c r="RTX59" s="74"/>
      <c r="RTY59" s="74"/>
      <c r="RTZ59" s="74"/>
      <c r="RUA59" s="74"/>
      <c r="RUB59" s="74"/>
      <c r="RUC59" s="74"/>
      <c r="RUD59" s="74"/>
      <c r="RUE59" s="74"/>
      <c r="RUF59" s="74"/>
      <c r="RUG59" s="74"/>
      <c r="RUH59" s="74"/>
      <c r="RUI59" s="74"/>
      <c r="RUJ59" s="74"/>
      <c r="RUK59" s="74"/>
      <c r="RUL59" s="74"/>
      <c r="RUM59" s="74"/>
      <c r="RUN59" s="74"/>
      <c r="RUO59" s="74"/>
      <c r="RUP59" s="74"/>
      <c r="RUQ59" s="74"/>
      <c r="RUR59" s="74"/>
      <c r="RUS59" s="74"/>
      <c r="RUT59" s="74"/>
      <c r="RUU59" s="74"/>
      <c r="RUV59" s="74"/>
      <c r="RUW59" s="74"/>
      <c r="RUX59" s="74"/>
      <c r="RUY59" s="74"/>
      <c r="RUZ59" s="74"/>
      <c r="RVA59" s="74"/>
      <c r="RVB59" s="74"/>
      <c r="RVC59" s="74"/>
      <c r="RVD59" s="74"/>
      <c r="RVE59" s="74"/>
      <c r="RVF59" s="74"/>
      <c r="RVG59" s="74"/>
      <c r="RVH59" s="74"/>
      <c r="RVI59" s="74"/>
      <c r="RVJ59" s="74"/>
      <c r="RVK59" s="74"/>
      <c r="RVL59" s="74"/>
      <c r="RVM59" s="74"/>
      <c r="RVN59" s="74"/>
      <c r="RVO59" s="74"/>
      <c r="RVP59" s="74"/>
      <c r="RVQ59" s="74"/>
      <c r="RVR59" s="74"/>
      <c r="RVS59" s="74"/>
      <c r="RVT59" s="74"/>
      <c r="RVU59" s="74"/>
      <c r="RVV59" s="74"/>
      <c r="RVW59" s="74"/>
      <c r="RVX59" s="74"/>
      <c r="RVY59" s="74"/>
      <c r="RVZ59" s="74"/>
      <c r="RWA59" s="74"/>
      <c r="RWB59" s="74"/>
      <c r="RWC59" s="74"/>
      <c r="RWD59" s="74"/>
      <c r="RWE59" s="74"/>
      <c r="RWF59" s="74"/>
      <c r="RWG59" s="74"/>
      <c r="RWH59" s="74"/>
      <c r="RWI59" s="74"/>
      <c r="RWJ59" s="74"/>
      <c r="RWK59" s="74"/>
      <c r="RWL59" s="74"/>
      <c r="RWM59" s="74"/>
      <c r="RWN59" s="74"/>
      <c r="RWO59" s="74"/>
      <c r="RWP59" s="74"/>
      <c r="RWQ59" s="74"/>
      <c r="RWR59" s="74"/>
      <c r="RWS59" s="74"/>
      <c r="RWT59" s="74"/>
      <c r="RWU59" s="74"/>
      <c r="RWV59" s="74"/>
      <c r="RWW59" s="74"/>
      <c r="RWX59" s="74"/>
      <c r="RWY59" s="74"/>
      <c r="RWZ59" s="74"/>
      <c r="RXA59" s="74"/>
      <c r="RXB59" s="74"/>
      <c r="RXC59" s="74"/>
      <c r="RXD59" s="74"/>
      <c r="RXE59" s="74"/>
      <c r="RXF59" s="74"/>
      <c r="RXG59" s="74"/>
      <c r="RXH59" s="74"/>
      <c r="RXI59" s="74"/>
      <c r="RXJ59" s="74"/>
      <c r="RXK59" s="74"/>
      <c r="RXL59" s="74"/>
      <c r="RXM59" s="74"/>
      <c r="RXN59" s="74"/>
      <c r="RXO59" s="74"/>
      <c r="RXP59" s="74"/>
      <c r="RXQ59" s="74"/>
      <c r="RXR59" s="74"/>
      <c r="RXS59" s="74"/>
      <c r="RXT59" s="74"/>
      <c r="RXU59" s="74"/>
      <c r="RXV59" s="74"/>
      <c r="RXW59" s="74"/>
      <c r="RXX59" s="74"/>
      <c r="RXY59" s="74"/>
      <c r="RXZ59" s="74"/>
      <c r="RYA59" s="74"/>
      <c r="RYB59" s="74"/>
      <c r="RYC59" s="74"/>
      <c r="RYD59" s="74"/>
      <c r="RYE59" s="74"/>
      <c r="RYF59" s="74"/>
      <c r="RYG59" s="74"/>
      <c r="RYH59" s="74"/>
      <c r="RYI59" s="74"/>
      <c r="RYJ59" s="74"/>
      <c r="RYK59" s="74"/>
      <c r="RYL59" s="74"/>
      <c r="RYM59" s="74"/>
      <c r="RYN59" s="74"/>
      <c r="RYO59" s="74"/>
      <c r="RYP59" s="74"/>
      <c r="RYQ59" s="74"/>
      <c r="RYR59" s="74"/>
      <c r="RYS59" s="74"/>
      <c r="RYT59" s="74"/>
      <c r="RYU59" s="74"/>
      <c r="RYV59" s="74"/>
      <c r="RYW59" s="74"/>
      <c r="RYX59" s="74"/>
      <c r="RYY59" s="74"/>
      <c r="RYZ59" s="74"/>
      <c r="RZA59" s="74"/>
      <c r="RZB59" s="74"/>
      <c r="RZC59" s="74"/>
      <c r="RZD59" s="74"/>
      <c r="RZE59" s="74"/>
      <c r="RZF59" s="74"/>
      <c r="RZG59" s="74"/>
      <c r="RZH59" s="74"/>
      <c r="RZI59" s="74"/>
      <c r="RZJ59" s="74"/>
      <c r="RZK59" s="74"/>
      <c r="RZL59" s="74"/>
      <c r="RZM59" s="74"/>
      <c r="RZN59" s="74"/>
      <c r="RZO59" s="74"/>
      <c r="RZP59" s="74"/>
      <c r="RZQ59" s="74"/>
      <c r="RZR59" s="74"/>
      <c r="RZS59" s="74"/>
      <c r="RZT59" s="74"/>
      <c r="RZU59" s="74"/>
      <c r="RZV59" s="74"/>
      <c r="RZW59" s="74"/>
      <c r="RZX59" s="74"/>
      <c r="RZY59" s="74"/>
      <c r="RZZ59" s="74"/>
      <c r="SAA59" s="74"/>
      <c r="SAB59" s="74"/>
      <c r="SAC59" s="74"/>
      <c r="SAD59" s="74"/>
      <c r="SAE59" s="74"/>
      <c r="SAF59" s="74"/>
      <c r="SAG59" s="74"/>
      <c r="SAH59" s="74"/>
      <c r="SAI59" s="74"/>
      <c r="SAJ59" s="74"/>
      <c r="SAK59" s="74"/>
      <c r="SAL59" s="74"/>
      <c r="SAM59" s="74"/>
      <c r="SAN59" s="74"/>
      <c r="SAO59" s="74"/>
      <c r="SAP59" s="74"/>
      <c r="SAQ59" s="74"/>
      <c r="SAR59" s="74"/>
      <c r="SAS59" s="74"/>
      <c r="SAT59" s="74"/>
      <c r="SAU59" s="74"/>
      <c r="SAV59" s="74"/>
      <c r="SAW59" s="74"/>
      <c r="SAX59" s="74"/>
      <c r="SAY59" s="74"/>
      <c r="SAZ59" s="74"/>
      <c r="SBA59" s="74"/>
      <c r="SBB59" s="74"/>
      <c r="SBC59" s="74"/>
      <c r="SBD59" s="74"/>
      <c r="SBE59" s="74"/>
      <c r="SBF59" s="74"/>
      <c r="SBG59" s="74"/>
      <c r="SBH59" s="74"/>
      <c r="SBI59" s="74"/>
      <c r="SBJ59" s="74"/>
      <c r="SBK59" s="74"/>
      <c r="SBL59" s="74"/>
      <c r="SBM59" s="74"/>
      <c r="SBN59" s="74"/>
      <c r="SBO59" s="74"/>
      <c r="SBP59" s="74"/>
      <c r="SBQ59" s="74"/>
      <c r="SBR59" s="74"/>
      <c r="SBS59" s="74"/>
      <c r="SBT59" s="74"/>
      <c r="SBU59" s="74"/>
      <c r="SBV59" s="74"/>
      <c r="SBW59" s="74"/>
      <c r="SBX59" s="74"/>
      <c r="SBY59" s="74"/>
      <c r="SBZ59" s="74"/>
      <c r="SCA59" s="74"/>
      <c r="SCB59" s="74"/>
      <c r="SCC59" s="74"/>
      <c r="SCD59" s="74"/>
      <c r="SCE59" s="74"/>
      <c r="SCF59" s="74"/>
      <c r="SCG59" s="74"/>
      <c r="SCH59" s="74"/>
      <c r="SCI59" s="74"/>
      <c r="SCJ59" s="74"/>
      <c r="SCK59" s="74"/>
      <c r="SCL59" s="74"/>
      <c r="SCM59" s="74"/>
      <c r="SCN59" s="74"/>
      <c r="SCO59" s="74"/>
      <c r="SCP59" s="74"/>
      <c r="SCQ59" s="74"/>
      <c r="SCR59" s="74"/>
      <c r="SCS59" s="74"/>
      <c r="SCT59" s="74"/>
      <c r="SCU59" s="74"/>
      <c r="SCV59" s="74"/>
      <c r="SCW59" s="74"/>
      <c r="SCX59" s="74"/>
      <c r="SCY59" s="74"/>
      <c r="SCZ59" s="74"/>
      <c r="SDA59" s="74"/>
      <c r="SDB59" s="74"/>
      <c r="SDC59" s="74"/>
      <c r="SDD59" s="74"/>
      <c r="SDE59" s="74"/>
      <c r="SDF59" s="74"/>
      <c r="SDG59" s="74"/>
      <c r="SDH59" s="74"/>
      <c r="SDI59" s="74"/>
      <c r="SDJ59" s="74"/>
      <c r="SDK59" s="74"/>
      <c r="SDL59" s="74"/>
      <c r="SDM59" s="74"/>
      <c r="SDN59" s="74"/>
      <c r="SDO59" s="74"/>
      <c r="SDP59" s="74"/>
      <c r="SDQ59" s="74"/>
      <c r="SDR59" s="74"/>
      <c r="SDS59" s="74"/>
      <c r="SDT59" s="74"/>
      <c r="SDU59" s="74"/>
      <c r="SDV59" s="74"/>
      <c r="SDW59" s="74"/>
      <c r="SDX59" s="74"/>
      <c r="SDY59" s="74"/>
      <c r="SDZ59" s="74"/>
      <c r="SEA59" s="74"/>
      <c r="SEB59" s="74"/>
      <c r="SEC59" s="74"/>
      <c r="SED59" s="74"/>
      <c r="SEE59" s="74"/>
      <c r="SEF59" s="74"/>
      <c r="SEG59" s="74"/>
      <c r="SEH59" s="74"/>
      <c r="SEI59" s="74"/>
      <c r="SEJ59" s="74"/>
      <c r="SEK59" s="74"/>
      <c r="SEL59" s="74"/>
      <c r="SEM59" s="74"/>
      <c r="SEN59" s="74"/>
      <c r="SEO59" s="74"/>
      <c r="SEP59" s="74"/>
      <c r="SEQ59" s="74"/>
      <c r="SER59" s="74"/>
      <c r="SES59" s="74"/>
      <c r="SET59" s="74"/>
      <c r="SEU59" s="74"/>
      <c r="SEV59" s="74"/>
      <c r="SEW59" s="74"/>
      <c r="SEX59" s="74"/>
      <c r="SEY59" s="74"/>
      <c r="SEZ59" s="74"/>
      <c r="SFA59" s="74"/>
      <c r="SFB59" s="74"/>
      <c r="SFC59" s="74"/>
      <c r="SFD59" s="74"/>
      <c r="SFE59" s="74"/>
      <c r="SFF59" s="74"/>
      <c r="SFG59" s="74"/>
      <c r="SFH59" s="74"/>
      <c r="SFI59" s="74"/>
      <c r="SFJ59" s="74"/>
      <c r="SFK59" s="74"/>
      <c r="SFL59" s="74"/>
      <c r="SFM59" s="74"/>
      <c r="SFN59" s="74"/>
      <c r="SFO59" s="74"/>
      <c r="SFP59" s="74"/>
      <c r="SFQ59" s="74"/>
      <c r="SFR59" s="74"/>
      <c r="SFS59" s="74"/>
      <c r="SFT59" s="74"/>
      <c r="SFU59" s="74"/>
      <c r="SFV59" s="74"/>
      <c r="SFW59" s="74"/>
      <c r="SFX59" s="74"/>
      <c r="SFY59" s="74"/>
      <c r="SFZ59" s="74"/>
      <c r="SGA59" s="74"/>
      <c r="SGB59" s="74"/>
      <c r="SGC59" s="74"/>
      <c r="SGD59" s="74"/>
      <c r="SGE59" s="74"/>
      <c r="SGF59" s="74"/>
      <c r="SGG59" s="74"/>
      <c r="SGH59" s="74"/>
      <c r="SGI59" s="74"/>
      <c r="SGJ59" s="74"/>
      <c r="SGK59" s="74"/>
      <c r="SGL59" s="74"/>
      <c r="SGM59" s="74"/>
      <c r="SGN59" s="74"/>
      <c r="SGO59" s="74"/>
      <c r="SGP59" s="74"/>
      <c r="SGQ59" s="74"/>
      <c r="SGR59" s="74"/>
      <c r="SGS59" s="74"/>
      <c r="SGT59" s="74"/>
      <c r="SGU59" s="74"/>
      <c r="SGV59" s="74"/>
      <c r="SGW59" s="74"/>
      <c r="SGX59" s="74"/>
      <c r="SGY59" s="74"/>
      <c r="SGZ59" s="74"/>
      <c r="SHA59" s="74"/>
      <c r="SHB59" s="74"/>
      <c r="SHC59" s="74"/>
      <c r="SHD59" s="74"/>
      <c r="SHE59" s="74"/>
      <c r="SHF59" s="74"/>
      <c r="SHG59" s="74"/>
      <c r="SHH59" s="74"/>
      <c r="SHI59" s="74"/>
      <c r="SHJ59" s="74"/>
      <c r="SHK59" s="74"/>
      <c r="SHL59" s="74"/>
      <c r="SHM59" s="74"/>
      <c r="SHN59" s="74"/>
      <c r="SHO59" s="74"/>
      <c r="SHP59" s="74"/>
      <c r="SHQ59" s="74"/>
      <c r="SHR59" s="74"/>
      <c r="SHS59" s="74"/>
      <c r="SHT59" s="74"/>
      <c r="SHU59" s="74"/>
      <c r="SHV59" s="74"/>
      <c r="SHW59" s="74"/>
      <c r="SHX59" s="74"/>
      <c r="SHY59" s="74"/>
      <c r="SHZ59" s="74"/>
      <c r="SIA59" s="74"/>
      <c r="SIB59" s="74"/>
      <c r="SIC59" s="74"/>
      <c r="SID59" s="74"/>
      <c r="SIE59" s="74"/>
      <c r="SIF59" s="74"/>
      <c r="SIG59" s="74"/>
      <c r="SIH59" s="74"/>
      <c r="SII59" s="74"/>
      <c r="SIJ59" s="74"/>
      <c r="SIK59" s="74"/>
      <c r="SIL59" s="74"/>
      <c r="SIM59" s="74"/>
      <c r="SIN59" s="74"/>
      <c r="SIO59" s="74"/>
      <c r="SIP59" s="74"/>
      <c r="SIQ59" s="74"/>
      <c r="SIR59" s="74"/>
      <c r="SIS59" s="74"/>
      <c r="SIT59" s="74"/>
      <c r="SIU59" s="74"/>
      <c r="SIV59" s="74"/>
      <c r="SIW59" s="74"/>
      <c r="SIX59" s="74"/>
      <c r="SIY59" s="74"/>
      <c r="SIZ59" s="74"/>
      <c r="SJA59" s="74"/>
      <c r="SJB59" s="74"/>
      <c r="SJC59" s="74"/>
      <c r="SJD59" s="74"/>
      <c r="SJE59" s="74"/>
      <c r="SJF59" s="74"/>
      <c r="SJG59" s="74"/>
      <c r="SJH59" s="74"/>
      <c r="SJI59" s="74"/>
      <c r="SJJ59" s="74"/>
      <c r="SJK59" s="74"/>
      <c r="SJL59" s="74"/>
      <c r="SJM59" s="74"/>
      <c r="SJN59" s="74"/>
      <c r="SJO59" s="74"/>
      <c r="SJP59" s="74"/>
      <c r="SJQ59" s="74"/>
      <c r="SJR59" s="74"/>
      <c r="SJS59" s="74"/>
      <c r="SJT59" s="74"/>
      <c r="SJU59" s="74"/>
      <c r="SJV59" s="74"/>
      <c r="SJW59" s="74"/>
      <c r="SJX59" s="74"/>
      <c r="SJY59" s="74"/>
      <c r="SJZ59" s="74"/>
      <c r="SKA59" s="74"/>
      <c r="SKB59" s="74"/>
      <c r="SKC59" s="74"/>
      <c r="SKD59" s="74"/>
      <c r="SKE59" s="74"/>
      <c r="SKF59" s="74"/>
      <c r="SKG59" s="74"/>
      <c r="SKH59" s="74"/>
      <c r="SKI59" s="74"/>
      <c r="SKJ59" s="74"/>
      <c r="SKK59" s="74"/>
      <c r="SKL59" s="74"/>
      <c r="SKM59" s="74"/>
      <c r="SKN59" s="74"/>
      <c r="SKO59" s="74"/>
      <c r="SKP59" s="74"/>
      <c r="SKQ59" s="74"/>
      <c r="SKR59" s="74"/>
      <c r="SKS59" s="74"/>
      <c r="SKT59" s="74"/>
      <c r="SKU59" s="74"/>
      <c r="SKV59" s="74"/>
      <c r="SKW59" s="74"/>
      <c r="SKX59" s="74"/>
      <c r="SKY59" s="74"/>
      <c r="SKZ59" s="74"/>
      <c r="SLA59" s="74"/>
      <c r="SLB59" s="74"/>
      <c r="SLC59" s="74"/>
      <c r="SLD59" s="74"/>
      <c r="SLE59" s="74"/>
      <c r="SLF59" s="74"/>
      <c r="SLG59" s="74"/>
      <c r="SLH59" s="74"/>
      <c r="SLI59" s="74"/>
      <c r="SLJ59" s="74"/>
      <c r="SLK59" s="74"/>
      <c r="SLL59" s="74"/>
      <c r="SLM59" s="74"/>
      <c r="SLN59" s="74"/>
      <c r="SLO59" s="74"/>
      <c r="SLP59" s="74"/>
      <c r="SLQ59" s="74"/>
      <c r="SLR59" s="74"/>
      <c r="SLS59" s="74"/>
      <c r="SLT59" s="74"/>
      <c r="SLU59" s="74"/>
      <c r="SLV59" s="74"/>
      <c r="SLW59" s="74"/>
      <c r="SLX59" s="74"/>
      <c r="SLY59" s="74"/>
      <c r="SLZ59" s="74"/>
      <c r="SMA59" s="74"/>
      <c r="SMB59" s="74"/>
      <c r="SMC59" s="74"/>
      <c r="SMD59" s="74"/>
      <c r="SME59" s="74"/>
      <c r="SMF59" s="74"/>
      <c r="SMG59" s="74"/>
      <c r="SMH59" s="74"/>
      <c r="SMI59" s="74"/>
      <c r="SMJ59" s="74"/>
      <c r="SMK59" s="74"/>
      <c r="SML59" s="74"/>
      <c r="SMM59" s="74"/>
      <c r="SMN59" s="74"/>
      <c r="SMO59" s="74"/>
      <c r="SMP59" s="74"/>
      <c r="SMQ59" s="74"/>
      <c r="SMR59" s="74"/>
      <c r="SMS59" s="74"/>
      <c r="SMT59" s="74"/>
      <c r="SMU59" s="74"/>
      <c r="SMV59" s="74"/>
      <c r="SMW59" s="74"/>
      <c r="SMX59" s="74"/>
      <c r="SMY59" s="74"/>
      <c r="SMZ59" s="74"/>
      <c r="SNA59" s="74"/>
      <c r="SNB59" s="74"/>
      <c r="SNC59" s="74"/>
      <c r="SND59" s="74"/>
      <c r="SNE59" s="74"/>
      <c r="SNF59" s="74"/>
      <c r="SNG59" s="74"/>
      <c r="SNH59" s="74"/>
      <c r="SNI59" s="74"/>
      <c r="SNJ59" s="74"/>
      <c r="SNK59" s="74"/>
      <c r="SNL59" s="74"/>
      <c r="SNM59" s="74"/>
      <c r="SNN59" s="74"/>
      <c r="SNO59" s="74"/>
      <c r="SNP59" s="74"/>
      <c r="SNQ59" s="74"/>
      <c r="SNR59" s="74"/>
      <c r="SNS59" s="74"/>
      <c r="SNT59" s="74"/>
      <c r="SNU59" s="74"/>
      <c r="SNV59" s="74"/>
      <c r="SNW59" s="74"/>
      <c r="SNX59" s="74"/>
      <c r="SNY59" s="74"/>
      <c r="SNZ59" s="74"/>
      <c r="SOA59" s="74"/>
      <c r="SOB59" s="74"/>
      <c r="SOC59" s="74"/>
      <c r="SOD59" s="74"/>
      <c r="SOE59" s="74"/>
      <c r="SOF59" s="74"/>
      <c r="SOG59" s="74"/>
      <c r="SOH59" s="74"/>
      <c r="SOI59" s="74"/>
      <c r="SOJ59" s="74"/>
      <c r="SOK59" s="74"/>
      <c r="SOL59" s="74"/>
      <c r="SOM59" s="74"/>
      <c r="SON59" s="74"/>
      <c r="SOO59" s="74"/>
      <c r="SOP59" s="74"/>
      <c r="SOQ59" s="74"/>
      <c r="SOR59" s="74"/>
      <c r="SOS59" s="74"/>
      <c r="SOT59" s="74"/>
      <c r="SOU59" s="74"/>
      <c r="SOV59" s="74"/>
      <c r="SOW59" s="74"/>
      <c r="SOX59" s="74"/>
      <c r="SOY59" s="74"/>
      <c r="SOZ59" s="74"/>
      <c r="SPA59" s="74"/>
      <c r="SPB59" s="74"/>
      <c r="SPC59" s="74"/>
      <c r="SPD59" s="74"/>
      <c r="SPE59" s="74"/>
      <c r="SPF59" s="74"/>
      <c r="SPG59" s="74"/>
      <c r="SPH59" s="74"/>
      <c r="SPI59" s="74"/>
      <c r="SPJ59" s="74"/>
      <c r="SPK59" s="74"/>
      <c r="SPL59" s="74"/>
      <c r="SPM59" s="74"/>
      <c r="SPN59" s="74"/>
      <c r="SPO59" s="74"/>
      <c r="SPP59" s="74"/>
      <c r="SPQ59" s="74"/>
      <c r="SPR59" s="74"/>
      <c r="SPS59" s="74"/>
      <c r="SPT59" s="74"/>
      <c r="SPU59" s="74"/>
      <c r="SPV59" s="74"/>
      <c r="SPW59" s="74"/>
      <c r="SPX59" s="74"/>
      <c r="SPY59" s="74"/>
      <c r="SPZ59" s="74"/>
      <c r="SQA59" s="74"/>
      <c r="SQB59" s="74"/>
      <c r="SQC59" s="74"/>
      <c r="SQD59" s="74"/>
      <c r="SQE59" s="74"/>
      <c r="SQF59" s="74"/>
      <c r="SQG59" s="74"/>
      <c r="SQH59" s="74"/>
      <c r="SQI59" s="74"/>
      <c r="SQJ59" s="74"/>
      <c r="SQK59" s="74"/>
      <c r="SQL59" s="74"/>
      <c r="SQM59" s="74"/>
      <c r="SQN59" s="74"/>
      <c r="SQO59" s="74"/>
      <c r="SQP59" s="74"/>
      <c r="SQQ59" s="74"/>
      <c r="SQR59" s="74"/>
      <c r="SQS59" s="74"/>
      <c r="SQT59" s="74"/>
      <c r="SQU59" s="74"/>
      <c r="SQV59" s="74"/>
      <c r="SQW59" s="74"/>
      <c r="SQX59" s="74"/>
      <c r="SQY59" s="74"/>
      <c r="SQZ59" s="74"/>
      <c r="SRA59" s="74"/>
      <c r="SRB59" s="74"/>
      <c r="SRC59" s="74"/>
      <c r="SRD59" s="74"/>
      <c r="SRE59" s="74"/>
      <c r="SRF59" s="74"/>
      <c r="SRG59" s="74"/>
      <c r="SRH59" s="74"/>
      <c r="SRI59" s="74"/>
      <c r="SRJ59" s="74"/>
      <c r="SRK59" s="74"/>
      <c r="SRL59" s="74"/>
      <c r="SRM59" s="74"/>
      <c r="SRN59" s="74"/>
      <c r="SRO59" s="74"/>
      <c r="SRP59" s="74"/>
      <c r="SRQ59" s="74"/>
      <c r="SRR59" s="74"/>
      <c r="SRS59" s="74"/>
      <c r="SRT59" s="74"/>
      <c r="SRU59" s="74"/>
      <c r="SRV59" s="74"/>
      <c r="SRW59" s="74"/>
      <c r="SRX59" s="74"/>
      <c r="SRY59" s="74"/>
      <c r="SRZ59" s="74"/>
      <c r="SSA59" s="74"/>
      <c r="SSB59" s="74"/>
      <c r="SSC59" s="74"/>
      <c r="SSD59" s="74"/>
      <c r="SSE59" s="74"/>
      <c r="SSF59" s="74"/>
      <c r="SSG59" s="74"/>
      <c r="SSH59" s="74"/>
      <c r="SSI59" s="74"/>
      <c r="SSJ59" s="74"/>
      <c r="SSK59" s="74"/>
      <c r="SSL59" s="74"/>
      <c r="SSM59" s="74"/>
      <c r="SSN59" s="74"/>
      <c r="SSO59" s="74"/>
      <c r="SSP59" s="74"/>
      <c r="SSQ59" s="74"/>
      <c r="SSR59" s="74"/>
      <c r="SSS59" s="74"/>
      <c r="SST59" s="74"/>
      <c r="SSU59" s="74"/>
      <c r="SSV59" s="74"/>
      <c r="SSW59" s="74"/>
      <c r="SSX59" s="74"/>
      <c r="SSY59" s="74"/>
      <c r="SSZ59" s="74"/>
      <c r="STA59" s="74"/>
      <c r="STB59" s="74"/>
      <c r="STC59" s="74"/>
      <c r="STD59" s="74"/>
      <c r="STE59" s="74"/>
      <c r="STF59" s="74"/>
      <c r="STG59" s="74"/>
      <c r="STH59" s="74"/>
      <c r="STI59" s="74"/>
      <c r="STJ59" s="74"/>
      <c r="STK59" s="74"/>
      <c r="STL59" s="74"/>
      <c r="STM59" s="74"/>
      <c r="STN59" s="74"/>
      <c r="STO59" s="74"/>
      <c r="STP59" s="74"/>
      <c r="STQ59" s="74"/>
      <c r="STR59" s="74"/>
      <c r="STS59" s="74"/>
      <c r="STT59" s="74"/>
      <c r="STU59" s="74"/>
      <c r="STV59" s="74"/>
      <c r="STW59" s="74"/>
      <c r="STX59" s="74"/>
      <c r="STY59" s="74"/>
      <c r="STZ59" s="74"/>
      <c r="SUA59" s="74"/>
      <c r="SUB59" s="74"/>
      <c r="SUC59" s="74"/>
      <c r="SUD59" s="74"/>
      <c r="SUE59" s="74"/>
      <c r="SUF59" s="74"/>
      <c r="SUG59" s="74"/>
      <c r="SUH59" s="74"/>
      <c r="SUI59" s="74"/>
      <c r="SUJ59" s="74"/>
      <c r="SUK59" s="74"/>
      <c r="SUL59" s="74"/>
      <c r="SUM59" s="74"/>
      <c r="SUN59" s="74"/>
      <c r="SUO59" s="74"/>
      <c r="SUP59" s="74"/>
      <c r="SUQ59" s="74"/>
      <c r="SUR59" s="74"/>
      <c r="SUS59" s="74"/>
      <c r="SUT59" s="74"/>
      <c r="SUU59" s="74"/>
      <c r="SUV59" s="74"/>
      <c r="SUW59" s="74"/>
      <c r="SUX59" s="74"/>
      <c r="SUY59" s="74"/>
      <c r="SUZ59" s="74"/>
      <c r="SVA59" s="74"/>
      <c r="SVB59" s="74"/>
      <c r="SVC59" s="74"/>
      <c r="SVD59" s="74"/>
      <c r="SVE59" s="74"/>
      <c r="SVF59" s="74"/>
      <c r="SVG59" s="74"/>
      <c r="SVH59" s="74"/>
      <c r="SVI59" s="74"/>
      <c r="SVJ59" s="74"/>
      <c r="SVK59" s="74"/>
      <c r="SVL59" s="74"/>
      <c r="SVM59" s="74"/>
      <c r="SVN59" s="74"/>
      <c r="SVO59" s="74"/>
      <c r="SVP59" s="74"/>
      <c r="SVQ59" s="74"/>
      <c r="SVR59" s="74"/>
      <c r="SVS59" s="74"/>
      <c r="SVT59" s="74"/>
      <c r="SVU59" s="74"/>
      <c r="SVV59" s="74"/>
      <c r="SVW59" s="74"/>
      <c r="SVX59" s="74"/>
      <c r="SVY59" s="74"/>
      <c r="SVZ59" s="74"/>
      <c r="SWA59" s="74"/>
      <c r="SWB59" s="74"/>
      <c r="SWC59" s="74"/>
      <c r="SWD59" s="74"/>
      <c r="SWE59" s="74"/>
      <c r="SWF59" s="74"/>
      <c r="SWG59" s="74"/>
      <c r="SWH59" s="74"/>
      <c r="SWI59" s="74"/>
      <c r="SWJ59" s="74"/>
      <c r="SWK59" s="74"/>
      <c r="SWL59" s="74"/>
      <c r="SWM59" s="74"/>
      <c r="SWN59" s="74"/>
      <c r="SWO59" s="74"/>
      <c r="SWP59" s="74"/>
      <c r="SWQ59" s="74"/>
      <c r="SWR59" s="74"/>
      <c r="SWS59" s="74"/>
      <c r="SWT59" s="74"/>
      <c r="SWU59" s="74"/>
      <c r="SWV59" s="74"/>
      <c r="SWW59" s="74"/>
      <c r="SWX59" s="74"/>
      <c r="SWY59" s="74"/>
      <c r="SWZ59" s="74"/>
      <c r="SXA59" s="74"/>
      <c r="SXB59" s="74"/>
      <c r="SXC59" s="74"/>
      <c r="SXD59" s="74"/>
      <c r="SXE59" s="74"/>
      <c r="SXF59" s="74"/>
      <c r="SXG59" s="74"/>
      <c r="SXH59" s="74"/>
      <c r="SXI59" s="74"/>
      <c r="SXJ59" s="74"/>
      <c r="SXK59" s="74"/>
      <c r="SXL59" s="74"/>
      <c r="SXM59" s="74"/>
      <c r="SXN59" s="74"/>
      <c r="SXO59" s="74"/>
      <c r="SXP59" s="74"/>
      <c r="SXQ59" s="74"/>
      <c r="SXR59" s="74"/>
      <c r="SXS59" s="74"/>
      <c r="SXT59" s="74"/>
      <c r="SXU59" s="74"/>
      <c r="SXV59" s="74"/>
      <c r="SXW59" s="74"/>
      <c r="SXX59" s="74"/>
      <c r="SXY59" s="74"/>
      <c r="SXZ59" s="74"/>
      <c r="SYA59" s="74"/>
      <c r="SYB59" s="74"/>
      <c r="SYC59" s="74"/>
      <c r="SYD59" s="74"/>
      <c r="SYE59" s="74"/>
      <c r="SYF59" s="74"/>
      <c r="SYG59" s="74"/>
      <c r="SYH59" s="74"/>
      <c r="SYI59" s="74"/>
      <c r="SYJ59" s="74"/>
      <c r="SYK59" s="74"/>
      <c r="SYL59" s="74"/>
      <c r="SYM59" s="74"/>
      <c r="SYN59" s="74"/>
      <c r="SYO59" s="74"/>
      <c r="SYP59" s="74"/>
      <c r="SYQ59" s="74"/>
      <c r="SYR59" s="74"/>
      <c r="SYS59" s="74"/>
      <c r="SYT59" s="74"/>
      <c r="SYU59" s="74"/>
      <c r="SYV59" s="74"/>
      <c r="SYW59" s="74"/>
      <c r="SYX59" s="74"/>
      <c r="SYY59" s="74"/>
      <c r="SYZ59" s="74"/>
      <c r="SZA59" s="74"/>
      <c r="SZB59" s="74"/>
      <c r="SZC59" s="74"/>
      <c r="SZD59" s="74"/>
      <c r="SZE59" s="74"/>
      <c r="SZF59" s="74"/>
      <c r="SZG59" s="74"/>
      <c r="SZH59" s="74"/>
      <c r="SZI59" s="74"/>
      <c r="SZJ59" s="74"/>
      <c r="SZK59" s="74"/>
      <c r="SZL59" s="74"/>
      <c r="SZM59" s="74"/>
      <c r="SZN59" s="74"/>
      <c r="SZO59" s="74"/>
      <c r="SZP59" s="74"/>
      <c r="SZQ59" s="74"/>
      <c r="SZR59" s="74"/>
      <c r="SZS59" s="74"/>
      <c r="SZT59" s="74"/>
      <c r="SZU59" s="74"/>
      <c r="SZV59" s="74"/>
      <c r="SZW59" s="74"/>
      <c r="SZX59" s="74"/>
      <c r="SZY59" s="74"/>
      <c r="SZZ59" s="74"/>
      <c r="TAA59" s="74"/>
      <c r="TAB59" s="74"/>
      <c r="TAC59" s="74"/>
      <c r="TAD59" s="74"/>
      <c r="TAE59" s="74"/>
      <c r="TAF59" s="74"/>
      <c r="TAG59" s="74"/>
      <c r="TAH59" s="74"/>
      <c r="TAI59" s="74"/>
      <c r="TAJ59" s="74"/>
      <c r="TAK59" s="74"/>
      <c r="TAL59" s="74"/>
      <c r="TAM59" s="74"/>
      <c r="TAN59" s="74"/>
      <c r="TAO59" s="74"/>
      <c r="TAP59" s="74"/>
      <c r="TAQ59" s="74"/>
      <c r="TAR59" s="74"/>
      <c r="TAS59" s="74"/>
      <c r="TAT59" s="74"/>
      <c r="TAU59" s="74"/>
      <c r="TAV59" s="74"/>
      <c r="TAW59" s="74"/>
      <c r="TAX59" s="74"/>
      <c r="TAY59" s="74"/>
      <c r="TAZ59" s="74"/>
      <c r="TBA59" s="74"/>
      <c r="TBB59" s="74"/>
      <c r="TBC59" s="74"/>
      <c r="TBD59" s="74"/>
      <c r="TBE59" s="74"/>
      <c r="TBF59" s="74"/>
      <c r="TBG59" s="74"/>
      <c r="TBH59" s="74"/>
      <c r="TBI59" s="74"/>
      <c r="TBJ59" s="74"/>
      <c r="TBK59" s="74"/>
      <c r="TBL59" s="74"/>
      <c r="TBM59" s="74"/>
      <c r="TBN59" s="74"/>
      <c r="TBO59" s="74"/>
      <c r="TBP59" s="74"/>
      <c r="TBQ59" s="74"/>
      <c r="TBR59" s="74"/>
      <c r="TBS59" s="74"/>
      <c r="TBT59" s="74"/>
      <c r="TBU59" s="74"/>
      <c r="TBV59" s="74"/>
      <c r="TBW59" s="74"/>
      <c r="TBX59" s="74"/>
      <c r="TBY59" s="74"/>
      <c r="TBZ59" s="74"/>
      <c r="TCA59" s="74"/>
      <c r="TCB59" s="74"/>
      <c r="TCC59" s="74"/>
      <c r="TCD59" s="74"/>
      <c r="TCE59" s="74"/>
      <c r="TCF59" s="74"/>
      <c r="TCG59" s="74"/>
      <c r="TCH59" s="74"/>
      <c r="TCI59" s="74"/>
      <c r="TCJ59" s="74"/>
      <c r="TCK59" s="74"/>
      <c r="TCL59" s="74"/>
      <c r="TCM59" s="74"/>
      <c r="TCN59" s="74"/>
      <c r="TCO59" s="74"/>
      <c r="TCP59" s="74"/>
      <c r="TCQ59" s="74"/>
      <c r="TCR59" s="74"/>
      <c r="TCS59" s="74"/>
      <c r="TCT59" s="74"/>
      <c r="TCU59" s="74"/>
      <c r="TCV59" s="74"/>
      <c r="TCW59" s="74"/>
      <c r="TCX59" s="74"/>
      <c r="TCY59" s="74"/>
      <c r="TCZ59" s="74"/>
      <c r="TDA59" s="74"/>
      <c r="TDB59" s="74"/>
      <c r="TDC59" s="74"/>
      <c r="TDD59" s="74"/>
      <c r="TDE59" s="74"/>
      <c r="TDF59" s="74"/>
      <c r="TDG59" s="74"/>
      <c r="TDH59" s="74"/>
      <c r="TDI59" s="74"/>
      <c r="TDJ59" s="74"/>
      <c r="TDK59" s="74"/>
      <c r="TDL59" s="74"/>
      <c r="TDM59" s="74"/>
      <c r="TDN59" s="74"/>
      <c r="TDO59" s="74"/>
      <c r="TDP59" s="74"/>
      <c r="TDQ59" s="74"/>
      <c r="TDR59" s="74"/>
      <c r="TDS59" s="74"/>
      <c r="TDT59" s="74"/>
      <c r="TDU59" s="74"/>
      <c r="TDV59" s="74"/>
      <c r="TDW59" s="74"/>
      <c r="TDX59" s="74"/>
      <c r="TDY59" s="74"/>
      <c r="TDZ59" s="74"/>
      <c r="TEA59" s="74"/>
      <c r="TEB59" s="74"/>
      <c r="TEC59" s="74"/>
      <c r="TED59" s="74"/>
      <c r="TEE59" s="74"/>
      <c r="TEF59" s="74"/>
      <c r="TEG59" s="74"/>
      <c r="TEH59" s="74"/>
      <c r="TEI59" s="74"/>
      <c r="TEJ59" s="74"/>
      <c r="TEK59" s="74"/>
      <c r="TEL59" s="74"/>
      <c r="TEM59" s="74"/>
      <c r="TEN59" s="74"/>
      <c r="TEO59" s="74"/>
      <c r="TEP59" s="74"/>
      <c r="TEQ59" s="74"/>
      <c r="TER59" s="74"/>
      <c r="TES59" s="74"/>
      <c r="TET59" s="74"/>
      <c r="TEU59" s="74"/>
      <c r="TEV59" s="74"/>
      <c r="TEW59" s="74"/>
      <c r="TEX59" s="74"/>
      <c r="TEY59" s="74"/>
      <c r="TEZ59" s="74"/>
      <c r="TFA59" s="74"/>
      <c r="TFB59" s="74"/>
      <c r="TFC59" s="74"/>
      <c r="TFD59" s="74"/>
      <c r="TFE59" s="74"/>
      <c r="TFF59" s="74"/>
      <c r="TFG59" s="74"/>
      <c r="TFH59" s="74"/>
      <c r="TFI59" s="74"/>
      <c r="TFJ59" s="74"/>
      <c r="TFK59" s="74"/>
      <c r="TFL59" s="74"/>
      <c r="TFM59" s="74"/>
      <c r="TFN59" s="74"/>
      <c r="TFO59" s="74"/>
      <c r="TFP59" s="74"/>
      <c r="TFQ59" s="74"/>
      <c r="TFR59" s="74"/>
      <c r="TFS59" s="74"/>
      <c r="TFT59" s="74"/>
      <c r="TFU59" s="74"/>
      <c r="TFV59" s="74"/>
      <c r="TFW59" s="74"/>
      <c r="TFX59" s="74"/>
      <c r="TFY59" s="74"/>
      <c r="TFZ59" s="74"/>
      <c r="TGA59" s="74"/>
      <c r="TGB59" s="74"/>
      <c r="TGC59" s="74"/>
      <c r="TGD59" s="74"/>
      <c r="TGE59" s="74"/>
      <c r="TGF59" s="74"/>
      <c r="TGG59" s="74"/>
      <c r="TGH59" s="74"/>
      <c r="TGI59" s="74"/>
      <c r="TGJ59" s="74"/>
      <c r="TGK59" s="74"/>
      <c r="TGL59" s="74"/>
      <c r="TGM59" s="74"/>
      <c r="TGN59" s="74"/>
      <c r="TGO59" s="74"/>
      <c r="TGP59" s="74"/>
      <c r="TGQ59" s="74"/>
      <c r="TGR59" s="74"/>
      <c r="TGS59" s="74"/>
      <c r="TGT59" s="74"/>
      <c r="TGU59" s="74"/>
      <c r="TGV59" s="74"/>
      <c r="TGW59" s="74"/>
      <c r="TGX59" s="74"/>
      <c r="TGY59" s="74"/>
      <c r="TGZ59" s="74"/>
      <c r="THA59" s="74"/>
      <c r="THB59" s="74"/>
      <c r="THC59" s="74"/>
      <c r="THD59" s="74"/>
      <c r="THE59" s="74"/>
      <c r="THF59" s="74"/>
      <c r="THG59" s="74"/>
      <c r="THH59" s="74"/>
      <c r="THI59" s="74"/>
      <c r="THJ59" s="74"/>
      <c r="THK59" s="74"/>
      <c r="THL59" s="74"/>
      <c r="THM59" s="74"/>
      <c r="THN59" s="74"/>
      <c r="THO59" s="74"/>
      <c r="THP59" s="74"/>
      <c r="THQ59" s="74"/>
      <c r="THR59" s="74"/>
      <c r="THS59" s="74"/>
      <c r="THT59" s="74"/>
      <c r="THU59" s="74"/>
      <c r="THV59" s="74"/>
      <c r="THW59" s="74"/>
      <c r="THX59" s="74"/>
      <c r="THY59" s="74"/>
      <c r="THZ59" s="74"/>
      <c r="TIA59" s="74"/>
      <c r="TIB59" s="74"/>
      <c r="TIC59" s="74"/>
      <c r="TID59" s="74"/>
      <c r="TIE59" s="74"/>
      <c r="TIF59" s="74"/>
      <c r="TIG59" s="74"/>
      <c r="TIH59" s="74"/>
      <c r="TII59" s="74"/>
      <c r="TIJ59" s="74"/>
      <c r="TIK59" s="74"/>
      <c r="TIL59" s="74"/>
      <c r="TIM59" s="74"/>
      <c r="TIN59" s="74"/>
      <c r="TIO59" s="74"/>
      <c r="TIP59" s="74"/>
      <c r="TIQ59" s="74"/>
      <c r="TIR59" s="74"/>
      <c r="TIS59" s="74"/>
      <c r="TIT59" s="74"/>
      <c r="TIU59" s="74"/>
      <c r="TIV59" s="74"/>
      <c r="TIW59" s="74"/>
      <c r="TIX59" s="74"/>
      <c r="TIY59" s="74"/>
      <c r="TIZ59" s="74"/>
      <c r="TJA59" s="74"/>
      <c r="TJB59" s="74"/>
      <c r="TJC59" s="74"/>
      <c r="TJD59" s="74"/>
      <c r="TJE59" s="74"/>
      <c r="TJF59" s="74"/>
      <c r="TJG59" s="74"/>
      <c r="TJH59" s="74"/>
      <c r="TJI59" s="74"/>
      <c r="TJJ59" s="74"/>
      <c r="TJK59" s="74"/>
      <c r="TJL59" s="74"/>
      <c r="TJM59" s="74"/>
      <c r="TJN59" s="74"/>
      <c r="TJO59" s="74"/>
      <c r="TJP59" s="74"/>
      <c r="TJQ59" s="74"/>
      <c r="TJR59" s="74"/>
      <c r="TJS59" s="74"/>
      <c r="TJT59" s="74"/>
      <c r="TJU59" s="74"/>
      <c r="TJV59" s="74"/>
      <c r="TJW59" s="74"/>
      <c r="TJX59" s="74"/>
      <c r="TJY59" s="74"/>
      <c r="TJZ59" s="74"/>
      <c r="TKA59" s="74"/>
      <c r="TKB59" s="74"/>
      <c r="TKC59" s="74"/>
      <c r="TKD59" s="74"/>
      <c r="TKE59" s="74"/>
      <c r="TKF59" s="74"/>
      <c r="TKG59" s="74"/>
      <c r="TKH59" s="74"/>
      <c r="TKI59" s="74"/>
      <c r="TKJ59" s="74"/>
      <c r="TKK59" s="74"/>
      <c r="TKL59" s="74"/>
      <c r="TKM59" s="74"/>
      <c r="TKN59" s="74"/>
      <c r="TKO59" s="74"/>
      <c r="TKP59" s="74"/>
      <c r="TKQ59" s="74"/>
      <c r="TKR59" s="74"/>
      <c r="TKS59" s="74"/>
      <c r="TKT59" s="74"/>
      <c r="TKU59" s="74"/>
      <c r="TKV59" s="74"/>
      <c r="TKW59" s="74"/>
      <c r="TKX59" s="74"/>
      <c r="TKY59" s="74"/>
      <c r="TKZ59" s="74"/>
      <c r="TLA59" s="74"/>
      <c r="TLB59" s="74"/>
      <c r="TLC59" s="74"/>
      <c r="TLD59" s="74"/>
      <c r="TLE59" s="74"/>
      <c r="TLF59" s="74"/>
      <c r="TLG59" s="74"/>
      <c r="TLH59" s="74"/>
      <c r="TLI59" s="74"/>
      <c r="TLJ59" s="74"/>
      <c r="TLK59" s="74"/>
      <c r="TLL59" s="74"/>
      <c r="TLM59" s="74"/>
      <c r="TLN59" s="74"/>
      <c r="TLO59" s="74"/>
      <c r="TLP59" s="74"/>
      <c r="TLQ59" s="74"/>
      <c r="TLR59" s="74"/>
      <c r="TLS59" s="74"/>
      <c r="TLT59" s="74"/>
      <c r="TLU59" s="74"/>
      <c r="TLV59" s="74"/>
      <c r="TLW59" s="74"/>
      <c r="TLX59" s="74"/>
      <c r="TLY59" s="74"/>
      <c r="TLZ59" s="74"/>
      <c r="TMA59" s="74"/>
      <c r="TMB59" s="74"/>
      <c r="TMC59" s="74"/>
      <c r="TMD59" s="74"/>
      <c r="TME59" s="74"/>
      <c r="TMF59" s="74"/>
      <c r="TMG59" s="74"/>
      <c r="TMH59" s="74"/>
      <c r="TMI59" s="74"/>
      <c r="TMJ59" s="74"/>
      <c r="TMK59" s="74"/>
      <c r="TML59" s="74"/>
      <c r="TMM59" s="74"/>
      <c r="TMN59" s="74"/>
      <c r="TMO59" s="74"/>
      <c r="TMP59" s="74"/>
      <c r="TMQ59" s="74"/>
      <c r="TMR59" s="74"/>
      <c r="TMS59" s="74"/>
      <c r="TMT59" s="74"/>
      <c r="TMU59" s="74"/>
      <c r="TMV59" s="74"/>
      <c r="TMW59" s="74"/>
      <c r="TMX59" s="74"/>
      <c r="TMY59" s="74"/>
      <c r="TMZ59" s="74"/>
      <c r="TNA59" s="74"/>
      <c r="TNB59" s="74"/>
      <c r="TNC59" s="74"/>
      <c r="TND59" s="74"/>
      <c r="TNE59" s="74"/>
      <c r="TNF59" s="74"/>
      <c r="TNG59" s="74"/>
      <c r="TNH59" s="74"/>
      <c r="TNI59" s="74"/>
      <c r="TNJ59" s="74"/>
      <c r="TNK59" s="74"/>
      <c r="TNL59" s="74"/>
      <c r="TNM59" s="74"/>
      <c r="TNN59" s="74"/>
      <c r="TNO59" s="74"/>
      <c r="TNP59" s="74"/>
      <c r="TNQ59" s="74"/>
      <c r="TNR59" s="74"/>
      <c r="TNS59" s="74"/>
      <c r="TNT59" s="74"/>
      <c r="TNU59" s="74"/>
      <c r="TNV59" s="74"/>
      <c r="TNW59" s="74"/>
      <c r="TNX59" s="74"/>
      <c r="TNY59" s="74"/>
      <c r="TNZ59" s="74"/>
      <c r="TOA59" s="74"/>
      <c r="TOB59" s="74"/>
      <c r="TOC59" s="74"/>
      <c r="TOD59" s="74"/>
      <c r="TOE59" s="74"/>
      <c r="TOF59" s="74"/>
      <c r="TOG59" s="74"/>
      <c r="TOH59" s="74"/>
      <c r="TOI59" s="74"/>
      <c r="TOJ59" s="74"/>
      <c r="TOK59" s="74"/>
      <c r="TOL59" s="74"/>
      <c r="TOM59" s="74"/>
      <c r="TON59" s="74"/>
      <c r="TOO59" s="74"/>
      <c r="TOP59" s="74"/>
      <c r="TOQ59" s="74"/>
      <c r="TOR59" s="74"/>
      <c r="TOS59" s="74"/>
      <c r="TOT59" s="74"/>
      <c r="TOU59" s="74"/>
      <c r="TOV59" s="74"/>
      <c r="TOW59" s="74"/>
      <c r="TOX59" s="74"/>
      <c r="TOY59" s="74"/>
      <c r="TOZ59" s="74"/>
      <c r="TPA59" s="74"/>
      <c r="TPB59" s="74"/>
      <c r="TPC59" s="74"/>
      <c r="TPD59" s="74"/>
      <c r="TPE59" s="74"/>
      <c r="TPF59" s="74"/>
      <c r="TPG59" s="74"/>
      <c r="TPH59" s="74"/>
      <c r="TPI59" s="74"/>
      <c r="TPJ59" s="74"/>
      <c r="TPK59" s="74"/>
      <c r="TPL59" s="74"/>
      <c r="TPM59" s="74"/>
      <c r="TPN59" s="74"/>
      <c r="TPO59" s="74"/>
      <c r="TPP59" s="74"/>
      <c r="TPQ59" s="74"/>
      <c r="TPR59" s="74"/>
      <c r="TPS59" s="74"/>
      <c r="TPT59" s="74"/>
      <c r="TPU59" s="74"/>
      <c r="TPV59" s="74"/>
      <c r="TPW59" s="74"/>
      <c r="TPX59" s="74"/>
      <c r="TPY59" s="74"/>
      <c r="TPZ59" s="74"/>
      <c r="TQA59" s="74"/>
      <c r="TQB59" s="74"/>
      <c r="TQC59" s="74"/>
      <c r="TQD59" s="74"/>
      <c r="TQE59" s="74"/>
      <c r="TQF59" s="74"/>
      <c r="TQG59" s="74"/>
      <c r="TQH59" s="74"/>
      <c r="TQI59" s="74"/>
      <c r="TQJ59" s="74"/>
      <c r="TQK59" s="74"/>
      <c r="TQL59" s="74"/>
      <c r="TQM59" s="74"/>
      <c r="TQN59" s="74"/>
      <c r="TQO59" s="74"/>
      <c r="TQP59" s="74"/>
      <c r="TQQ59" s="74"/>
      <c r="TQR59" s="74"/>
      <c r="TQS59" s="74"/>
      <c r="TQT59" s="74"/>
      <c r="TQU59" s="74"/>
      <c r="TQV59" s="74"/>
      <c r="TQW59" s="74"/>
      <c r="TQX59" s="74"/>
      <c r="TQY59" s="74"/>
      <c r="TQZ59" s="74"/>
      <c r="TRA59" s="74"/>
      <c r="TRB59" s="74"/>
      <c r="TRC59" s="74"/>
      <c r="TRD59" s="74"/>
      <c r="TRE59" s="74"/>
      <c r="TRF59" s="74"/>
      <c r="TRG59" s="74"/>
      <c r="TRH59" s="74"/>
      <c r="TRI59" s="74"/>
      <c r="TRJ59" s="74"/>
      <c r="TRK59" s="74"/>
      <c r="TRL59" s="74"/>
      <c r="TRM59" s="74"/>
      <c r="TRN59" s="74"/>
      <c r="TRO59" s="74"/>
      <c r="TRP59" s="74"/>
      <c r="TRQ59" s="74"/>
      <c r="TRR59" s="74"/>
      <c r="TRS59" s="74"/>
      <c r="TRT59" s="74"/>
      <c r="TRU59" s="74"/>
      <c r="TRV59" s="74"/>
      <c r="TRW59" s="74"/>
      <c r="TRX59" s="74"/>
      <c r="TRY59" s="74"/>
      <c r="TRZ59" s="74"/>
      <c r="TSA59" s="74"/>
      <c r="TSB59" s="74"/>
      <c r="TSC59" s="74"/>
      <c r="TSD59" s="74"/>
      <c r="TSE59" s="74"/>
      <c r="TSF59" s="74"/>
      <c r="TSG59" s="74"/>
      <c r="TSH59" s="74"/>
      <c r="TSI59" s="74"/>
      <c r="TSJ59" s="74"/>
      <c r="TSK59" s="74"/>
      <c r="TSL59" s="74"/>
      <c r="TSM59" s="74"/>
      <c r="TSN59" s="74"/>
      <c r="TSO59" s="74"/>
      <c r="TSP59" s="74"/>
      <c r="TSQ59" s="74"/>
      <c r="TSR59" s="74"/>
      <c r="TSS59" s="74"/>
      <c r="TST59" s="74"/>
      <c r="TSU59" s="74"/>
      <c r="TSV59" s="74"/>
      <c r="TSW59" s="74"/>
      <c r="TSX59" s="74"/>
      <c r="TSY59" s="74"/>
      <c r="TSZ59" s="74"/>
      <c r="TTA59" s="74"/>
      <c r="TTB59" s="74"/>
      <c r="TTC59" s="74"/>
      <c r="TTD59" s="74"/>
      <c r="TTE59" s="74"/>
      <c r="TTF59" s="74"/>
      <c r="TTG59" s="74"/>
      <c r="TTH59" s="74"/>
      <c r="TTI59" s="74"/>
      <c r="TTJ59" s="74"/>
      <c r="TTK59" s="74"/>
      <c r="TTL59" s="74"/>
      <c r="TTM59" s="74"/>
      <c r="TTN59" s="74"/>
      <c r="TTO59" s="74"/>
      <c r="TTP59" s="74"/>
      <c r="TTQ59" s="74"/>
      <c r="TTR59" s="74"/>
      <c r="TTS59" s="74"/>
      <c r="TTT59" s="74"/>
      <c r="TTU59" s="74"/>
      <c r="TTV59" s="74"/>
      <c r="TTW59" s="74"/>
      <c r="TTX59" s="74"/>
      <c r="TTY59" s="74"/>
      <c r="TTZ59" s="74"/>
      <c r="TUA59" s="74"/>
      <c r="TUB59" s="74"/>
      <c r="TUC59" s="74"/>
      <c r="TUD59" s="74"/>
      <c r="TUE59" s="74"/>
      <c r="TUF59" s="74"/>
      <c r="TUG59" s="74"/>
      <c r="TUH59" s="74"/>
      <c r="TUI59" s="74"/>
      <c r="TUJ59" s="74"/>
      <c r="TUK59" s="74"/>
      <c r="TUL59" s="74"/>
      <c r="TUM59" s="74"/>
      <c r="TUN59" s="74"/>
      <c r="TUO59" s="74"/>
      <c r="TUP59" s="74"/>
      <c r="TUQ59" s="74"/>
      <c r="TUR59" s="74"/>
      <c r="TUS59" s="74"/>
      <c r="TUT59" s="74"/>
      <c r="TUU59" s="74"/>
      <c r="TUV59" s="74"/>
      <c r="TUW59" s="74"/>
      <c r="TUX59" s="74"/>
      <c r="TUY59" s="74"/>
      <c r="TUZ59" s="74"/>
      <c r="TVA59" s="74"/>
      <c r="TVB59" s="74"/>
      <c r="TVC59" s="74"/>
      <c r="TVD59" s="74"/>
      <c r="TVE59" s="74"/>
      <c r="TVF59" s="74"/>
      <c r="TVG59" s="74"/>
      <c r="TVH59" s="74"/>
      <c r="TVI59" s="74"/>
      <c r="TVJ59" s="74"/>
      <c r="TVK59" s="74"/>
      <c r="TVL59" s="74"/>
      <c r="TVM59" s="74"/>
      <c r="TVN59" s="74"/>
      <c r="TVO59" s="74"/>
      <c r="TVP59" s="74"/>
      <c r="TVQ59" s="74"/>
      <c r="TVR59" s="74"/>
      <c r="TVS59" s="74"/>
      <c r="TVT59" s="74"/>
      <c r="TVU59" s="74"/>
      <c r="TVV59" s="74"/>
      <c r="TVW59" s="74"/>
      <c r="TVX59" s="74"/>
      <c r="TVY59" s="74"/>
      <c r="TVZ59" s="74"/>
      <c r="TWA59" s="74"/>
      <c r="TWB59" s="74"/>
      <c r="TWC59" s="74"/>
      <c r="TWD59" s="74"/>
      <c r="TWE59" s="74"/>
      <c r="TWF59" s="74"/>
      <c r="TWG59" s="74"/>
      <c r="TWH59" s="74"/>
      <c r="TWI59" s="74"/>
      <c r="TWJ59" s="74"/>
      <c r="TWK59" s="74"/>
      <c r="TWL59" s="74"/>
      <c r="TWM59" s="74"/>
      <c r="TWN59" s="74"/>
      <c r="TWO59" s="74"/>
      <c r="TWP59" s="74"/>
      <c r="TWQ59" s="74"/>
      <c r="TWR59" s="74"/>
      <c r="TWS59" s="74"/>
      <c r="TWT59" s="74"/>
      <c r="TWU59" s="74"/>
      <c r="TWV59" s="74"/>
      <c r="TWW59" s="74"/>
      <c r="TWX59" s="74"/>
      <c r="TWY59" s="74"/>
      <c r="TWZ59" s="74"/>
      <c r="TXA59" s="74"/>
      <c r="TXB59" s="74"/>
      <c r="TXC59" s="74"/>
      <c r="TXD59" s="74"/>
      <c r="TXE59" s="74"/>
      <c r="TXF59" s="74"/>
      <c r="TXG59" s="74"/>
      <c r="TXH59" s="74"/>
      <c r="TXI59" s="74"/>
      <c r="TXJ59" s="74"/>
      <c r="TXK59" s="74"/>
      <c r="TXL59" s="74"/>
      <c r="TXM59" s="74"/>
      <c r="TXN59" s="74"/>
      <c r="TXO59" s="74"/>
      <c r="TXP59" s="74"/>
      <c r="TXQ59" s="74"/>
      <c r="TXR59" s="74"/>
      <c r="TXS59" s="74"/>
      <c r="TXT59" s="74"/>
      <c r="TXU59" s="74"/>
      <c r="TXV59" s="74"/>
      <c r="TXW59" s="74"/>
      <c r="TXX59" s="74"/>
      <c r="TXY59" s="74"/>
      <c r="TXZ59" s="74"/>
      <c r="TYA59" s="74"/>
      <c r="TYB59" s="74"/>
      <c r="TYC59" s="74"/>
      <c r="TYD59" s="74"/>
      <c r="TYE59" s="74"/>
      <c r="TYF59" s="74"/>
      <c r="TYG59" s="74"/>
      <c r="TYH59" s="74"/>
      <c r="TYI59" s="74"/>
      <c r="TYJ59" s="74"/>
      <c r="TYK59" s="74"/>
      <c r="TYL59" s="74"/>
      <c r="TYM59" s="74"/>
      <c r="TYN59" s="74"/>
      <c r="TYO59" s="74"/>
      <c r="TYP59" s="74"/>
      <c r="TYQ59" s="74"/>
      <c r="TYR59" s="74"/>
      <c r="TYS59" s="74"/>
      <c r="TYT59" s="74"/>
      <c r="TYU59" s="74"/>
      <c r="TYV59" s="74"/>
      <c r="TYW59" s="74"/>
      <c r="TYX59" s="74"/>
      <c r="TYY59" s="74"/>
      <c r="TYZ59" s="74"/>
      <c r="TZA59" s="74"/>
      <c r="TZB59" s="74"/>
      <c r="TZC59" s="74"/>
      <c r="TZD59" s="74"/>
      <c r="TZE59" s="74"/>
      <c r="TZF59" s="74"/>
      <c r="TZG59" s="74"/>
      <c r="TZH59" s="74"/>
      <c r="TZI59" s="74"/>
      <c r="TZJ59" s="74"/>
      <c r="TZK59" s="74"/>
      <c r="TZL59" s="74"/>
      <c r="TZM59" s="74"/>
      <c r="TZN59" s="74"/>
      <c r="TZO59" s="74"/>
      <c r="TZP59" s="74"/>
      <c r="TZQ59" s="74"/>
      <c r="TZR59" s="74"/>
      <c r="TZS59" s="74"/>
      <c r="TZT59" s="74"/>
      <c r="TZU59" s="74"/>
      <c r="TZV59" s="74"/>
      <c r="TZW59" s="74"/>
      <c r="TZX59" s="74"/>
      <c r="TZY59" s="74"/>
      <c r="TZZ59" s="74"/>
      <c r="UAA59" s="74"/>
      <c r="UAB59" s="74"/>
      <c r="UAC59" s="74"/>
      <c r="UAD59" s="74"/>
      <c r="UAE59" s="74"/>
      <c r="UAF59" s="74"/>
      <c r="UAG59" s="74"/>
      <c r="UAH59" s="74"/>
      <c r="UAI59" s="74"/>
      <c r="UAJ59" s="74"/>
      <c r="UAK59" s="74"/>
      <c r="UAL59" s="74"/>
      <c r="UAM59" s="74"/>
      <c r="UAN59" s="74"/>
      <c r="UAO59" s="74"/>
      <c r="UAP59" s="74"/>
      <c r="UAQ59" s="74"/>
      <c r="UAR59" s="74"/>
      <c r="UAS59" s="74"/>
      <c r="UAT59" s="74"/>
      <c r="UAU59" s="74"/>
      <c r="UAV59" s="74"/>
      <c r="UAW59" s="74"/>
      <c r="UAX59" s="74"/>
      <c r="UAY59" s="74"/>
      <c r="UAZ59" s="74"/>
      <c r="UBA59" s="74"/>
      <c r="UBB59" s="74"/>
      <c r="UBC59" s="74"/>
      <c r="UBD59" s="74"/>
      <c r="UBE59" s="74"/>
      <c r="UBF59" s="74"/>
      <c r="UBG59" s="74"/>
      <c r="UBH59" s="74"/>
      <c r="UBI59" s="74"/>
      <c r="UBJ59" s="74"/>
      <c r="UBK59" s="74"/>
      <c r="UBL59" s="74"/>
      <c r="UBM59" s="74"/>
      <c r="UBN59" s="74"/>
      <c r="UBO59" s="74"/>
      <c r="UBP59" s="74"/>
      <c r="UBQ59" s="74"/>
      <c r="UBR59" s="74"/>
      <c r="UBS59" s="74"/>
      <c r="UBT59" s="74"/>
      <c r="UBU59" s="74"/>
      <c r="UBV59" s="74"/>
      <c r="UBW59" s="74"/>
      <c r="UBX59" s="74"/>
      <c r="UBY59" s="74"/>
      <c r="UBZ59" s="74"/>
      <c r="UCA59" s="74"/>
      <c r="UCB59" s="74"/>
      <c r="UCC59" s="74"/>
      <c r="UCD59" s="74"/>
      <c r="UCE59" s="74"/>
      <c r="UCF59" s="74"/>
      <c r="UCG59" s="74"/>
      <c r="UCH59" s="74"/>
      <c r="UCI59" s="74"/>
      <c r="UCJ59" s="74"/>
      <c r="UCK59" s="74"/>
      <c r="UCL59" s="74"/>
      <c r="UCM59" s="74"/>
      <c r="UCN59" s="74"/>
      <c r="UCO59" s="74"/>
      <c r="UCP59" s="74"/>
      <c r="UCQ59" s="74"/>
      <c r="UCR59" s="74"/>
      <c r="UCS59" s="74"/>
      <c r="UCT59" s="74"/>
      <c r="UCU59" s="74"/>
      <c r="UCV59" s="74"/>
      <c r="UCW59" s="74"/>
      <c r="UCX59" s="74"/>
      <c r="UCY59" s="74"/>
      <c r="UCZ59" s="74"/>
      <c r="UDA59" s="74"/>
      <c r="UDB59" s="74"/>
      <c r="UDC59" s="74"/>
      <c r="UDD59" s="74"/>
      <c r="UDE59" s="74"/>
      <c r="UDF59" s="74"/>
      <c r="UDG59" s="74"/>
      <c r="UDH59" s="74"/>
      <c r="UDI59" s="74"/>
      <c r="UDJ59" s="74"/>
      <c r="UDK59" s="74"/>
      <c r="UDL59" s="74"/>
      <c r="UDM59" s="74"/>
      <c r="UDN59" s="74"/>
      <c r="UDO59" s="74"/>
      <c r="UDP59" s="74"/>
      <c r="UDQ59" s="74"/>
      <c r="UDR59" s="74"/>
      <c r="UDS59" s="74"/>
      <c r="UDT59" s="74"/>
      <c r="UDU59" s="74"/>
      <c r="UDV59" s="74"/>
      <c r="UDW59" s="74"/>
      <c r="UDX59" s="74"/>
      <c r="UDY59" s="74"/>
      <c r="UDZ59" s="74"/>
      <c r="UEA59" s="74"/>
      <c r="UEB59" s="74"/>
      <c r="UEC59" s="74"/>
      <c r="UED59" s="74"/>
      <c r="UEE59" s="74"/>
      <c r="UEF59" s="74"/>
      <c r="UEG59" s="74"/>
      <c r="UEH59" s="74"/>
      <c r="UEI59" s="74"/>
      <c r="UEJ59" s="74"/>
      <c r="UEK59" s="74"/>
      <c r="UEL59" s="74"/>
      <c r="UEM59" s="74"/>
      <c r="UEN59" s="74"/>
      <c r="UEO59" s="74"/>
      <c r="UEP59" s="74"/>
      <c r="UEQ59" s="74"/>
      <c r="UER59" s="74"/>
      <c r="UES59" s="74"/>
      <c r="UET59" s="74"/>
      <c r="UEU59" s="74"/>
      <c r="UEV59" s="74"/>
      <c r="UEW59" s="74"/>
      <c r="UEX59" s="74"/>
      <c r="UEY59" s="74"/>
      <c r="UEZ59" s="74"/>
      <c r="UFA59" s="74"/>
      <c r="UFB59" s="74"/>
      <c r="UFC59" s="74"/>
      <c r="UFD59" s="74"/>
      <c r="UFE59" s="74"/>
      <c r="UFF59" s="74"/>
      <c r="UFG59" s="74"/>
      <c r="UFH59" s="74"/>
      <c r="UFI59" s="74"/>
      <c r="UFJ59" s="74"/>
      <c r="UFK59" s="74"/>
      <c r="UFL59" s="74"/>
      <c r="UFM59" s="74"/>
      <c r="UFN59" s="74"/>
      <c r="UFO59" s="74"/>
      <c r="UFP59" s="74"/>
      <c r="UFQ59" s="74"/>
      <c r="UFR59" s="74"/>
      <c r="UFS59" s="74"/>
      <c r="UFT59" s="74"/>
      <c r="UFU59" s="74"/>
      <c r="UFV59" s="74"/>
      <c r="UFW59" s="74"/>
      <c r="UFX59" s="74"/>
      <c r="UFY59" s="74"/>
      <c r="UFZ59" s="74"/>
      <c r="UGA59" s="74"/>
      <c r="UGB59" s="74"/>
      <c r="UGC59" s="74"/>
      <c r="UGD59" s="74"/>
      <c r="UGE59" s="74"/>
      <c r="UGF59" s="74"/>
      <c r="UGG59" s="74"/>
      <c r="UGH59" s="74"/>
      <c r="UGI59" s="74"/>
      <c r="UGJ59" s="74"/>
      <c r="UGK59" s="74"/>
      <c r="UGL59" s="74"/>
      <c r="UGM59" s="74"/>
      <c r="UGN59" s="74"/>
      <c r="UGO59" s="74"/>
      <c r="UGP59" s="74"/>
      <c r="UGQ59" s="74"/>
      <c r="UGR59" s="74"/>
      <c r="UGS59" s="74"/>
      <c r="UGT59" s="74"/>
      <c r="UGU59" s="74"/>
      <c r="UGV59" s="74"/>
      <c r="UGW59" s="74"/>
      <c r="UGX59" s="74"/>
      <c r="UGY59" s="74"/>
      <c r="UGZ59" s="74"/>
      <c r="UHA59" s="74"/>
      <c r="UHB59" s="74"/>
      <c r="UHC59" s="74"/>
      <c r="UHD59" s="74"/>
      <c r="UHE59" s="74"/>
      <c r="UHF59" s="74"/>
      <c r="UHG59" s="74"/>
      <c r="UHH59" s="74"/>
      <c r="UHI59" s="74"/>
      <c r="UHJ59" s="74"/>
      <c r="UHK59" s="74"/>
      <c r="UHL59" s="74"/>
      <c r="UHM59" s="74"/>
      <c r="UHN59" s="74"/>
      <c r="UHO59" s="74"/>
      <c r="UHP59" s="74"/>
      <c r="UHQ59" s="74"/>
      <c r="UHR59" s="74"/>
      <c r="UHS59" s="74"/>
      <c r="UHT59" s="74"/>
      <c r="UHU59" s="74"/>
      <c r="UHV59" s="74"/>
      <c r="UHW59" s="74"/>
      <c r="UHX59" s="74"/>
      <c r="UHY59" s="74"/>
      <c r="UHZ59" s="74"/>
      <c r="UIA59" s="74"/>
      <c r="UIB59" s="74"/>
      <c r="UIC59" s="74"/>
      <c r="UID59" s="74"/>
      <c r="UIE59" s="74"/>
      <c r="UIF59" s="74"/>
      <c r="UIG59" s="74"/>
      <c r="UIH59" s="74"/>
      <c r="UII59" s="74"/>
      <c r="UIJ59" s="74"/>
      <c r="UIK59" s="74"/>
      <c r="UIL59" s="74"/>
      <c r="UIM59" s="74"/>
      <c r="UIN59" s="74"/>
      <c r="UIO59" s="74"/>
      <c r="UIP59" s="74"/>
      <c r="UIQ59" s="74"/>
      <c r="UIR59" s="74"/>
      <c r="UIS59" s="74"/>
      <c r="UIT59" s="74"/>
      <c r="UIU59" s="74"/>
      <c r="UIV59" s="74"/>
      <c r="UIW59" s="74"/>
      <c r="UIX59" s="74"/>
      <c r="UIY59" s="74"/>
      <c r="UIZ59" s="74"/>
      <c r="UJA59" s="74"/>
      <c r="UJB59" s="74"/>
      <c r="UJC59" s="74"/>
      <c r="UJD59" s="74"/>
      <c r="UJE59" s="74"/>
      <c r="UJF59" s="74"/>
      <c r="UJG59" s="74"/>
      <c r="UJH59" s="74"/>
      <c r="UJI59" s="74"/>
      <c r="UJJ59" s="74"/>
      <c r="UJK59" s="74"/>
      <c r="UJL59" s="74"/>
      <c r="UJM59" s="74"/>
      <c r="UJN59" s="74"/>
      <c r="UJO59" s="74"/>
      <c r="UJP59" s="74"/>
      <c r="UJQ59" s="74"/>
      <c r="UJR59" s="74"/>
      <c r="UJS59" s="74"/>
      <c r="UJT59" s="74"/>
      <c r="UJU59" s="74"/>
      <c r="UJV59" s="74"/>
      <c r="UJW59" s="74"/>
      <c r="UJX59" s="74"/>
      <c r="UJY59" s="74"/>
      <c r="UJZ59" s="74"/>
      <c r="UKA59" s="74"/>
      <c r="UKB59" s="74"/>
      <c r="UKC59" s="74"/>
      <c r="UKD59" s="74"/>
      <c r="UKE59" s="74"/>
      <c r="UKF59" s="74"/>
      <c r="UKG59" s="74"/>
      <c r="UKH59" s="74"/>
      <c r="UKI59" s="74"/>
      <c r="UKJ59" s="74"/>
      <c r="UKK59" s="74"/>
      <c r="UKL59" s="74"/>
      <c r="UKM59" s="74"/>
      <c r="UKN59" s="74"/>
      <c r="UKO59" s="74"/>
      <c r="UKP59" s="74"/>
      <c r="UKQ59" s="74"/>
      <c r="UKR59" s="74"/>
      <c r="UKS59" s="74"/>
      <c r="UKT59" s="74"/>
      <c r="UKU59" s="74"/>
      <c r="UKV59" s="74"/>
      <c r="UKW59" s="74"/>
      <c r="UKX59" s="74"/>
      <c r="UKY59" s="74"/>
      <c r="UKZ59" s="74"/>
      <c r="ULA59" s="74"/>
      <c r="ULB59" s="74"/>
      <c r="ULC59" s="74"/>
      <c r="ULD59" s="74"/>
      <c r="ULE59" s="74"/>
      <c r="ULF59" s="74"/>
      <c r="ULG59" s="74"/>
      <c r="ULH59" s="74"/>
      <c r="ULI59" s="74"/>
      <c r="ULJ59" s="74"/>
      <c r="ULK59" s="74"/>
      <c r="ULL59" s="74"/>
      <c r="ULM59" s="74"/>
      <c r="ULN59" s="74"/>
      <c r="ULO59" s="74"/>
      <c r="ULP59" s="74"/>
      <c r="ULQ59" s="74"/>
      <c r="ULR59" s="74"/>
      <c r="ULS59" s="74"/>
      <c r="ULT59" s="74"/>
      <c r="ULU59" s="74"/>
      <c r="ULV59" s="74"/>
      <c r="ULW59" s="74"/>
      <c r="ULX59" s="74"/>
      <c r="ULY59" s="74"/>
      <c r="ULZ59" s="74"/>
      <c r="UMA59" s="74"/>
      <c r="UMB59" s="74"/>
      <c r="UMC59" s="74"/>
      <c r="UMD59" s="74"/>
      <c r="UME59" s="74"/>
      <c r="UMF59" s="74"/>
      <c r="UMG59" s="74"/>
      <c r="UMH59" s="74"/>
      <c r="UMI59" s="74"/>
      <c r="UMJ59" s="74"/>
      <c r="UMK59" s="74"/>
      <c r="UML59" s="74"/>
      <c r="UMM59" s="74"/>
      <c r="UMN59" s="74"/>
      <c r="UMO59" s="74"/>
      <c r="UMP59" s="74"/>
      <c r="UMQ59" s="74"/>
      <c r="UMR59" s="74"/>
      <c r="UMS59" s="74"/>
      <c r="UMT59" s="74"/>
      <c r="UMU59" s="74"/>
      <c r="UMV59" s="74"/>
      <c r="UMW59" s="74"/>
      <c r="UMX59" s="74"/>
      <c r="UMY59" s="74"/>
      <c r="UMZ59" s="74"/>
      <c r="UNA59" s="74"/>
      <c r="UNB59" s="74"/>
      <c r="UNC59" s="74"/>
      <c r="UND59" s="74"/>
      <c r="UNE59" s="74"/>
      <c r="UNF59" s="74"/>
      <c r="UNG59" s="74"/>
      <c r="UNH59" s="74"/>
      <c r="UNI59" s="74"/>
      <c r="UNJ59" s="74"/>
      <c r="UNK59" s="74"/>
      <c r="UNL59" s="74"/>
      <c r="UNM59" s="74"/>
      <c r="UNN59" s="74"/>
      <c r="UNO59" s="74"/>
      <c r="UNP59" s="74"/>
      <c r="UNQ59" s="74"/>
      <c r="UNR59" s="74"/>
      <c r="UNS59" s="74"/>
      <c r="UNT59" s="74"/>
      <c r="UNU59" s="74"/>
      <c r="UNV59" s="74"/>
      <c r="UNW59" s="74"/>
      <c r="UNX59" s="74"/>
      <c r="UNY59" s="74"/>
      <c r="UNZ59" s="74"/>
      <c r="UOA59" s="74"/>
      <c r="UOB59" s="74"/>
      <c r="UOC59" s="74"/>
      <c r="UOD59" s="74"/>
      <c r="UOE59" s="74"/>
      <c r="UOF59" s="74"/>
      <c r="UOG59" s="74"/>
      <c r="UOH59" s="74"/>
      <c r="UOI59" s="74"/>
      <c r="UOJ59" s="74"/>
      <c r="UOK59" s="74"/>
      <c r="UOL59" s="74"/>
      <c r="UOM59" s="74"/>
      <c r="UON59" s="74"/>
      <c r="UOO59" s="74"/>
      <c r="UOP59" s="74"/>
      <c r="UOQ59" s="74"/>
      <c r="UOR59" s="74"/>
      <c r="UOS59" s="74"/>
      <c r="UOT59" s="74"/>
      <c r="UOU59" s="74"/>
      <c r="UOV59" s="74"/>
      <c r="UOW59" s="74"/>
      <c r="UOX59" s="74"/>
      <c r="UOY59" s="74"/>
      <c r="UOZ59" s="74"/>
      <c r="UPA59" s="74"/>
      <c r="UPB59" s="74"/>
      <c r="UPC59" s="74"/>
      <c r="UPD59" s="74"/>
      <c r="UPE59" s="74"/>
      <c r="UPF59" s="74"/>
      <c r="UPG59" s="74"/>
      <c r="UPH59" s="74"/>
      <c r="UPI59" s="74"/>
      <c r="UPJ59" s="74"/>
      <c r="UPK59" s="74"/>
      <c r="UPL59" s="74"/>
      <c r="UPM59" s="74"/>
      <c r="UPN59" s="74"/>
      <c r="UPO59" s="74"/>
      <c r="UPP59" s="74"/>
      <c r="UPQ59" s="74"/>
      <c r="UPR59" s="74"/>
      <c r="UPS59" s="74"/>
      <c r="UPT59" s="74"/>
      <c r="UPU59" s="74"/>
      <c r="UPV59" s="74"/>
      <c r="UPW59" s="74"/>
      <c r="UPX59" s="74"/>
      <c r="UPY59" s="74"/>
      <c r="UPZ59" s="74"/>
      <c r="UQA59" s="74"/>
      <c r="UQB59" s="74"/>
      <c r="UQC59" s="74"/>
      <c r="UQD59" s="74"/>
      <c r="UQE59" s="74"/>
      <c r="UQF59" s="74"/>
      <c r="UQG59" s="74"/>
      <c r="UQH59" s="74"/>
      <c r="UQI59" s="74"/>
      <c r="UQJ59" s="74"/>
      <c r="UQK59" s="74"/>
      <c r="UQL59" s="74"/>
      <c r="UQM59" s="74"/>
      <c r="UQN59" s="74"/>
      <c r="UQO59" s="74"/>
      <c r="UQP59" s="74"/>
      <c r="UQQ59" s="74"/>
      <c r="UQR59" s="74"/>
      <c r="UQS59" s="74"/>
      <c r="UQT59" s="74"/>
      <c r="UQU59" s="74"/>
      <c r="UQV59" s="74"/>
      <c r="UQW59" s="74"/>
      <c r="UQX59" s="74"/>
      <c r="UQY59" s="74"/>
      <c r="UQZ59" s="74"/>
      <c r="URA59" s="74"/>
      <c r="URB59" s="74"/>
      <c r="URC59" s="74"/>
      <c r="URD59" s="74"/>
      <c r="URE59" s="74"/>
      <c r="URF59" s="74"/>
      <c r="URG59" s="74"/>
      <c r="URH59" s="74"/>
      <c r="URI59" s="74"/>
      <c r="URJ59" s="74"/>
      <c r="URK59" s="74"/>
      <c r="URL59" s="74"/>
      <c r="URM59" s="74"/>
      <c r="URN59" s="74"/>
      <c r="URO59" s="74"/>
      <c r="URP59" s="74"/>
      <c r="URQ59" s="74"/>
      <c r="URR59" s="74"/>
      <c r="URS59" s="74"/>
      <c r="URT59" s="74"/>
      <c r="URU59" s="74"/>
      <c r="URV59" s="74"/>
      <c r="URW59" s="74"/>
      <c r="URX59" s="74"/>
      <c r="URY59" s="74"/>
      <c r="URZ59" s="74"/>
      <c r="USA59" s="74"/>
      <c r="USB59" s="74"/>
      <c r="USC59" s="74"/>
      <c r="USD59" s="74"/>
      <c r="USE59" s="74"/>
      <c r="USF59" s="74"/>
      <c r="USG59" s="74"/>
      <c r="USH59" s="74"/>
      <c r="USI59" s="74"/>
      <c r="USJ59" s="74"/>
      <c r="USK59" s="74"/>
      <c r="USL59" s="74"/>
      <c r="USM59" s="74"/>
      <c r="USN59" s="74"/>
      <c r="USO59" s="74"/>
      <c r="USP59" s="74"/>
      <c r="USQ59" s="74"/>
      <c r="USR59" s="74"/>
      <c r="USS59" s="74"/>
      <c r="UST59" s="74"/>
      <c r="USU59" s="74"/>
      <c r="USV59" s="74"/>
      <c r="USW59" s="74"/>
      <c r="USX59" s="74"/>
      <c r="USY59" s="74"/>
      <c r="USZ59" s="74"/>
      <c r="UTA59" s="74"/>
      <c r="UTB59" s="74"/>
      <c r="UTC59" s="74"/>
      <c r="UTD59" s="74"/>
      <c r="UTE59" s="74"/>
      <c r="UTF59" s="74"/>
      <c r="UTG59" s="74"/>
      <c r="UTH59" s="74"/>
      <c r="UTI59" s="74"/>
      <c r="UTJ59" s="74"/>
      <c r="UTK59" s="74"/>
      <c r="UTL59" s="74"/>
      <c r="UTM59" s="74"/>
      <c r="UTN59" s="74"/>
      <c r="UTO59" s="74"/>
      <c r="UTP59" s="74"/>
      <c r="UTQ59" s="74"/>
      <c r="UTR59" s="74"/>
      <c r="UTS59" s="74"/>
      <c r="UTT59" s="74"/>
      <c r="UTU59" s="74"/>
      <c r="UTV59" s="74"/>
      <c r="UTW59" s="74"/>
      <c r="UTX59" s="74"/>
      <c r="UTY59" s="74"/>
      <c r="UTZ59" s="74"/>
      <c r="UUA59" s="74"/>
      <c r="UUB59" s="74"/>
      <c r="UUC59" s="74"/>
      <c r="UUD59" s="74"/>
      <c r="UUE59" s="74"/>
      <c r="UUF59" s="74"/>
      <c r="UUG59" s="74"/>
      <c r="UUH59" s="74"/>
      <c r="UUI59" s="74"/>
      <c r="UUJ59" s="74"/>
      <c r="UUK59" s="74"/>
      <c r="UUL59" s="74"/>
      <c r="UUM59" s="74"/>
      <c r="UUN59" s="74"/>
      <c r="UUO59" s="74"/>
      <c r="UUP59" s="74"/>
      <c r="UUQ59" s="74"/>
      <c r="UUR59" s="74"/>
      <c r="UUS59" s="74"/>
      <c r="UUT59" s="74"/>
      <c r="UUU59" s="74"/>
      <c r="UUV59" s="74"/>
      <c r="UUW59" s="74"/>
      <c r="UUX59" s="74"/>
      <c r="UUY59" s="74"/>
      <c r="UUZ59" s="74"/>
      <c r="UVA59" s="74"/>
      <c r="UVB59" s="74"/>
      <c r="UVC59" s="74"/>
      <c r="UVD59" s="74"/>
      <c r="UVE59" s="74"/>
      <c r="UVF59" s="74"/>
      <c r="UVG59" s="74"/>
      <c r="UVH59" s="74"/>
      <c r="UVI59" s="74"/>
      <c r="UVJ59" s="74"/>
      <c r="UVK59" s="74"/>
      <c r="UVL59" s="74"/>
      <c r="UVM59" s="74"/>
      <c r="UVN59" s="74"/>
      <c r="UVO59" s="74"/>
      <c r="UVP59" s="74"/>
      <c r="UVQ59" s="74"/>
      <c r="UVR59" s="74"/>
      <c r="UVS59" s="74"/>
      <c r="UVT59" s="74"/>
      <c r="UVU59" s="74"/>
      <c r="UVV59" s="74"/>
      <c r="UVW59" s="74"/>
      <c r="UVX59" s="74"/>
      <c r="UVY59" s="74"/>
      <c r="UVZ59" s="74"/>
      <c r="UWA59" s="74"/>
      <c r="UWB59" s="74"/>
      <c r="UWC59" s="74"/>
      <c r="UWD59" s="74"/>
      <c r="UWE59" s="74"/>
      <c r="UWF59" s="74"/>
      <c r="UWG59" s="74"/>
      <c r="UWH59" s="74"/>
      <c r="UWI59" s="74"/>
      <c r="UWJ59" s="74"/>
      <c r="UWK59" s="74"/>
      <c r="UWL59" s="74"/>
      <c r="UWM59" s="74"/>
      <c r="UWN59" s="74"/>
      <c r="UWO59" s="74"/>
      <c r="UWP59" s="74"/>
      <c r="UWQ59" s="74"/>
      <c r="UWR59" s="74"/>
      <c r="UWS59" s="74"/>
      <c r="UWT59" s="74"/>
      <c r="UWU59" s="74"/>
      <c r="UWV59" s="74"/>
      <c r="UWW59" s="74"/>
      <c r="UWX59" s="74"/>
      <c r="UWY59" s="74"/>
      <c r="UWZ59" s="74"/>
      <c r="UXA59" s="74"/>
      <c r="UXB59" s="74"/>
      <c r="UXC59" s="74"/>
      <c r="UXD59" s="74"/>
      <c r="UXE59" s="74"/>
      <c r="UXF59" s="74"/>
      <c r="UXG59" s="74"/>
      <c r="UXH59" s="74"/>
      <c r="UXI59" s="74"/>
      <c r="UXJ59" s="74"/>
      <c r="UXK59" s="74"/>
      <c r="UXL59" s="74"/>
      <c r="UXM59" s="74"/>
      <c r="UXN59" s="74"/>
      <c r="UXO59" s="74"/>
      <c r="UXP59" s="74"/>
      <c r="UXQ59" s="74"/>
      <c r="UXR59" s="74"/>
      <c r="UXS59" s="74"/>
      <c r="UXT59" s="74"/>
      <c r="UXU59" s="74"/>
      <c r="UXV59" s="74"/>
      <c r="UXW59" s="74"/>
      <c r="UXX59" s="74"/>
      <c r="UXY59" s="74"/>
      <c r="UXZ59" s="74"/>
      <c r="UYA59" s="74"/>
      <c r="UYB59" s="74"/>
      <c r="UYC59" s="74"/>
      <c r="UYD59" s="74"/>
      <c r="UYE59" s="74"/>
      <c r="UYF59" s="74"/>
      <c r="UYG59" s="74"/>
      <c r="UYH59" s="74"/>
      <c r="UYI59" s="74"/>
      <c r="UYJ59" s="74"/>
      <c r="UYK59" s="74"/>
      <c r="UYL59" s="74"/>
      <c r="UYM59" s="74"/>
      <c r="UYN59" s="74"/>
      <c r="UYO59" s="74"/>
      <c r="UYP59" s="74"/>
      <c r="UYQ59" s="74"/>
      <c r="UYR59" s="74"/>
      <c r="UYS59" s="74"/>
      <c r="UYT59" s="74"/>
      <c r="UYU59" s="74"/>
      <c r="UYV59" s="74"/>
      <c r="UYW59" s="74"/>
      <c r="UYX59" s="74"/>
      <c r="UYY59" s="74"/>
      <c r="UYZ59" s="74"/>
      <c r="UZA59" s="74"/>
      <c r="UZB59" s="74"/>
      <c r="UZC59" s="74"/>
      <c r="UZD59" s="74"/>
      <c r="UZE59" s="74"/>
      <c r="UZF59" s="74"/>
      <c r="UZG59" s="74"/>
      <c r="UZH59" s="74"/>
      <c r="UZI59" s="74"/>
      <c r="UZJ59" s="74"/>
      <c r="UZK59" s="74"/>
      <c r="UZL59" s="74"/>
      <c r="UZM59" s="74"/>
      <c r="UZN59" s="74"/>
      <c r="UZO59" s="74"/>
      <c r="UZP59" s="74"/>
      <c r="UZQ59" s="74"/>
      <c r="UZR59" s="74"/>
      <c r="UZS59" s="74"/>
      <c r="UZT59" s="74"/>
      <c r="UZU59" s="74"/>
      <c r="UZV59" s="74"/>
      <c r="UZW59" s="74"/>
      <c r="UZX59" s="74"/>
      <c r="UZY59" s="74"/>
      <c r="UZZ59" s="74"/>
      <c r="VAA59" s="74"/>
      <c r="VAB59" s="74"/>
      <c r="VAC59" s="74"/>
      <c r="VAD59" s="74"/>
      <c r="VAE59" s="74"/>
      <c r="VAF59" s="74"/>
      <c r="VAG59" s="74"/>
      <c r="VAH59" s="74"/>
      <c r="VAI59" s="74"/>
      <c r="VAJ59" s="74"/>
      <c r="VAK59" s="74"/>
      <c r="VAL59" s="74"/>
      <c r="VAM59" s="74"/>
      <c r="VAN59" s="74"/>
      <c r="VAO59" s="74"/>
      <c r="VAP59" s="74"/>
      <c r="VAQ59" s="74"/>
      <c r="VAR59" s="74"/>
      <c r="VAS59" s="74"/>
      <c r="VAT59" s="74"/>
      <c r="VAU59" s="74"/>
      <c r="VAV59" s="74"/>
      <c r="VAW59" s="74"/>
      <c r="VAX59" s="74"/>
      <c r="VAY59" s="74"/>
      <c r="VAZ59" s="74"/>
      <c r="VBA59" s="74"/>
      <c r="VBB59" s="74"/>
      <c r="VBC59" s="74"/>
      <c r="VBD59" s="74"/>
      <c r="VBE59" s="74"/>
      <c r="VBF59" s="74"/>
      <c r="VBG59" s="74"/>
      <c r="VBH59" s="74"/>
      <c r="VBI59" s="74"/>
      <c r="VBJ59" s="74"/>
      <c r="VBK59" s="74"/>
      <c r="VBL59" s="74"/>
      <c r="VBM59" s="74"/>
      <c r="VBN59" s="74"/>
      <c r="VBO59" s="74"/>
      <c r="VBP59" s="74"/>
      <c r="VBQ59" s="74"/>
      <c r="VBR59" s="74"/>
      <c r="VBS59" s="74"/>
      <c r="VBT59" s="74"/>
      <c r="VBU59" s="74"/>
      <c r="VBV59" s="74"/>
      <c r="VBW59" s="74"/>
      <c r="VBX59" s="74"/>
      <c r="VBY59" s="74"/>
      <c r="VBZ59" s="74"/>
      <c r="VCA59" s="74"/>
      <c r="VCB59" s="74"/>
      <c r="VCC59" s="74"/>
      <c r="VCD59" s="74"/>
      <c r="VCE59" s="74"/>
      <c r="VCF59" s="74"/>
      <c r="VCG59" s="74"/>
      <c r="VCH59" s="74"/>
      <c r="VCI59" s="74"/>
      <c r="VCJ59" s="74"/>
      <c r="VCK59" s="74"/>
      <c r="VCL59" s="74"/>
      <c r="VCM59" s="74"/>
      <c r="VCN59" s="74"/>
      <c r="VCO59" s="74"/>
      <c r="VCP59" s="74"/>
      <c r="VCQ59" s="74"/>
      <c r="VCR59" s="74"/>
      <c r="VCS59" s="74"/>
      <c r="VCT59" s="74"/>
      <c r="VCU59" s="74"/>
      <c r="VCV59" s="74"/>
      <c r="VCW59" s="74"/>
      <c r="VCX59" s="74"/>
      <c r="VCY59" s="74"/>
      <c r="VCZ59" s="74"/>
      <c r="VDA59" s="74"/>
      <c r="VDB59" s="74"/>
      <c r="VDC59" s="74"/>
      <c r="VDD59" s="74"/>
      <c r="VDE59" s="74"/>
      <c r="VDF59" s="74"/>
      <c r="VDG59" s="74"/>
      <c r="VDH59" s="74"/>
      <c r="VDI59" s="74"/>
      <c r="VDJ59" s="74"/>
      <c r="VDK59" s="74"/>
      <c r="VDL59" s="74"/>
      <c r="VDM59" s="74"/>
      <c r="VDN59" s="74"/>
      <c r="VDO59" s="74"/>
      <c r="VDP59" s="74"/>
      <c r="VDQ59" s="74"/>
      <c r="VDR59" s="74"/>
      <c r="VDS59" s="74"/>
      <c r="VDT59" s="74"/>
      <c r="VDU59" s="74"/>
      <c r="VDV59" s="74"/>
      <c r="VDW59" s="74"/>
      <c r="VDX59" s="74"/>
      <c r="VDY59" s="74"/>
      <c r="VDZ59" s="74"/>
      <c r="VEA59" s="74"/>
      <c r="VEB59" s="74"/>
      <c r="VEC59" s="74"/>
      <c r="VED59" s="74"/>
      <c r="VEE59" s="74"/>
      <c r="VEF59" s="74"/>
      <c r="VEG59" s="74"/>
      <c r="VEH59" s="74"/>
      <c r="VEI59" s="74"/>
      <c r="VEJ59" s="74"/>
      <c r="VEK59" s="74"/>
      <c r="VEL59" s="74"/>
      <c r="VEM59" s="74"/>
      <c r="VEN59" s="74"/>
      <c r="VEO59" s="74"/>
      <c r="VEP59" s="74"/>
      <c r="VEQ59" s="74"/>
      <c r="VER59" s="74"/>
      <c r="VES59" s="74"/>
      <c r="VET59" s="74"/>
      <c r="VEU59" s="74"/>
      <c r="VEV59" s="74"/>
      <c r="VEW59" s="74"/>
      <c r="VEX59" s="74"/>
      <c r="VEY59" s="74"/>
      <c r="VEZ59" s="74"/>
      <c r="VFA59" s="74"/>
      <c r="VFB59" s="74"/>
      <c r="VFC59" s="74"/>
      <c r="VFD59" s="74"/>
      <c r="VFE59" s="74"/>
      <c r="VFF59" s="74"/>
      <c r="VFG59" s="74"/>
      <c r="VFH59" s="74"/>
      <c r="VFI59" s="74"/>
      <c r="VFJ59" s="74"/>
      <c r="VFK59" s="74"/>
      <c r="VFL59" s="74"/>
      <c r="VFM59" s="74"/>
      <c r="VFN59" s="74"/>
      <c r="VFO59" s="74"/>
      <c r="VFP59" s="74"/>
      <c r="VFQ59" s="74"/>
      <c r="VFR59" s="74"/>
      <c r="VFS59" s="74"/>
      <c r="VFT59" s="74"/>
      <c r="VFU59" s="74"/>
      <c r="VFV59" s="74"/>
      <c r="VFW59" s="74"/>
      <c r="VFX59" s="74"/>
      <c r="VFY59" s="74"/>
      <c r="VFZ59" s="74"/>
      <c r="VGA59" s="74"/>
      <c r="VGB59" s="74"/>
      <c r="VGC59" s="74"/>
      <c r="VGD59" s="74"/>
      <c r="VGE59" s="74"/>
      <c r="VGF59" s="74"/>
      <c r="VGG59" s="74"/>
      <c r="VGH59" s="74"/>
      <c r="VGI59" s="74"/>
      <c r="VGJ59" s="74"/>
      <c r="VGK59" s="74"/>
      <c r="VGL59" s="74"/>
      <c r="VGM59" s="74"/>
      <c r="VGN59" s="74"/>
      <c r="VGO59" s="74"/>
      <c r="VGP59" s="74"/>
      <c r="VGQ59" s="74"/>
      <c r="VGR59" s="74"/>
      <c r="VGS59" s="74"/>
      <c r="VGT59" s="74"/>
      <c r="VGU59" s="74"/>
      <c r="VGV59" s="74"/>
      <c r="VGW59" s="74"/>
      <c r="VGX59" s="74"/>
      <c r="VGY59" s="74"/>
      <c r="VGZ59" s="74"/>
      <c r="VHA59" s="74"/>
      <c r="VHB59" s="74"/>
      <c r="VHC59" s="74"/>
      <c r="VHD59" s="74"/>
      <c r="VHE59" s="74"/>
      <c r="VHF59" s="74"/>
      <c r="VHG59" s="74"/>
      <c r="VHH59" s="74"/>
      <c r="VHI59" s="74"/>
      <c r="VHJ59" s="74"/>
      <c r="VHK59" s="74"/>
      <c r="VHL59" s="74"/>
      <c r="VHM59" s="74"/>
      <c r="VHN59" s="74"/>
      <c r="VHO59" s="74"/>
      <c r="VHP59" s="74"/>
      <c r="VHQ59" s="74"/>
      <c r="VHR59" s="74"/>
      <c r="VHS59" s="74"/>
      <c r="VHT59" s="74"/>
      <c r="VHU59" s="74"/>
      <c r="VHV59" s="74"/>
      <c r="VHW59" s="74"/>
      <c r="VHX59" s="74"/>
      <c r="VHY59" s="74"/>
      <c r="VHZ59" s="74"/>
      <c r="VIA59" s="74"/>
      <c r="VIB59" s="74"/>
      <c r="VIC59" s="74"/>
      <c r="VID59" s="74"/>
      <c r="VIE59" s="74"/>
      <c r="VIF59" s="74"/>
      <c r="VIG59" s="74"/>
      <c r="VIH59" s="74"/>
      <c r="VII59" s="74"/>
      <c r="VIJ59" s="74"/>
      <c r="VIK59" s="74"/>
      <c r="VIL59" s="74"/>
      <c r="VIM59" s="74"/>
      <c r="VIN59" s="74"/>
      <c r="VIO59" s="74"/>
      <c r="VIP59" s="74"/>
      <c r="VIQ59" s="74"/>
      <c r="VIR59" s="74"/>
      <c r="VIS59" s="74"/>
      <c r="VIT59" s="74"/>
      <c r="VIU59" s="74"/>
      <c r="VIV59" s="74"/>
      <c r="VIW59" s="74"/>
      <c r="VIX59" s="74"/>
      <c r="VIY59" s="74"/>
      <c r="VIZ59" s="74"/>
      <c r="VJA59" s="74"/>
      <c r="VJB59" s="74"/>
      <c r="VJC59" s="74"/>
      <c r="VJD59" s="74"/>
      <c r="VJE59" s="74"/>
      <c r="VJF59" s="74"/>
      <c r="VJG59" s="74"/>
      <c r="VJH59" s="74"/>
      <c r="VJI59" s="74"/>
      <c r="VJJ59" s="74"/>
      <c r="VJK59" s="74"/>
      <c r="VJL59" s="74"/>
      <c r="VJM59" s="74"/>
      <c r="VJN59" s="74"/>
      <c r="VJO59" s="74"/>
      <c r="VJP59" s="74"/>
      <c r="VJQ59" s="74"/>
      <c r="VJR59" s="74"/>
      <c r="VJS59" s="74"/>
      <c r="VJT59" s="74"/>
      <c r="VJU59" s="74"/>
      <c r="VJV59" s="74"/>
      <c r="VJW59" s="74"/>
      <c r="VJX59" s="74"/>
      <c r="VJY59" s="74"/>
      <c r="VJZ59" s="74"/>
      <c r="VKA59" s="74"/>
      <c r="VKB59" s="74"/>
      <c r="VKC59" s="74"/>
      <c r="VKD59" s="74"/>
      <c r="VKE59" s="74"/>
      <c r="VKF59" s="74"/>
      <c r="VKG59" s="74"/>
      <c r="VKH59" s="74"/>
      <c r="VKI59" s="74"/>
      <c r="VKJ59" s="74"/>
      <c r="VKK59" s="74"/>
      <c r="VKL59" s="74"/>
      <c r="VKM59" s="74"/>
      <c r="VKN59" s="74"/>
      <c r="VKO59" s="74"/>
      <c r="VKP59" s="74"/>
      <c r="VKQ59" s="74"/>
      <c r="VKR59" s="74"/>
      <c r="VKS59" s="74"/>
      <c r="VKT59" s="74"/>
      <c r="VKU59" s="74"/>
      <c r="VKV59" s="74"/>
      <c r="VKW59" s="74"/>
      <c r="VKX59" s="74"/>
      <c r="VKY59" s="74"/>
      <c r="VKZ59" s="74"/>
      <c r="VLA59" s="74"/>
      <c r="VLB59" s="74"/>
      <c r="VLC59" s="74"/>
      <c r="VLD59" s="74"/>
      <c r="VLE59" s="74"/>
      <c r="VLF59" s="74"/>
      <c r="VLG59" s="74"/>
      <c r="VLH59" s="74"/>
      <c r="VLI59" s="74"/>
      <c r="VLJ59" s="74"/>
      <c r="VLK59" s="74"/>
      <c r="VLL59" s="74"/>
      <c r="VLM59" s="74"/>
      <c r="VLN59" s="74"/>
      <c r="VLO59" s="74"/>
      <c r="VLP59" s="74"/>
      <c r="VLQ59" s="74"/>
      <c r="VLR59" s="74"/>
      <c r="VLS59" s="74"/>
      <c r="VLT59" s="74"/>
      <c r="VLU59" s="74"/>
      <c r="VLV59" s="74"/>
      <c r="VLW59" s="74"/>
      <c r="VLX59" s="74"/>
      <c r="VLY59" s="74"/>
      <c r="VLZ59" s="74"/>
      <c r="VMA59" s="74"/>
      <c r="VMB59" s="74"/>
      <c r="VMC59" s="74"/>
      <c r="VMD59" s="74"/>
      <c r="VME59" s="74"/>
      <c r="VMF59" s="74"/>
      <c r="VMG59" s="74"/>
      <c r="VMH59" s="74"/>
      <c r="VMI59" s="74"/>
      <c r="VMJ59" s="74"/>
      <c r="VMK59" s="74"/>
      <c r="VML59" s="74"/>
      <c r="VMM59" s="74"/>
      <c r="VMN59" s="74"/>
      <c r="VMO59" s="74"/>
      <c r="VMP59" s="74"/>
      <c r="VMQ59" s="74"/>
      <c r="VMR59" s="74"/>
      <c r="VMS59" s="74"/>
      <c r="VMT59" s="74"/>
      <c r="VMU59" s="74"/>
      <c r="VMV59" s="74"/>
      <c r="VMW59" s="74"/>
      <c r="VMX59" s="74"/>
      <c r="VMY59" s="74"/>
      <c r="VMZ59" s="74"/>
      <c r="VNA59" s="74"/>
      <c r="VNB59" s="74"/>
      <c r="VNC59" s="74"/>
      <c r="VND59" s="74"/>
      <c r="VNE59" s="74"/>
      <c r="VNF59" s="74"/>
      <c r="VNG59" s="74"/>
      <c r="VNH59" s="74"/>
      <c r="VNI59" s="74"/>
      <c r="VNJ59" s="74"/>
      <c r="VNK59" s="74"/>
      <c r="VNL59" s="74"/>
      <c r="VNM59" s="74"/>
      <c r="VNN59" s="74"/>
      <c r="VNO59" s="74"/>
      <c r="VNP59" s="74"/>
      <c r="VNQ59" s="74"/>
      <c r="VNR59" s="74"/>
      <c r="VNS59" s="74"/>
      <c r="VNT59" s="74"/>
      <c r="VNU59" s="74"/>
      <c r="VNV59" s="74"/>
      <c r="VNW59" s="74"/>
      <c r="VNX59" s="74"/>
      <c r="VNY59" s="74"/>
      <c r="VNZ59" s="74"/>
      <c r="VOA59" s="74"/>
      <c r="VOB59" s="74"/>
      <c r="VOC59" s="74"/>
      <c r="VOD59" s="74"/>
      <c r="VOE59" s="74"/>
      <c r="VOF59" s="74"/>
      <c r="VOG59" s="74"/>
      <c r="VOH59" s="74"/>
      <c r="VOI59" s="74"/>
      <c r="VOJ59" s="74"/>
      <c r="VOK59" s="74"/>
      <c r="VOL59" s="74"/>
      <c r="VOM59" s="74"/>
      <c r="VON59" s="74"/>
      <c r="VOO59" s="74"/>
      <c r="VOP59" s="74"/>
      <c r="VOQ59" s="74"/>
      <c r="VOR59" s="74"/>
      <c r="VOS59" s="74"/>
      <c r="VOT59" s="74"/>
      <c r="VOU59" s="74"/>
      <c r="VOV59" s="74"/>
      <c r="VOW59" s="74"/>
      <c r="VOX59" s="74"/>
      <c r="VOY59" s="74"/>
      <c r="VOZ59" s="74"/>
      <c r="VPA59" s="74"/>
      <c r="VPB59" s="74"/>
      <c r="VPC59" s="74"/>
      <c r="VPD59" s="74"/>
      <c r="VPE59" s="74"/>
      <c r="VPF59" s="74"/>
      <c r="VPG59" s="74"/>
      <c r="VPH59" s="74"/>
      <c r="VPI59" s="74"/>
      <c r="VPJ59" s="74"/>
      <c r="VPK59" s="74"/>
      <c r="VPL59" s="74"/>
      <c r="VPM59" s="74"/>
      <c r="VPN59" s="74"/>
      <c r="VPO59" s="74"/>
      <c r="VPP59" s="74"/>
      <c r="VPQ59" s="74"/>
      <c r="VPR59" s="74"/>
      <c r="VPS59" s="74"/>
      <c r="VPT59" s="74"/>
      <c r="VPU59" s="74"/>
      <c r="VPV59" s="74"/>
      <c r="VPW59" s="74"/>
      <c r="VPX59" s="74"/>
      <c r="VPY59" s="74"/>
      <c r="VPZ59" s="74"/>
      <c r="VQA59" s="74"/>
      <c r="VQB59" s="74"/>
      <c r="VQC59" s="74"/>
      <c r="VQD59" s="74"/>
      <c r="VQE59" s="74"/>
      <c r="VQF59" s="74"/>
      <c r="VQG59" s="74"/>
      <c r="VQH59" s="74"/>
      <c r="VQI59" s="74"/>
      <c r="VQJ59" s="74"/>
      <c r="VQK59" s="74"/>
      <c r="VQL59" s="74"/>
      <c r="VQM59" s="74"/>
      <c r="VQN59" s="74"/>
      <c r="VQO59" s="74"/>
      <c r="VQP59" s="74"/>
      <c r="VQQ59" s="74"/>
      <c r="VQR59" s="74"/>
      <c r="VQS59" s="74"/>
      <c r="VQT59" s="74"/>
      <c r="VQU59" s="74"/>
      <c r="VQV59" s="74"/>
      <c r="VQW59" s="74"/>
      <c r="VQX59" s="74"/>
      <c r="VQY59" s="74"/>
      <c r="VQZ59" s="74"/>
      <c r="VRA59" s="74"/>
      <c r="VRB59" s="74"/>
      <c r="VRC59" s="74"/>
      <c r="VRD59" s="74"/>
      <c r="VRE59" s="74"/>
      <c r="VRF59" s="74"/>
      <c r="VRG59" s="74"/>
      <c r="VRH59" s="74"/>
      <c r="VRI59" s="74"/>
      <c r="VRJ59" s="74"/>
      <c r="VRK59" s="74"/>
      <c r="VRL59" s="74"/>
      <c r="VRM59" s="74"/>
      <c r="VRN59" s="74"/>
      <c r="VRO59" s="74"/>
      <c r="VRP59" s="74"/>
      <c r="VRQ59" s="74"/>
      <c r="VRR59" s="74"/>
      <c r="VRS59" s="74"/>
      <c r="VRT59" s="74"/>
      <c r="VRU59" s="74"/>
      <c r="VRV59" s="74"/>
      <c r="VRW59" s="74"/>
      <c r="VRX59" s="74"/>
      <c r="VRY59" s="74"/>
      <c r="VRZ59" s="74"/>
      <c r="VSA59" s="74"/>
      <c r="VSB59" s="74"/>
      <c r="VSC59" s="74"/>
      <c r="VSD59" s="74"/>
      <c r="VSE59" s="74"/>
      <c r="VSF59" s="74"/>
      <c r="VSG59" s="74"/>
      <c r="VSH59" s="74"/>
      <c r="VSI59" s="74"/>
      <c r="VSJ59" s="74"/>
      <c r="VSK59" s="74"/>
      <c r="VSL59" s="74"/>
      <c r="VSM59" s="74"/>
      <c r="VSN59" s="74"/>
      <c r="VSO59" s="74"/>
      <c r="VSP59" s="74"/>
      <c r="VSQ59" s="74"/>
      <c r="VSR59" s="74"/>
      <c r="VSS59" s="74"/>
      <c r="VST59" s="74"/>
      <c r="VSU59" s="74"/>
      <c r="VSV59" s="74"/>
      <c r="VSW59" s="74"/>
      <c r="VSX59" s="74"/>
      <c r="VSY59" s="74"/>
      <c r="VSZ59" s="74"/>
      <c r="VTA59" s="74"/>
      <c r="VTB59" s="74"/>
      <c r="VTC59" s="74"/>
      <c r="VTD59" s="74"/>
      <c r="VTE59" s="74"/>
      <c r="VTF59" s="74"/>
      <c r="VTG59" s="74"/>
      <c r="VTH59" s="74"/>
      <c r="VTI59" s="74"/>
      <c r="VTJ59" s="74"/>
      <c r="VTK59" s="74"/>
      <c r="VTL59" s="74"/>
      <c r="VTM59" s="74"/>
      <c r="VTN59" s="74"/>
      <c r="VTO59" s="74"/>
      <c r="VTP59" s="74"/>
      <c r="VTQ59" s="74"/>
      <c r="VTR59" s="74"/>
      <c r="VTS59" s="74"/>
      <c r="VTT59" s="74"/>
      <c r="VTU59" s="74"/>
      <c r="VTV59" s="74"/>
      <c r="VTW59" s="74"/>
      <c r="VTX59" s="74"/>
      <c r="VTY59" s="74"/>
      <c r="VTZ59" s="74"/>
      <c r="VUA59" s="74"/>
      <c r="VUB59" s="74"/>
      <c r="VUC59" s="74"/>
      <c r="VUD59" s="74"/>
      <c r="VUE59" s="74"/>
      <c r="VUF59" s="74"/>
      <c r="VUG59" s="74"/>
      <c r="VUH59" s="74"/>
      <c r="VUI59" s="74"/>
      <c r="VUJ59" s="74"/>
      <c r="VUK59" s="74"/>
      <c r="VUL59" s="74"/>
      <c r="VUM59" s="74"/>
      <c r="VUN59" s="74"/>
      <c r="VUO59" s="74"/>
      <c r="VUP59" s="74"/>
      <c r="VUQ59" s="74"/>
      <c r="VUR59" s="74"/>
      <c r="VUS59" s="74"/>
      <c r="VUT59" s="74"/>
      <c r="VUU59" s="74"/>
      <c r="VUV59" s="74"/>
      <c r="VUW59" s="74"/>
      <c r="VUX59" s="74"/>
      <c r="VUY59" s="74"/>
      <c r="VUZ59" s="74"/>
      <c r="VVA59" s="74"/>
      <c r="VVB59" s="74"/>
      <c r="VVC59" s="74"/>
      <c r="VVD59" s="74"/>
      <c r="VVE59" s="74"/>
      <c r="VVF59" s="74"/>
      <c r="VVG59" s="74"/>
      <c r="VVH59" s="74"/>
      <c r="VVI59" s="74"/>
      <c r="VVJ59" s="74"/>
      <c r="VVK59" s="74"/>
      <c r="VVL59" s="74"/>
      <c r="VVM59" s="74"/>
      <c r="VVN59" s="74"/>
      <c r="VVO59" s="74"/>
      <c r="VVP59" s="74"/>
      <c r="VVQ59" s="74"/>
      <c r="VVR59" s="74"/>
      <c r="VVS59" s="74"/>
      <c r="VVT59" s="74"/>
      <c r="VVU59" s="74"/>
      <c r="VVV59" s="74"/>
      <c r="VVW59" s="74"/>
      <c r="VVX59" s="74"/>
      <c r="VVY59" s="74"/>
      <c r="VVZ59" s="74"/>
      <c r="VWA59" s="74"/>
      <c r="VWB59" s="74"/>
      <c r="VWC59" s="74"/>
      <c r="VWD59" s="74"/>
      <c r="VWE59" s="74"/>
      <c r="VWF59" s="74"/>
      <c r="VWG59" s="74"/>
      <c r="VWH59" s="74"/>
      <c r="VWI59" s="74"/>
      <c r="VWJ59" s="74"/>
      <c r="VWK59" s="74"/>
      <c r="VWL59" s="74"/>
      <c r="VWM59" s="74"/>
      <c r="VWN59" s="74"/>
      <c r="VWO59" s="74"/>
      <c r="VWP59" s="74"/>
      <c r="VWQ59" s="74"/>
      <c r="VWR59" s="74"/>
      <c r="VWS59" s="74"/>
      <c r="VWT59" s="74"/>
      <c r="VWU59" s="74"/>
      <c r="VWV59" s="74"/>
      <c r="VWW59" s="74"/>
      <c r="VWX59" s="74"/>
      <c r="VWY59" s="74"/>
      <c r="VWZ59" s="74"/>
      <c r="VXA59" s="74"/>
      <c r="VXB59" s="74"/>
      <c r="VXC59" s="74"/>
      <c r="VXD59" s="74"/>
      <c r="VXE59" s="74"/>
      <c r="VXF59" s="74"/>
      <c r="VXG59" s="74"/>
      <c r="VXH59" s="74"/>
      <c r="VXI59" s="74"/>
      <c r="VXJ59" s="74"/>
      <c r="VXK59" s="74"/>
      <c r="VXL59" s="74"/>
      <c r="VXM59" s="74"/>
      <c r="VXN59" s="74"/>
      <c r="VXO59" s="74"/>
      <c r="VXP59" s="74"/>
      <c r="VXQ59" s="74"/>
      <c r="VXR59" s="74"/>
      <c r="VXS59" s="74"/>
      <c r="VXT59" s="74"/>
      <c r="VXU59" s="74"/>
      <c r="VXV59" s="74"/>
      <c r="VXW59" s="74"/>
      <c r="VXX59" s="74"/>
      <c r="VXY59" s="74"/>
      <c r="VXZ59" s="74"/>
      <c r="VYA59" s="74"/>
      <c r="VYB59" s="74"/>
      <c r="VYC59" s="74"/>
      <c r="VYD59" s="74"/>
      <c r="VYE59" s="74"/>
      <c r="VYF59" s="74"/>
      <c r="VYG59" s="74"/>
      <c r="VYH59" s="74"/>
      <c r="VYI59" s="74"/>
      <c r="VYJ59" s="74"/>
      <c r="VYK59" s="74"/>
      <c r="VYL59" s="74"/>
      <c r="VYM59" s="74"/>
      <c r="VYN59" s="74"/>
      <c r="VYO59" s="74"/>
      <c r="VYP59" s="74"/>
      <c r="VYQ59" s="74"/>
      <c r="VYR59" s="74"/>
      <c r="VYS59" s="74"/>
      <c r="VYT59" s="74"/>
      <c r="VYU59" s="74"/>
      <c r="VYV59" s="74"/>
      <c r="VYW59" s="74"/>
      <c r="VYX59" s="74"/>
      <c r="VYY59" s="74"/>
      <c r="VYZ59" s="74"/>
      <c r="VZA59" s="74"/>
      <c r="VZB59" s="74"/>
      <c r="VZC59" s="74"/>
      <c r="VZD59" s="74"/>
      <c r="VZE59" s="74"/>
      <c r="VZF59" s="74"/>
      <c r="VZG59" s="74"/>
      <c r="VZH59" s="74"/>
      <c r="VZI59" s="74"/>
      <c r="VZJ59" s="74"/>
      <c r="VZK59" s="74"/>
      <c r="VZL59" s="74"/>
      <c r="VZM59" s="74"/>
      <c r="VZN59" s="74"/>
      <c r="VZO59" s="74"/>
      <c r="VZP59" s="74"/>
      <c r="VZQ59" s="74"/>
      <c r="VZR59" s="74"/>
      <c r="VZS59" s="74"/>
      <c r="VZT59" s="74"/>
      <c r="VZU59" s="74"/>
      <c r="VZV59" s="74"/>
      <c r="VZW59" s="74"/>
      <c r="VZX59" s="74"/>
      <c r="VZY59" s="74"/>
      <c r="VZZ59" s="74"/>
      <c r="WAA59" s="74"/>
      <c r="WAB59" s="74"/>
      <c r="WAC59" s="74"/>
      <c r="WAD59" s="74"/>
      <c r="WAE59" s="74"/>
      <c r="WAF59" s="74"/>
      <c r="WAG59" s="74"/>
      <c r="WAH59" s="74"/>
      <c r="WAI59" s="74"/>
      <c r="WAJ59" s="74"/>
      <c r="WAK59" s="74"/>
      <c r="WAL59" s="74"/>
      <c r="WAM59" s="74"/>
      <c r="WAN59" s="74"/>
      <c r="WAO59" s="74"/>
      <c r="WAP59" s="74"/>
      <c r="WAQ59" s="74"/>
      <c r="WAR59" s="74"/>
      <c r="WAS59" s="74"/>
      <c r="WAT59" s="74"/>
      <c r="WAU59" s="74"/>
      <c r="WAV59" s="74"/>
      <c r="WAW59" s="74"/>
      <c r="WAX59" s="74"/>
      <c r="WAY59" s="74"/>
      <c r="WAZ59" s="74"/>
      <c r="WBA59" s="74"/>
      <c r="WBB59" s="74"/>
      <c r="WBC59" s="74"/>
      <c r="WBD59" s="74"/>
      <c r="WBE59" s="74"/>
      <c r="WBF59" s="74"/>
      <c r="WBG59" s="74"/>
      <c r="WBH59" s="74"/>
      <c r="WBI59" s="74"/>
      <c r="WBJ59" s="74"/>
      <c r="WBK59" s="74"/>
      <c r="WBL59" s="74"/>
      <c r="WBM59" s="74"/>
      <c r="WBN59" s="74"/>
      <c r="WBO59" s="74"/>
      <c r="WBP59" s="74"/>
      <c r="WBQ59" s="74"/>
      <c r="WBR59" s="74"/>
      <c r="WBS59" s="74"/>
      <c r="WBT59" s="74"/>
      <c r="WBU59" s="74"/>
      <c r="WBV59" s="74"/>
      <c r="WBW59" s="74"/>
      <c r="WBX59" s="74"/>
      <c r="WBY59" s="74"/>
      <c r="WBZ59" s="74"/>
      <c r="WCA59" s="74"/>
      <c r="WCB59" s="74"/>
      <c r="WCC59" s="74"/>
      <c r="WCD59" s="74"/>
      <c r="WCE59" s="74"/>
      <c r="WCF59" s="74"/>
      <c r="WCG59" s="74"/>
      <c r="WCH59" s="74"/>
      <c r="WCI59" s="74"/>
      <c r="WCJ59" s="74"/>
      <c r="WCK59" s="74"/>
      <c r="WCL59" s="74"/>
      <c r="WCM59" s="74"/>
      <c r="WCN59" s="74"/>
      <c r="WCO59" s="74"/>
      <c r="WCP59" s="74"/>
      <c r="WCQ59" s="74"/>
      <c r="WCR59" s="74"/>
      <c r="WCS59" s="74"/>
      <c r="WCT59" s="74"/>
      <c r="WCU59" s="74"/>
      <c r="WCV59" s="74"/>
      <c r="WCW59" s="74"/>
      <c r="WCX59" s="74"/>
      <c r="WCY59" s="74"/>
      <c r="WCZ59" s="74"/>
      <c r="WDA59" s="74"/>
      <c r="WDB59" s="74"/>
      <c r="WDC59" s="74"/>
      <c r="WDD59" s="74"/>
      <c r="WDE59" s="74"/>
      <c r="WDF59" s="74"/>
      <c r="WDG59" s="74"/>
      <c r="WDH59" s="74"/>
      <c r="WDI59" s="74"/>
      <c r="WDJ59" s="74"/>
      <c r="WDK59" s="74"/>
      <c r="WDL59" s="74"/>
      <c r="WDM59" s="74"/>
      <c r="WDN59" s="74"/>
      <c r="WDO59" s="74"/>
      <c r="WDP59" s="74"/>
      <c r="WDQ59" s="74"/>
      <c r="WDR59" s="74"/>
      <c r="WDS59" s="74"/>
      <c r="WDT59" s="74"/>
      <c r="WDU59" s="74"/>
      <c r="WDV59" s="74"/>
      <c r="WDW59" s="74"/>
      <c r="WDX59" s="74"/>
      <c r="WDY59" s="74"/>
      <c r="WDZ59" s="74"/>
      <c r="WEA59" s="74"/>
      <c r="WEB59" s="74"/>
      <c r="WEC59" s="74"/>
      <c r="WED59" s="74"/>
      <c r="WEE59" s="74"/>
      <c r="WEF59" s="74"/>
      <c r="WEG59" s="74"/>
      <c r="WEH59" s="74"/>
      <c r="WEI59" s="74"/>
      <c r="WEJ59" s="74"/>
      <c r="WEK59" s="74"/>
      <c r="WEL59" s="74"/>
      <c r="WEM59" s="74"/>
      <c r="WEN59" s="74"/>
      <c r="WEO59" s="74"/>
      <c r="WEP59" s="74"/>
      <c r="WEQ59" s="74"/>
      <c r="WER59" s="74"/>
      <c r="WES59" s="74"/>
      <c r="WET59" s="74"/>
      <c r="WEU59" s="74"/>
      <c r="WEV59" s="74"/>
      <c r="WEW59" s="74"/>
      <c r="WEX59" s="74"/>
      <c r="WEY59" s="74"/>
      <c r="WEZ59" s="74"/>
      <c r="WFA59" s="74"/>
      <c r="WFB59" s="74"/>
      <c r="WFC59" s="74"/>
      <c r="WFD59" s="74"/>
      <c r="WFE59" s="74"/>
      <c r="WFF59" s="74"/>
      <c r="WFG59" s="74"/>
      <c r="WFH59" s="74"/>
      <c r="WFI59" s="74"/>
      <c r="WFJ59" s="74"/>
      <c r="WFK59" s="74"/>
      <c r="WFL59" s="74"/>
      <c r="WFM59" s="74"/>
      <c r="WFN59" s="74"/>
      <c r="WFO59" s="74"/>
      <c r="WFP59" s="74"/>
      <c r="WFQ59" s="74"/>
      <c r="WFR59" s="74"/>
      <c r="WFS59" s="74"/>
      <c r="WFT59" s="74"/>
      <c r="WFU59" s="74"/>
      <c r="WFV59" s="74"/>
      <c r="WFW59" s="74"/>
      <c r="WFX59" s="74"/>
      <c r="WFY59" s="74"/>
      <c r="WFZ59" s="74"/>
      <c r="WGA59" s="74"/>
      <c r="WGB59" s="74"/>
      <c r="WGC59" s="74"/>
      <c r="WGD59" s="74"/>
      <c r="WGE59" s="74"/>
      <c r="WGF59" s="74"/>
      <c r="WGG59" s="74"/>
      <c r="WGH59" s="74"/>
      <c r="WGI59" s="74"/>
      <c r="WGJ59" s="74"/>
      <c r="WGK59" s="74"/>
      <c r="WGL59" s="74"/>
      <c r="WGM59" s="74"/>
      <c r="WGN59" s="74"/>
      <c r="WGO59" s="74"/>
      <c r="WGP59" s="74"/>
      <c r="WGQ59" s="74"/>
      <c r="WGR59" s="74"/>
      <c r="WGS59" s="74"/>
      <c r="WGT59" s="74"/>
      <c r="WGU59" s="74"/>
      <c r="WGV59" s="74"/>
      <c r="WGW59" s="74"/>
      <c r="WGX59" s="74"/>
      <c r="WGY59" s="74"/>
      <c r="WGZ59" s="74"/>
      <c r="WHA59" s="74"/>
      <c r="WHB59" s="74"/>
      <c r="WHC59" s="74"/>
      <c r="WHD59" s="74"/>
      <c r="WHE59" s="74"/>
      <c r="WHF59" s="74"/>
      <c r="WHG59" s="74"/>
      <c r="WHH59" s="74"/>
      <c r="WHI59" s="74"/>
      <c r="WHJ59" s="74"/>
      <c r="WHK59" s="74"/>
      <c r="WHL59" s="74"/>
      <c r="WHM59" s="74"/>
      <c r="WHN59" s="74"/>
      <c r="WHO59" s="74"/>
      <c r="WHP59" s="74"/>
      <c r="WHQ59" s="74"/>
      <c r="WHR59" s="74"/>
      <c r="WHS59" s="74"/>
      <c r="WHT59" s="74"/>
      <c r="WHU59" s="74"/>
      <c r="WHV59" s="74"/>
      <c r="WHW59" s="74"/>
      <c r="WHX59" s="74"/>
      <c r="WHY59" s="74"/>
      <c r="WHZ59" s="74"/>
      <c r="WIA59" s="74"/>
      <c r="WIB59" s="74"/>
      <c r="WIC59" s="74"/>
      <c r="WID59" s="74"/>
      <c r="WIE59" s="74"/>
      <c r="WIF59" s="74"/>
      <c r="WIG59" s="74"/>
      <c r="WIH59" s="74"/>
      <c r="WII59" s="74"/>
      <c r="WIJ59" s="74"/>
      <c r="WIK59" s="74"/>
      <c r="WIL59" s="74"/>
      <c r="WIM59" s="74"/>
      <c r="WIN59" s="74"/>
      <c r="WIO59" s="74"/>
      <c r="WIP59" s="74"/>
      <c r="WIQ59" s="74"/>
      <c r="WIR59" s="74"/>
      <c r="WIS59" s="74"/>
      <c r="WIT59" s="74"/>
      <c r="WIU59" s="74"/>
      <c r="WIV59" s="74"/>
      <c r="WIW59" s="74"/>
      <c r="WIX59" s="74"/>
      <c r="WIY59" s="74"/>
      <c r="WIZ59" s="74"/>
      <c r="WJA59" s="74"/>
      <c r="WJB59" s="74"/>
      <c r="WJC59" s="74"/>
      <c r="WJD59" s="74"/>
      <c r="WJE59" s="74"/>
      <c r="WJF59" s="74"/>
      <c r="WJG59" s="74"/>
      <c r="WJH59" s="74"/>
      <c r="WJI59" s="74"/>
      <c r="WJJ59" s="74"/>
      <c r="WJK59" s="74"/>
      <c r="WJL59" s="74"/>
      <c r="WJM59" s="74"/>
      <c r="WJN59" s="74"/>
      <c r="WJO59" s="74"/>
      <c r="WJP59" s="74"/>
      <c r="WJQ59" s="74"/>
      <c r="WJR59" s="74"/>
      <c r="WJS59" s="74"/>
      <c r="WJT59" s="74"/>
      <c r="WJU59" s="74"/>
      <c r="WJV59" s="74"/>
      <c r="WJW59" s="74"/>
      <c r="WJX59" s="74"/>
      <c r="WJY59" s="74"/>
      <c r="WJZ59" s="74"/>
      <c r="WKA59" s="74"/>
      <c r="WKB59" s="74"/>
      <c r="WKC59" s="74"/>
      <c r="WKD59" s="74"/>
      <c r="WKE59" s="74"/>
      <c r="WKF59" s="74"/>
      <c r="WKG59" s="74"/>
      <c r="WKH59" s="74"/>
      <c r="WKI59" s="74"/>
      <c r="WKJ59" s="74"/>
      <c r="WKK59" s="74"/>
      <c r="WKL59" s="74"/>
      <c r="WKM59" s="74"/>
      <c r="WKN59" s="74"/>
      <c r="WKO59" s="74"/>
      <c r="WKP59" s="74"/>
      <c r="WKQ59" s="74"/>
      <c r="WKR59" s="74"/>
      <c r="WKS59" s="74"/>
      <c r="WKT59" s="74"/>
      <c r="WKU59" s="74"/>
      <c r="WKV59" s="74"/>
      <c r="WKW59" s="74"/>
      <c r="WKX59" s="74"/>
      <c r="WKY59" s="74"/>
      <c r="WKZ59" s="74"/>
      <c r="WLA59" s="74"/>
      <c r="WLB59" s="74"/>
      <c r="WLC59" s="74"/>
      <c r="WLD59" s="74"/>
      <c r="WLE59" s="74"/>
      <c r="WLF59" s="74"/>
      <c r="WLG59" s="74"/>
      <c r="WLH59" s="74"/>
      <c r="WLI59" s="74"/>
      <c r="WLJ59" s="74"/>
      <c r="WLK59" s="74"/>
      <c r="WLL59" s="74"/>
      <c r="WLM59" s="74"/>
      <c r="WLN59" s="74"/>
      <c r="WLO59" s="74"/>
      <c r="WLP59" s="74"/>
      <c r="WLQ59" s="74"/>
      <c r="WLR59" s="74"/>
      <c r="WLS59" s="74"/>
      <c r="WLT59" s="74"/>
      <c r="WLU59" s="74"/>
      <c r="WLV59" s="74"/>
      <c r="WLW59" s="74"/>
      <c r="WLX59" s="74"/>
      <c r="WLY59" s="74"/>
      <c r="WLZ59" s="74"/>
      <c r="WMA59" s="74"/>
      <c r="WMB59" s="74"/>
      <c r="WMC59" s="74"/>
      <c r="WMD59" s="74"/>
      <c r="WME59" s="74"/>
      <c r="WMF59" s="74"/>
      <c r="WMG59" s="74"/>
      <c r="WMH59" s="74"/>
      <c r="WMI59" s="74"/>
      <c r="WMJ59" s="74"/>
      <c r="WMK59" s="74"/>
      <c r="WML59" s="74"/>
      <c r="WMM59" s="74"/>
      <c r="WMN59" s="74"/>
      <c r="WMO59" s="74"/>
      <c r="WMP59" s="74"/>
      <c r="WMQ59" s="74"/>
      <c r="WMR59" s="74"/>
      <c r="WMS59" s="74"/>
      <c r="WMT59" s="74"/>
      <c r="WMU59" s="74"/>
      <c r="WMV59" s="74"/>
      <c r="WMW59" s="74"/>
      <c r="WMX59" s="74"/>
      <c r="WMY59" s="74"/>
      <c r="WMZ59" s="74"/>
      <c r="WNA59" s="74"/>
      <c r="WNB59" s="74"/>
      <c r="WNC59" s="74"/>
      <c r="WND59" s="74"/>
      <c r="WNE59" s="74"/>
      <c r="WNF59" s="74"/>
      <c r="WNG59" s="74"/>
      <c r="WNH59" s="74"/>
      <c r="WNI59" s="74"/>
      <c r="WNJ59" s="74"/>
      <c r="WNK59" s="74"/>
      <c r="WNL59" s="74"/>
      <c r="WNM59" s="74"/>
      <c r="WNN59" s="74"/>
      <c r="WNO59" s="74"/>
      <c r="WNP59" s="74"/>
      <c r="WNQ59" s="74"/>
      <c r="WNR59" s="74"/>
      <c r="WNS59" s="74"/>
      <c r="WNT59" s="74"/>
      <c r="WNU59" s="74"/>
      <c r="WNV59" s="74"/>
      <c r="WNW59" s="74"/>
      <c r="WNX59" s="74"/>
      <c r="WNY59" s="74"/>
      <c r="WNZ59" s="74"/>
      <c r="WOA59" s="74"/>
      <c r="WOB59" s="74"/>
      <c r="WOC59" s="74"/>
      <c r="WOD59" s="74"/>
      <c r="WOE59" s="74"/>
      <c r="WOF59" s="74"/>
      <c r="WOG59" s="74"/>
      <c r="WOH59" s="74"/>
      <c r="WOI59" s="74"/>
      <c r="WOJ59" s="74"/>
      <c r="WOK59" s="74"/>
      <c r="WOL59" s="74"/>
      <c r="WOM59" s="74"/>
      <c r="WON59" s="74"/>
      <c r="WOO59" s="74"/>
      <c r="WOP59" s="74"/>
      <c r="WOQ59" s="74"/>
      <c r="WOR59" s="74"/>
      <c r="WOS59" s="74"/>
      <c r="WOT59" s="74"/>
      <c r="WOU59" s="74"/>
      <c r="WOV59" s="74"/>
      <c r="WOW59" s="74"/>
      <c r="WOX59" s="74"/>
      <c r="WOY59" s="74"/>
      <c r="WOZ59" s="74"/>
      <c r="WPA59" s="74"/>
      <c r="WPB59" s="74"/>
      <c r="WPC59" s="74"/>
      <c r="WPD59" s="74"/>
      <c r="WPE59" s="74"/>
      <c r="WPF59" s="74"/>
      <c r="WPG59" s="74"/>
      <c r="WPH59" s="74"/>
      <c r="WPI59" s="74"/>
      <c r="WPJ59" s="74"/>
      <c r="WPK59" s="74"/>
      <c r="WPL59" s="74"/>
      <c r="WPM59" s="74"/>
      <c r="WPN59" s="74"/>
      <c r="WPO59" s="74"/>
      <c r="WPP59" s="74"/>
      <c r="WPQ59" s="74"/>
      <c r="WPR59" s="74"/>
      <c r="WPS59" s="74"/>
      <c r="WPT59" s="74"/>
      <c r="WPU59" s="74"/>
      <c r="WPV59" s="74"/>
      <c r="WPW59" s="74"/>
      <c r="WPX59" s="74"/>
      <c r="WPY59" s="74"/>
      <c r="WPZ59" s="74"/>
      <c r="WQA59" s="74"/>
      <c r="WQB59" s="74"/>
      <c r="WQC59" s="74"/>
      <c r="WQD59" s="74"/>
      <c r="WQE59" s="74"/>
      <c r="WQF59" s="74"/>
      <c r="WQG59" s="74"/>
      <c r="WQH59" s="74"/>
      <c r="WQI59" s="74"/>
      <c r="WQJ59" s="74"/>
      <c r="WQK59" s="74"/>
      <c r="WQL59" s="74"/>
      <c r="WQM59" s="74"/>
      <c r="WQN59" s="74"/>
      <c r="WQO59" s="74"/>
      <c r="WQP59" s="74"/>
      <c r="WQQ59" s="74"/>
      <c r="WQR59" s="74"/>
      <c r="WQS59" s="74"/>
      <c r="WQT59" s="74"/>
      <c r="WQU59" s="74"/>
      <c r="WQV59" s="74"/>
      <c r="WQW59" s="74"/>
      <c r="WQX59" s="74"/>
      <c r="WQY59" s="74"/>
      <c r="WQZ59" s="74"/>
      <c r="WRA59" s="74"/>
      <c r="WRB59" s="74"/>
      <c r="WRC59" s="74"/>
      <c r="WRD59" s="74"/>
      <c r="WRE59" s="74"/>
      <c r="WRF59" s="74"/>
      <c r="WRG59" s="74"/>
      <c r="WRH59" s="74"/>
      <c r="WRI59" s="74"/>
      <c r="WRJ59" s="74"/>
      <c r="WRK59" s="74"/>
      <c r="WRL59" s="74"/>
      <c r="WRM59" s="74"/>
      <c r="WRN59" s="74"/>
      <c r="WRO59" s="74"/>
      <c r="WRP59" s="74"/>
      <c r="WRQ59" s="74"/>
      <c r="WRR59" s="74"/>
      <c r="WRS59" s="74"/>
      <c r="WRT59" s="74"/>
      <c r="WRU59" s="74"/>
      <c r="WRV59" s="74"/>
      <c r="WRW59" s="74"/>
      <c r="WRX59" s="74"/>
      <c r="WRY59" s="74"/>
      <c r="WRZ59" s="74"/>
      <c r="WSA59" s="74"/>
      <c r="WSB59" s="74"/>
      <c r="WSC59" s="74"/>
      <c r="WSD59" s="74"/>
      <c r="WSE59" s="74"/>
      <c r="WSF59" s="74"/>
      <c r="WSG59" s="74"/>
      <c r="WSH59" s="74"/>
      <c r="WSI59" s="74"/>
      <c r="WSJ59" s="74"/>
      <c r="WSK59" s="74"/>
      <c r="WSL59" s="74"/>
      <c r="WSM59" s="74"/>
      <c r="WSN59" s="74"/>
      <c r="WSO59" s="74"/>
      <c r="WSP59" s="74"/>
      <c r="WSQ59" s="74"/>
      <c r="WSR59" s="74"/>
      <c r="WSS59" s="74"/>
      <c r="WST59" s="74"/>
      <c r="WSU59" s="74"/>
      <c r="WSV59" s="74"/>
      <c r="WSW59" s="74"/>
      <c r="WSX59" s="74"/>
      <c r="WSY59" s="74"/>
      <c r="WSZ59" s="74"/>
      <c r="WTA59" s="74"/>
      <c r="WTB59" s="74"/>
      <c r="WTC59" s="74"/>
      <c r="WTD59" s="74"/>
      <c r="WTE59" s="74"/>
      <c r="WTF59" s="74"/>
      <c r="WTG59" s="74"/>
      <c r="WTH59" s="74"/>
      <c r="WTI59" s="74"/>
      <c r="WTJ59" s="74"/>
      <c r="WTK59" s="74"/>
      <c r="WTL59" s="74"/>
      <c r="WTM59" s="74"/>
      <c r="WTN59" s="74"/>
      <c r="WTO59" s="74"/>
      <c r="WTP59" s="74"/>
      <c r="WTQ59" s="74"/>
      <c r="WTR59" s="74"/>
      <c r="WTS59" s="74"/>
      <c r="WTT59" s="74"/>
      <c r="WTU59" s="74"/>
      <c r="WTV59" s="74"/>
      <c r="WTW59" s="74"/>
      <c r="WTX59" s="74"/>
      <c r="WTY59" s="74"/>
      <c r="WTZ59" s="74"/>
      <c r="WUA59" s="74"/>
      <c r="WUB59" s="74"/>
      <c r="WUC59" s="74"/>
      <c r="WUD59" s="74"/>
      <c r="WUE59" s="74"/>
      <c r="WUF59" s="74"/>
      <c r="WUG59" s="74"/>
      <c r="WUH59" s="74"/>
      <c r="WUI59" s="74"/>
      <c r="WUJ59" s="74"/>
      <c r="WUK59" s="74"/>
      <c r="WUL59" s="74"/>
      <c r="WUM59" s="74"/>
      <c r="WUN59" s="74"/>
      <c r="WUO59" s="74"/>
      <c r="WUP59" s="74"/>
      <c r="WUQ59" s="74"/>
      <c r="WUR59" s="74"/>
      <c r="WUS59" s="74"/>
      <c r="WUT59" s="74"/>
      <c r="WUU59" s="74"/>
      <c r="WUV59" s="74"/>
      <c r="WUW59" s="74"/>
      <c r="WUX59" s="74"/>
      <c r="WUY59" s="74"/>
      <c r="WUZ59" s="74"/>
      <c r="WVA59" s="74"/>
      <c r="WVB59" s="74"/>
      <c r="WVC59" s="74"/>
      <c r="WVD59" s="74"/>
      <c r="WVE59" s="74"/>
      <c r="WVF59" s="74"/>
      <c r="WVG59" s="74"/>
      <c r="WVH59" s="74"/>
      <c r="WVI59" s="74"/>
      <c r="WVJ59" s="74"/>
      <c r="WVK59" s="74"/>
      <c r="WVL59" s="74"/>
      <c r="WVM59" s="74"/>
      <c r="WVN59" s="74"/>
      <c r="WVO59" s="74"/>
      <c r="WVP59" s="74"/>
      <c r="WVQ59" s="74"/>
      <c r="WVR59" s="74"/>
      <c r="WVS59" s="74"/>
      <c r="WVT59" s="74"/>
      <c r="WVU59" s="74"/>
      <c r="WVV59" s="74"/>
      <c r="WVW59" s="74"/>
      <c r="WVX59" s="74"/>
      <c r="WVY59" s="74"/>
      <c r="WVZ59" s="74"/>
      <c r="WWA59" s="74"/>
      <c r="WWB59" s="74"/>
      <c r="WWC59" s="74"/>
      <c r="WWD59" s="74"/>
      <c r="WWE59" s="74"/>
      <c r="WWF59" s="74"/>
      <c r="WWG59" s="74"/>
      <c r="WWH59" s="74"/>
      <c r="WWI59" s="74"/>
      <c r="WWJ59" s="74"/>
      <c r="WWK59" s="74"/>
      <c r="WWL59" s="74"/>
      <c r="WWM59" s="74"/>
      <c r="WWN59" s="74"/>
      <c r="WWO59" s="74"/>
      <c r="WWP59" s="74"/>
      <c r="WWQ59" s="74"/>
      <c r="WWR59" s="74"/>
      <c r="WWS59" s="74"/>
      <c r="WWT59" s="74"/>
      <c r="WWU59" s="74"/>
      <c r="WWV59" s="74"/>
      <c r="WWW59" s="74"/>
      <c r="WWX59" s="74"/>
      <c r="WWY59" s="74"/>
      <c r="WWZ59" s="74"/>
      <c r="WXA59" s="74"/>
      <c r="WXB59" s="74"/>
      <c r="WXC59" s="74"/>
      <c r="WXD59" s="74"/>
      <c r="WXE59" s="74"/>
      <c r="WXF59" s="74"/>
      <c r="WXG59" s="74"/>
      <c r="WXH59" s="74"/>
      <c r="WXI59" s="74"/>
      <c r="WXJ59" s="74"/>
      <c r="WXK59" s="74"/>
      <c r="WXL59" s="74"/>
      <c r="WXM59" s="74"/>
      <c r="WXN59" s="74"/>
      <c r="WXO59" s="74"/>
      <c r="WXP59" s="74"/>
      <c r="WXQ59" s="74"/>
      <c r="WXR59" s="74"/>
      <c r="WXS59" s="74"/>
      <c r="WXT59" s="74"/>
      <c r="WXU59" s="74"/>
      <c r="WXV59" s="74"/>
      <c r="WXW59" s="74"/>
      <c r="WXX59" s="74"/>
      <c r="WXY59" s="74"/>
      <c r="WXZ59" s="74"/>
      <c r="WYA59" s="74"/>
      <c r="WYB59" s="74"/>
      <c r="WYC59" s="74"/>
      <c r="WYD59" s="74"/>
      <c r="WYE59" s="74"/>
      <c r="WYF59" s="74"/>
      <c r="WYG59" s="74"/>
      <c r="WYH59" s="74"/>
      <c r="WYI59" s="74"/>
      <c r="WYJ59" s="74"/>
      <c r="WYK59" s="74"/>
      <c r="WYL59" s="74"/>
      <c r="WYM59" s="74"/>
      <c r="WYN59" s="74"/>
      <c r="WYO59" s="74"/>
      <c r="WYP59" s="74"/>
      <c r="WYQ59" s="74"/>
      <c r="WYR59" s="74"/>
      <c r="WYS59" s="74"/>
      <c r="WYT59" s="74"/>
      <c r="WYU59" s="74"/>
      <c r="WYV59" s="74"/>
      <c r="WYW59" s="74"/>
      <c r="WYX59" s="74"/>
      <c r="WYY59" s="74"/>
      <c r="WYZ59" s="74"/>
      <c r="WZA59" s="74"/>
      <c r="WZB59" s="74"/>
      <c r="WZC59" s="74"/>
      <c r="WZD59" s="74"/>
      <c r="WZE59" s="74"/>
      <c r="WZF59" s="74"/>
      <c r="WZG59" s="74"/>
      <c r="WZH59" s="74"/>
      <c r="WZI59" s="74"/>
      <c r="WZJ59" s="74"/>
      <c r="WZK59" s="74"/>
      <c r="WZL59" s="74"/>
      <c r="WZM59" s="74"/>
      <c r="WZN59" s="74"/>
      <c r="WZO59" s="74"/>
      <c r="WZP59" s="74"/>
      <c r="WZQ59" s="74"/>
      <c r="WZR59" s="74"/>
      <c r="WZS59" s="74"/>
      <c r="WZT59" s="74"/>
      <c r="WZU59" s="74"/>
      <c r="WZV59" s="74"/>
      <c r="WZW59" s="74"/>
      <c r="WZX59" s="74"/>
      <c r="WZY59" s="74"/>
      <c r="WZZ59" s="74"/>
      <c r="XAA59" s="74"/>
      <c r="XAB59" s="74"/>
      <c r="XAC59" s="74"/>
      <c r="XAD59" s="74"/>
      <c r="XAE59" s="74"/>
      <c r="XAF59" s="74"/>
      <c r="XAG59" s="74"/>
      <c r="XAH59" s="74"/>
      <c r="XAI59" s="74"/>
      <c r="XAJ59" s="74"/>
      <c r="XAK59" s="74"/>
      <c r="XAL59" s="74"/>
      <c r="XAM59" s="74"/>
      <c r="XAN59" s="74"/>
      <c r="XAO59" s="74"/>
      <c r="XAP59" s="74"/>
      <c r="XAQ59" s="74"/>
      <c r="XAR59" s="74"/>
      <c r="XAS59" s="74"/>
      <c r="XAT59" s="74"/>
      <c r="XAU59" s="74"/>
      <c r="XAV59" s="74"/>
      <c r="XAW59" s="74"/>
      <c r="XAX59" s="74"/>
      <c r="XAY59" s="74"/>
      <c r="XAZ59" s="74"/>
      <c r="XBA59" s="74"/>
      <c r="XBB59" s="74"/>
      <c r="XBC59" s="74"/>
      <c r="XBD59" s="74"/>
      <c r="XBE59" s="74"/>
      <c r="XBF59" s="74"/>
      <c r="XBG59" s="74"/>
      <c r="XBH59" s="74"/>
      <c r="XBI59" s="74"/>
      <c r="XBJ59" s="74"/>
      <c r="XBK59" s="74"/>
      <c r="XBL59" s="74"/>
      <c r="XBM59" s="74"/>
      <c r="XBN59" s="74"/>
      <c r="XBO59" s="74"/>
      <c r="XBP59" s="74"/>
      <c r="XBQ59" s="74"/>
      <c r="XBR59" s="74"/>
      <c r="XBS59" s="74"/>
      <c r="XBT59" s="74"/>
      <c r="XBU59" s="74"/>
      <c r="XBV59" s="74"/>
      <c r="XBW59" s="74"/>
      <c r="XBX59" s="74"/>
      <c r="XBY59" s="74"/>
      <c r="XBZ59" s="74"/>
      <c r="XCA59" s="74"/>
      <c r="XCB59" s="74"/>
      <c r="XCC59" s="74"/>
      <c r="XCD59" s="74"/>
      <c r="XCE59" s="74"/>
      <c r="XCF59" s="74"/>
      <c r="XCG59" s="74"/>
      <c r="XCH59" s="74"/>
      <c r="XCI59" s="74"/>
      <c r="XCJ59" s="74"/>
      <c r="XCK59" s="74"/>
      <c r="XCL59" s="74"/>
      <c r="XCM59" s="74"/>
      <c r="XCN59" s="74"/>
      <c r="XCO59" s="74"/>
      <c r="XCP59" s="74"/>
      <c r="XCQ59" s="74"/>
      <c r="XCR59" s="74"/>
      <c r="XCS59" s="74"/>
      <c r="XCT59" s="74"/>
      <c r="XCU59" s="74"/>
      <c r="XCV59" s="74"/>
      <c r="XCW59" s="74"/>
      <c r="XCX59" s="74"/>
      <c r="XCY59" s="74"/>
      <c r="XCZ59" s="74"/>
      <c r="XDA59" s="74"/>
      <c r="XDB59" s="74"/>
      <c r="XDC59" s="74"/>
      <c r="XDD59" s="74"/>
      <c r="XDE59" s="74"/>
      <c r="XDF59" s="74"/>
      <c r="XDG59" s="74"/>
      <c r="XDH59" s="74"/>
      <c r="XDI59" s="74"/>
      <c r="XDJ59" s="74"/>
      <c r="XDK59" s="74"/>
      <c r="XDL59" s="74"/>
      <c r="XDM59" s="74"/>
      <c r="XDN59" s="74"/>
      <c r="XDO59" s="74"/>
      <c r="XDP59" s="74"/>
      <c r="XDQ59" s="74"/>
      <c r="XDR59" s="74"/>
      <c r="XDS59" s="74"/>
      <c r="XDT59" s="74"/>
      <c r="XDU59" s="74"/>
      <c r="XDV59" s="74"/>
      <c r="XDW59" s="74"/>
      <c r="XDX59" s="74"/>
      <c r="XDY59" s="74"/>
      <c r="XDZ59" s="74"/>
      <c r="XEA59" s="74"/>
      <c r="XEB59" s="74"/>
      <c r="XEC59" s="74"/>
      <c r="XED59" s="74"/>
      <c r="XEE59" s="74"/>
      <c r="XEF59" s="74"/>
      <c r="XEG59" s="74"/>
      <c r="XEH59" s="74"/>
      <c r="XEI59" s="74"/>
      <c r="XEJ59" s="74"/>
      <c r="XEK59" s="74"/>
      <c r="XEL59" s="74"/>
      <c r="XEM59" s="74"/>
      <c r="XEN59" s="74"/>
      <c r="XEO59" s="74"/>
      <c r="XEP59" s="74"/>
      <c r="XEQ59" s="74"/>
      <c r="XER59" s="74"/>
      <c r="XES59" s="74"/>
      <c r="XET59" s="74"/>
      <c r="XEU59" s="74"/>
      <c r="XEV59" s="74"/>
      <c r="XEW59" s="74"/>
      <c r="XEX59" s="74"/>
      <c r="XEY59" s="74"/>
      <c r="XEZ59" s="74"/>
      <c r="XFA59" s="74"/>
      <c r="XFB59" s="74"/>
      <c r="XFC59" s="74"/>
      <c r="XFD59" s="74"/>
    </row>
    <row r="60" spans="1:16384" ht="12.75" customHeight="1">
      <c r="A60" s="88" t="s">
        <v>971</v>
      </c>
      <c r="B60" s="86"/>
      <c r="C60" s="86"/>
      <c r="D60" s="86"/>
      <c r="E60" s="86"/>
      <c r="F60" s="86"/>
      <c r="G60" s="87"/>
      <c r="H60" s="86"/>
      <c r="I60" s="86"/>
      <c r="J60" s="86"/>
      <c r="K60" s="86"/>
      <c r="L60" s="86"/>
      <c r="M60" s="87"/>
      <c r="N60" s="86"/>
      <c r="O60" s="86"/>
      <c r="P60" s="86"/>
      <c r="Q60" s="86"/>
      <c r="R60" s="86"/>
      <c r="S60" s="87"/>
      <c r="T60" s="86"/>
      <c r="U60" s="86"/>
      <c r="V60" s="86"/>
      <c r="W60" s="86"/>
      <c r="X60" s="86"/>
      <c r="Y60" s="87"/>
      <c r="Z60" s="86"/>
      <c r="AA60" s="86"/>
      <c r="AB60" s="86"/>
      <c r="AC60" s="86"/>
      <c r="AD60" s="86"/>
      <c r="AE60" s="87"/>
      <c r="AF60" s="86"/>
      <c r="AG60" s="86"/>
      <c r="AH60" s="206"/>
      <c r="AI60" s="286">
        <f>AL33*1.005</f>
        <v>0</v>
      </c>
      <c r="AJ60" s="202"/>
      <c r="AK60" s="201"/>
      <c r="AL60" s="286">
        <f>AO33*1.005</f>
        <v>0</v>
      </c>
      <c r="AM60" s="286">
        <f>AP33*1.005</f>
        <v>0</v>
      </c>
      <c r="AN60" s="286">
        <f>AQ33*1.005</f>
        <v>0</v>
      </c>
      <c r="AO60" s="286">
        <f>AR33*1.005</f>
        <v>0</v>
      </c>
      <c r="AP60" s="286">
        <f>AS33*1.005</f>
        <v>0</v>
      </c>
      <c r="AQ60" s="202"/>
      <c r="AR60" s="201"/>
      <c r="AS60" s="286">
        <f>AV33*1.005</f>
        <v>0</v>
      </c>
      <c r="AT60" s="286">
        <f t="shared" ref="AT60:AW74" si="62">AW33*1.005</f>
        <v>0</v>
      </c>
      <c r="AU60" s="286">
        <f t="shared" si="62"/>
        <v>0</v>
      </c>
      <c r="AV60" s="286">
        <f t="shared" si="62"/>
        <v>0</v>
      </c>
      <c r="AW60" s="286">
        <f t="shared" si="62"/>
        <v>0</v>
      </c>
      <c r="AX60" s="202"/>
      <c r="AY60" s="201"/>
      <c r="AZ60" s="286">
        <f>BC33*1.005</f>
        <v>0</v>
      </c>
      <c r="BA60" s="286">
        <f t="shared" ref="BA60:BD74" si="63">BD33*1.005</f>
        <v>0</v>
      </c>
      <c r="BB60" s="286">
        <f t="shared" si="63"/>
        <v>0</v>
      </c>
      <c r="BC60" s="286">
        <f t="shared" si="63"/>
        <v>0</v>
      </c>
      <c r="BD60" s="286">
        <f t="shared" si="63"/>
        <v>0</v>
      </c>
      <c r="BE60" s="202"/>
      <c r="BF60" s="201"/>
      <c r="BG60" s="286">
        <f>BJ33*1.005</f>
        <v>-20.200499999999995</v>
      </c>
      <c r="BH60" s="286">
        <f t="shared" ref="BH60:BH74" si="64">BK33*1.005</f>
        <v>0</v>
      </c>
      <c r="BI60" s="286">
        <f>AJ33*1.005</f>
        <v>0</v>
      </c>
      <c r="BJ60" s="286">
        <f>AK33*1.005</f>
        <v>-541.81781100000001</v>
      </c>
      <c r="BK60" s="286">
        <v>0</v>
      </c>
      <c r="BL60" s="202"/>
      <c r="BM60" s="206"/>
    </row>
    <row r="61" spans="1:16384" ht="12.75" customHeight="1">
      <c r="A61" s="88" t="s">
        <v>308</v>
      </c>
      <c r="B61" s="86"/>
      <c r="C61" s="86"/>
      <c r="D61" s="86"/>
      <c r="E61" s="86"/>
      <c r="F61" s="86"/>
      <c r="G61" s="87"/>
      <c r="H61" s="86"/>
      <c r="I61" s="86"/>
      <c r="J61" s="86"/>
      <c r="K61" s="86"/>
      <c r="L61" s="86"/>
      <c r="M61" s="87"/>
      <c r="N61" s="86"/>
      <c r="O61" s="86"/>
      <c r="P61" s="86"/>
      <c r="Q61" s="86"/>
      <c r="R61" s="86"/>
      <c r="S61" s="87"/>
      <c r="T61" s="86"/>
      <c r="U61" s="86"/>
      <c r="V61" s="86"/>
      <c r="W61" s="86"/>
      <c r="X61" s="86"/>
      <c r="Y61" s="87"/>
      <c r="Z61" s="86"/>
      <c r="AA61" s="86"/>
      <c r="AB61" s="86"/>
      <c r="AC61" s="86"/>
      <c r="AD61" s="86"/>
      <c r="AE61" s="87"/>
      <c r="AF61" s="86"/>
      <c r="AG61" s="86"/>
      <c r="AH61" s="206"/>
      <c r="AI61" s="286">
        <f t="shared" ref="AI61:AI74" si="65">AL34*1.005</f>
        <v>0</v>
      </c>
      <c r="AJ61" s="202"/>
      <c r="AK61" s="201"/>
      <c r="AL61" s="286">
        <f t="shared" ref="AL61:AP74" si="66">AO34*1.005</f>
        <v>-1324.1124742499997</v>
      </c>
      <c r="AM61" s="286">
        <f t="shared" si="66"/>
        <v>0</v>
      </c>
      <c r="AN61" s="286">
        <f t="shared" si="66"/>
        <v>0</v>
      </c>
      <c r="AO61" s="286">
        <f t="shared" si="66"/>
        <v>0</v>
      </c>
      <c r="AP61" s="286">
        <f t="shared" si="66"/>
        <v>0</v>
      </c>
      <c r="AQ61" s="202"/>
      <c r="AR61" s="201"/>
      <c r="AS61" s="286">
        <f t="shared" ref="AS61:AS74" si="67">AV34*1.005</f>
        <v>-815.29217999999992</v>
      </c>
      <c r="AT61" s="286">
        <f t="shared" si="62"/>
        <v>0</v>
      </c>
      <c r="AU61" s="286">
        <f t="shared" si="62"/>
        <v>-487.84207499999991</v>
      </c>
      <c r="AV61" s="286">
        <f t="shared" si="62"/>
        <v>0</v>
      </c>
      <c r="AW61" s="286">
        <f t="shared" si="62"/>
        <v>-47.28937049999999</v>
      </c>
      <c r="AX61" s="202"/>
      <c r="AY61" s="201"/>
      <c r="AZ61" s="286">
        <f t="shared" ref="AZ61:AZ74" si="68">BC34*1.005</f>
        <v>-1111.9062217499998</v>
      </c>
      <c r="BA61" s="286">
        <f t="shared" si="63"/>
        <v>0</v>
      </c>
      <c r="BB61" s="286">
        <f t="shared" si="63"/>
        <v>0</v>
      </c>
      <c r="BC61" s="286">
        <f t="shared" si="63"/>
        <v>0</v>
      </c>
      <c r="BD61" s="286">
        <f t="shared" si="63"/>
        <v>0</v>
      </c>
      <c r="BE61" s="202"/>
      <c r="BF61" s="201"/>
      <c r="BG61" s="286">
        <f t="shared" ref="BG61:BG74" si="69">BJ34*1.005</f>
        <v>-424.46300624999986</v>
      </c>
      <c r="BH61" s="286">
        <f t="shared" si="64"/>
        <v>0</v>
      </c>
      <c r="BI61" s="286">
        <f t="shared" ref="BI61:BJ74" si="70">AJ34*1.005</f>
        <v>-1321.8702187499996</v>
      </c>
      <c r="BJ61" s="286">
        <f t="shared" si="70"/>
        <v>0</v>
      </c>
      <c r="BK61" s="286">
        <v>0</v>
      </c>
      <c r="BL61" s="202"/>
      <c r="BM61" s="206"/>
    </row>
    <row r="62" spans="1:16384" ht="12.75" customHeight="1">
      <c r="A62" s="88" t="s">
        <v>307</v>
      </c>
      <c r="B62" s="86"/>
      <c r="C62" s="86"/>
      <c r="D62" s="86"/>
      <c r="E62" s="86"/>
      <c r="F62" s="86"/>
      <c r="G62" s="87"/>
      <c r="H62" s="86"/>
      <c r="I62" s="86"/>
      <c r="J62" s="86"/>
      <c r="K62" s="86"/>
      <c r="L62" s="86"/>
      <c r="M62" s="87"/>
      <c r="N62" s="86"/>
      <c r="O62" s="86"/>
      <c r="P62" s="86"/>
      <c r="Q62" s="86"/>
      <c r="R62" s="86"/>
      <c r="S62" s="87"/>
      <c r="T62" s="86"/>
      <c r="U62" s="86"/>
      <c r="V62" s="86"/>
      <c r="W62" s="86"/>
      <c r="X62" s="86"/>
      <c r="Y62" s="87"/>
      <c r="Z62" s="86"/>
      <c r="AA62" s="86"/>
      <c r="AB62" s="86"/>
      <c r="AC62" s="86"/>
      <c r="AD62" s="86"/>
      <c r="AE62" s="87"/>
      <c r="AF62" s="86"/>
      <c r="AG62" s="86"/>
      <c r="AH62" s="206"/>
      <c r="AI62" s="286">
        <f t="shared" si="65"/>
        <v>-643.63843124999994</v>
      </c>
      <c r="AJ62" s="202"/>
      <c r="AK62" s="201"/>
      <c r="AL62" s="286">
        <f t="shared" si="66"/>
        <v>-431.60388299999988</v>
      </c>
      <c r="AM62" s="286">
        <f t="shared" si="66"/>
        <v>-79.07485724999998</v>
      </c>
      <c r="AN62" s="286">
        <f t="shared" si="66"/>
        <v>-84.296686499999993</v>
      </c>
      <c r="AO62" s="286">
        <f t="shared" si="66"/>
        <v>-3745.142399249999</v>
      </c>
      <c r="AP62" s="286">
        <f t="shared" si="66"/>
        <v>0</v>
      </c>
      <c r="AQ62" s="202"/>
      <c r="AR62" s="201"/>
      <c r="AS62" s="286">
        <f t="shared" si="67"/>
        <v>-1086.0495817499996</v>
      </c>
      <c r="AT62" s="286">
        <f t="shared" si="62"/>
        <v>-313.58246174999999</v>
      </c>
      <c r="AU62" s="286">
        <f t="shared" si="62"/>
        <v>-3336.5973869999993</v>
      </c>
      <c r="AV62" s="286">
        <f t="shared" si="62"/>
        <v>-680.27203799999984</v>
      </c>
      <c r="AW62" s="286">
        <f t="shared" si="62"/>
        <v>0</v>
      </c>
      <c r="AX62" s="202"/>
      <c r="AY62" s="201"/>
      <c r="AZ62" s="286">
        <f t="shared" si="68"/>
        <v>-753.19584299999985</v>
      </c>
      <c r="BA62" s="286">
        <f t="shared" si="63"/>
        <v>-145.32239699999997</v>
      </c>
      <c r="BB62" s="286">
        <f t="shared" si="63"/>
        <v>-397.67714324999997</v>
      </c>
      <c r="BC62" s="286">
        <f t="shared" si="63"/>
        <v>0</v>
      </c>
      <c r="BD62" s="286">
        <f t="shared" si="63"/>
        <v>0</v>
      </c>
      <c r="BE62" s="202"/>
      <c r="BF62" s="201"/>
      <c r="BG62" s="286">
        <f t="shared" si="69"/>
        <v>-642.41630099999986</v>
      </c>
      <c r="BH62" s="286">
        <f t="shared" si="64"/>
        <v>0</v>
      </c>
      <c r="BI62" s="286">
        <f t="shared" si="70"/>
        <v>-330.47007974999997</v>
      </c>
      <c r="BJ62" s="286">
        <f t="shared" si="70"/>
        <v>0</v>
      </c>
      <c r="BK62" s="286">
        <v>0</v>
      </c>
      <c r="BL62" s="202"/>
      <c r="BM62" s="206"/>
    </row>
    <row r="63" spans="1:16384" ht="12.75" customHeight="1">
      <c r="A63" s="88" t="s">
        <v>1022</v>
      </c>
      <c r="B63" s="86"/>
      <c r="C63" s="86"/>
      <c r="D63" s="86"/>
      <c r="E63" s="86"/>
      <c r="F63" s="86"/>
      <c r="G63" s="87"/>
      <c r="H63" s="86"/>
      <c r="I63" s="86"/>
      <c r="J63" s="86"/>
      <c r="K63" s="86"/>
      <c r="L63" s="86"/>
      <c r="M63" s="87"/>
      <c r="N63" s="86"/>
      <c r="O63" s="86"/>
      <c r="P63" s="86"/>
      <c r="Q63" s="86"/>
      <c r="R63" s="86"/>
      <c r="S63" s="87"/>
      <c r="T63" s="86"/>
      <c r="U63" s="86"/>
      <c r="V63" s="86"/>
      <c r="W63" s="86"/>
      <c r="X63" s="86"/>
      <c r="Y63" s="87"/>
      <c r="Z63" s="86"/>
      <c r="AA63" s="86"/>
      <c r="AB63" s="86"/>
      <c r="AC63" s="86"/>
      <c r="AD63" s="86"/>
      <c r="AE63" s="87"/>
      <c r="AF63" s="86"/>
      <c r="AG63" s="86"/>
      <c r="AH63" s="206"/>
      <c r="AI63" s="286">
        <f t="shared" si="65"/>
        <v>0</v>
      </c>
      <c r="AJ63" s="202"/>
      <c r="AK63" s="201"/>
      <c r="AL63" s="286">
        <f t="shared" si="66"/>
        <v>0</v>
      </c>
      <c r="AM63" s="286">
        <f t="shared" si="66"/>
        <v>0</v>
      </c>
      <c r="AN63" s="286">
        <f t="shared" si="66"/>
        <v>0</v>
      </c>
      <c r="AO63" s="286">
        <f t="shared" si="66"/>
        <v>0</v>
      </c>
      <c r="AP63" s="286">
        <f t="shared" si="66"/>
        <v>0</v>
      </c>
      <c r="AQ63" s="202"/>
      <c r="AR63" s="201"/>
      <c r="AS63" s="286">
        <f t="shared" si="67"/>
        <v>0</v>
      </c>
      <c r="AT63" s="286">
        <f t="shared" si="62"/>
        <v>0</v>
      </c>
      <c r="AU63" s="286">
        <f t="shared" si="62"/>
        <v>0</v>
      </c>
      <c r="AV63" s="286">
        <f t="shared" si="62"/>
        <v>0</v>
      </c>
      <c r="AW63" s="286">
        <f t="shared" si="62"/>
        <v>0</v>
      </c>
      <c r="AX63" s="202"/>
      <c r="AY63" s="201"/>
      <c r="AZ63" s="286">
        <f t="shared" si="68"/>
        <v>0</v>
      </c>
      <c r="BA63" s="286">
        <f t="shared" si="63"/>
        <v>0</v>
      </c>
      <c r="BB63" s="286">
        <f t="shared" si="63"/>
        <v>0</v>
      </c>
      <c r="BC63" s="286">
        <f t="shared" si="63"/>
        <v>0</v>
      </c>
      <c r="BD63" s="286">
        <f t="shared" si="63"/>
        <v>0</v>
      </c>
      <c r="BE63" s="202"/>
      <c r="BF63" s="201"/>
      <c r="BG63" s="286">
        <f t="shared" si="69"/>
        <v>0</v>
      </c>
      <c r="BH63" s="286">
        <f t="shared" si="64"/>
        <v>0</v>
      </c>
      <c r="BI63" s="286">
        <f t="shared" si="70"/>
        <v>-1359.4936499999997</v>
      </c>
      <c r="BJ63" s="286">
        <f t="shared" si="70"/>
        <v>0</v>
      </c>
      <c r="BK63" s="286">
        <v>0</v>
      </c>
      <c r="BL63" s="202"/>
      <c r="BM63" s="206"/>
    </row>
    <row r="64" spans="1:16384" ht="12.75" customHeight="1">
      <c r="A64" s="88" t="s">
        <v>994</v>
      </c>
      <c r="B64" s="86"/>
      <c r="C64" s="86"/>
      <c r="D64" s="86"/>
      <c r="E64" s="86"/>
      <c r="F64" s="86"/>
      <c r="G64" s="87"/>
      <c r="H64" s="86"/>
      <c r="I64" s="86"/>
      <c r="J64" s="86"/>
      <c r="K64" s="86"/>
      <c r="L64" s="86"/>
      <c r="M64" s="87"/>
      <c r="N64" s="86"/>
      <c r="O64" s="86"/>
      <c r="P64" s="86"/>
      <c r="Q64" s="86"/>
      <c r="R64" s="86"/>
      <c r="S64" s="87"/>
      <c r="T64" s="86"/>
      <c r="U64" s="86"/>
      <c r="V64" s="86"/>
      <c r="W64" s="86"/>
      <c r="X64" s="86"/>
      <c r="Y64" s="87"/>
      <c r="Z64" s="86"/>
      <c r="AA64" s="86"/>
      <c r="AB64" s="86"/>
      <c r="AC64" s="86"/>
      <c r="AD64" s="86"/>
      <c r="AE64" s="87"/>
      <c r="AF64" s="86"/>
      <c r="AG64" s="86"/>
      <c r="AH64" s="206"/>
      <c r="AI64" s="286">
        <f t="shared" si="65"/>
        <v>-1400.9046749999998</v>
      </c>
      <c r="AJ64" s="202"/>
      <c r="AK64" s="201"/>
      <c r="AL64" s="286">
        <f t="shared" si="66"/>
        <v>0</v>
      </c>
      <c r="AM64" s="286">
        <f t="shared" si="66"/>
        <v>0</v>
      </c>
      <c r="AN64" s="286">
        <f t="shared" si="66"/>
        <v>0</v>
      </c>
      <c r="AO64" s="286">
        <f t="shared" si="66"/>
        <v>0</v>
      </c>
      <c r="AP64" s="286">
        <f t="shared" si="66"/>
        <v>0</v>
      </c>
      <c r="AQ64" s="202"/>
      <c r="AR64" s="201"/>
      <c r="AS64" s="286">
        <f t="shared" si="67"/>
        <v>0</v>
      </c>
      <c r="AT64" s="286">
        <f t="shared" si="62"/>
        <v>0</v>
      </c>
      <c r="AU64" s="286">
        <f t="shared" si="62"/>
        <v>0</v>
      </c>
      <c r="AV64" s="286">
        <f t="shared" si="62"/>
        <v>0</v>
      </c>
      <c r="AW64" s="286">
        <f t="shared" si="62"/>
        <v>0</v>
      </c>
      <c r="AX64" s="202"/>
      <c r="AY64" s="201"/>
      <c r="AZ64" s="286">
        <f t="shared" si="68"/>
        <v>0</v>
      </c>
      <c r="BA64" s="286">
        <f t="shared" si="63"/>
        <v>0</v>
      </c>
      <c r="BB64" s="286">
        <f t="shared" si="63"/>
        <v>0</v>
      </c>
      <c r="BC64" s="286">
        <f t="shared" si="63"/>
        <v>0</v>
      </c>
      <c r="BD64" s="286">
        <f t="shared" si="63"/>
        <v>0</v>
      </c>
      <c r="BE64" s="202"/>
      <c r="BF64" s="201"/>
      <c r="BG64" s="286">
        <f t="shared" si="69"/>
        <v>0</v>
      </c>
      <c r="BH64" s="286">
        <f t="shared" si="64"/>
        <v>0</v>
      </c>
      <c r="BI64" s="286">
        <f t="shared" si="70"/>
        <v>0</v>
      </c>
      <c r="BJ64" s="286">
        <f t="shared" si="70"/>
        <v>0</v>
      </c>
      <c r="BK64" s="286">
        <v>0</v>
      </c>
      <c r="BL64" s="202"/>
      <c r="BM64" s="206"/>
    </row>
    <row r="65" spans="1:65" ht="12.75" customHeight="1">
      <c r="A65" s="88" t="s">
        <v>1036</v>
      </c>
      <c r="B65" s="86"/>
      <c r="C65" s="86"/>
      <c r="D65" s="86"/>
      <c r="E65" s="86"/>
      <c r="F65" s="86"/>
      <c r="G65" s="87"/>
      <c r="H65" s="86"/>
      <c r="I65" s="86"/>
      <c r="J65" s="86"/>
      <c r="K65" s="86"/>
      <c r="L65" s="86"/>
      <c r="M65" s="87"/>
      <c r="N65" s="86"/>
      <c r="O65" s="86"/>
      <c r="P65" s="86"/>
      <c r="Q65" s="86"/>
      <c r="R65" s="86"/>
      <c r="S65" s="87"/>
      <c r="T65" s="86"/>
      <c r="U65" s="86"/>
      <c r="V65" s="86"/>
      <c r="W65" s="86"/>
      <c r="X65" s="86"/>
      <c r="Y65" s="87"/>
      <c r="Z65" s="86"/>
      <c r="AA65" s="86"/>
      <c r="AB65" s="86"/>
      <c r="AC65" s="86"/>
      <c r="AD65" s="86"/>
      <c r="AE65" s="87"/>
      <c r="AF65" s="86"/>
      <c r="AG65" s="86"/>
      <c r="AH65" s="206"/>
      <c r="AI65" s="286">
        <f t="shared" si="65"/>
        <v>0</v>
      </c>
      <c r="AJ65" s="202"/>
      <c r="AK65" s="201"/>
      <c r="AL65" s="286">
        <f t="shared" si="66"/>
        <v>0</v>
      </c>
      <c r="AM65" s="286">
        <f t="shared" si="66"/>
        <v>0</v>
      </c>
      <c r="AN65" s="286">
        <f t="shared" si="66"/>
        <v>-3030.0749999999994</v>
      </c>
      <c r="AO65" s="286">
        <f t="shared" si="66"/>
        <v>0</v>
      </c>
      <c r="AP65" s="286">
        <f t="shared" si="66"/>
        <v>0</v>
      </c>
      <c r="AQ65" s="202"/>
      <c r="AR65" s="201"/>
      <c r="AS65" s="286">
        <f t="shared" si="67"/>
        <v>0</v>
      </c>
      <c r="AT65" s="286">
        <f t="shared" si="62"/>
        <v>0</v>
      </c>
      <c r="AU65" s="286">
        <f t="shared" si="62"/>
        <v>0</v>
      </c>
      <c r="AV65" s="286">
        <f t="shared" si="62"/>
        <v>0</v>
      </c>
      <c r="AW65" s="286">
        <f t="shared" si="62"/>
        <v>0</v>
      </c>
      <c r="AX65" s="202"/>
      <c r="AY65" s="201"/>
      <c r="AZ65" s="286">
        <f t="shared" si="68"/>
        <v>0</v>
      </c>
      <c r="BA65" s="286">
        <f t="shared" si="63"/>
        <v>0</v>
      </c>
      <c r="BB65" s="286">
        <f t="shared" si="63"/>
        <v>0</v>
      </c>
      <c r="BC65" s="286">
        <f t="shared" si="63"/>
        <v>0</v>
      </c>
      <c r="BD65" s="286">
        <f t="shared" si="63"/>
        <v>0</v>
      </c>
      <c r="BE65" s="202"/>
      <c r="BF65" s="201"/>
      <c r="BG65" s="286">
        <f t="shared" si="69"/>
        <v>0</v>
      </c>
      <c r="BH65" s="286">
        <f t="shared" si="64"/>
        <v>0</v>
      </c>
      <c r="BI65" s="286">
        <f t="shared" si="70"/>
        <v>0</v>
      </c>
      <c r="BJ65" s="286">
        <f t="shared" si="70"/>
        <v>0</v>
      </c>
      <c r="BK65" s="286">
        <v>0</v>
      </c>
      <c r="BL65" s="202"/>
      <c r="BM65" s="206"/>
    </row>
    <row r="66" spans="1:65" ht="12.75" customHeight="1">
      <c r="A66" s="88" t="s">
        <v>973</v>
      </c>
      <c r="B66" s="86"/>
      <c r="C66" s="86"/>
      <c r="D66" s="86"/>
      <c r="E66" s="86"/>
      <c r="F66" s="86"/>
      <c r="G66" s="87"/>
      <c r="H66" s="86"/>
      <c r="I66" s="86"/>
      <c r="J66" s="86"/>
      <c r="K66" s="86"/>
      <c r="L66" s="86"/>
      <c r="M66" s="87"/>
      <c r="N66" s="86"/>
      <c r="O66" s="86"/>
      <c r="P66" s="86"/>
      <c r="Q66" s="86"/>
      <c r="R66" s="86"/>
      <c r="S66" s="87"/>
      <c r="T66" s="86"/>
      <c r="U66" s="86"/>
      <c r="V66" s="86"/>
      <c r="W66" s="86"/>
      <c r="X66" s="86"/>
      <c r="Y66" s="87"/>
      <c r="Z66" s="86"/>
      <c r="AA66" s="86"/>
      <c r="AB66" s="86"/>
      <c r="AC66" s="86"/>
      <c r="AD66" s="86"/>
      <c r="AE66" s="87"/>
      <c r="AF66" s="86"/>
      <c r="AG66" s="86"/>
      <c r="AH66" s="206"/>
      <c r="AI66" s="286">
        <f t="shared" si="65"/>
        <v>0</v>
      </c>
      <c r="AJ66" s="202"/>
      <c r="AK66" s="201"/>
      <c r="AL66" s="286">
        <f t="shared" si="66"/>
        <v>0</v>
      </c>
      <c r="AM66" s="286">
        <f t="shared" si="66"/>
        <v>0</v>
      </c>
      <c r="AN66" s="286">
        <f t="shared" si="66"/>
        <v>0</v>
      </c>
      <c r="AO66" s="286">
        <f t="shared" si="66"/>
        <v>0</v>
      </c>
      <c r="AP66" s="286">
        <f t="shared" si="66"/>
        <v>0</v>
      </c>
      <c r="AQ66" s="202"/>
      <c r="AR66" s="201"/>
      <c r="AS66" s="286">
        <f t="shared" si="67"/>
        <v>-27.553481999999995</v>
      </c>
      <c r="AT66" s="286">
        <f t="shared" si="62"/>
        <v>0</v>
      </c>
      <c r="AU66" s="286">
        <f t="shared" si="62"/>
        <v>0</v>
      </c>
      <c r="AV66" s="286">
        <f t="shared" si="62"/>
        <v>0</v>
      </c>
      <c r="AW66" s="286">
        <f t="shared" si="62"/>
        <v>0</v>
      </c>
      <c r="AX66" s="202"/>
      <c r="AY66" s="201"/>
      <c r="AZ66" s="286">
        <f t="shared" si="68"/>
        <v>0</v>
      </c>
      <c r="BA66" s="286">
        <f t="shared" si="63"/>
        <v>0</v>
      </c>
      <c r="BB66" s="286">
        <f t="shared" si="63"/>
        <v>0</v>
      </c>
      <c r="BC66" s="286">
        <f t="shared" si="63"/>
        <v>0</v>
      </c>
      <c r="BD66" s="286">
        <f t="shared" si="63"/>
        <v>0</v>
      </c>
      <c r="BE66" s="202"/>
      <c r="BF66" s="201"/>
      <c r="BG66" s="286">
        <f t="shared" si="69"/>
        <v>0</v>
      </c>
      <c r="BH66" s="286">
        <f t="shared" si="64"/>
        <v>0</v>
      </c>
      <c r="BI66" s="286">
        <f t="shared" si="70"/>
        <v>0</v>
      </c>
      <c r="BJ66" s="286">
        <f t="shared" si="70"/>
        <v>0</v>
      </c>
      <c r="BK66" s="286">
        <v>0</v>
      </c>
      <c r="BL66" s="202"/>
      <c r="BM66" s="206"/>
    </row>
    <row r="67" spans="1:65" ht="12.75" customHeight="1">
      <c r="A67" s="88" t="s">
        <v>1023</v>
      </c>
      <c r="B67" s="86"/>
      <c r="C67" s="86"/>
      <c r="D67" s="86"/>
      <c r="E67" s="86"/>
      <c r="F67" s="86"/>
      <c r="G67" s="87"/>
      <c r="H67" s="86"/>
      <c r="I67" s="86"/>
      <c r="J67" s="86"/>
      <c r="K67" s="86"/>
      <c r="L67" s="86"/>
      <c r="M67" s="87"/>
      <c r="N67" s="86"/>
      <c r="O67" s="86"/>
      <c r="P67" s="86"/>
      <c r="Q67" s="86"/>
      <c r="R67" s="86"/>
      <c r="S67" s="87"/>
      <c r="T67" s="86"/>
      <c r="U67" s="86"/>
      <c r="V67" s="86"/>
      <c r="W67" s="86"/>
      <c r="X67" s="86"/>
      <c r="Y67" s="87"/>
      <c r="Z67" s="86"/>
      <c r="AA67" s="86"/>
      <c r="AB67" s="86"/>
      <c r="AC67" s="86"/>
      <c r="AD67" s="86"/>
      <c r="AE67" s="87"/>
      <c r="AF67" s="86"/>
      <c r="AG67" s="86"/>
      <c r="AH67" s="206"/>
      <c r="AI67" s="286">
        <f t="shared" si="65"/>
        <v>0</v>
      </c>
      <c r="AJ67" s="202"/>
      <c r="AK67" s="201"/>
      <c r="AL67" s="286">
        <f t="shared" si="66"/>
        <v>0</v>
      </c>
      <c r="AM67" s="286">
        <f t="shared" si="66"/>
        <v>-202.00499999999994</v>
      </c>
      <c r="AN67" s="286">
        <f t="shared" si="66"/>
        <v>0</v>
      </c>
      <c r="AO67" s="286">
        <f t="shared" si="66"/>
        <v>0</v>
      </c>
      <c r="AP67" s="286">
        <f t="shared" si="66"/>
        <v>0</v>
      </c>
      <c r="AQ67" s="202"/>
      <c r="AR67" s="201"/>
      <c r="AS67" s="286">
        <f t="shared" si="67"/>
        <v>-181.34998874999997</v>
      </c>
      <c r="AT67" s="286">
        <f t="shared" si="62"/>
        <v>0</v>
      </c>
      <c r="AU67" s="286">
        <f t="shared" si="62"/>
        <v>-165.64409999999998</v>
      </c>
      <c r="AV67" s="286">
        <f t="shared" si="62"/>
        <v>0</v>
      </c>
      <c r="AW67" s="286">
        <f t="shared" si="62"/>
        <v>0</v>
      </c>
      <c r="AX67" s="202"/>
      <c r="AY67" s="201"/>
      <c r="AZ67" s="286">
        <f t="shared" si="68"/>
        <v>-813.07012499999973</v>
      </c>
      <c r="BA67" s="286">
        <f t="shared" si="63"/>
        <v>0</v>
      </c>
      <c r="BB67" s="286">
        <f t="shared" si="63"/>
        <v>0</v>
      </c>
      <c r="BC67" s="286">
        <f t="shared" si="63"/>
        <v>0</v>
      </c>
      <c r="BD67" s="286">
        <f t="shared" si="63"/>
        <v>0</v>
      </c>
      <c r="BE67" s="202"/>
      <c r="BF67" s="201"/>
      <c r="BG67" s="286">
        <f t="shared" si="69"/>
        <v>0</v>
      </c>
      <c r="BH67" s="286">
        <f t="shared" si="64"/>
        <v>0</v>
      </c>
      <c r="BI67" s="286">
        <f t="shared" si="70"/>
        <v>0</v>
      </c>
      <c r="BJ67" s="286">
        <f t="shared" si="70"/>
        <v>0</v>
      </c>
      <c r="BK67" s="286">
        <v>0</v>
      </c>
      <c r="BL67" s="202"/>
      <c r="BM67" s="206"/>
    </row>
    <row r="68" spans="1:65" ht="12.75" customHeight="1">
      <c r="A68" s="88" t="s">
        <v>1024</v>
      </c>
      <c r="B68" s="86"/>
      <c r="C68" s="86"/>
      <c r="D68" s="86"/>
      <c r="E68" s="86"/>
      <c r="F68" s="86"/>
      <c r="G68" s="87"/>
      <c r="H68" s="86"/>
      <c r="I68" s="86"/>
      <c r="J68" s="86"/>
      <c r="K68" s="86"/>
      <c r="L68" s="86"/>
      <c r="M68" s="87"/>
      <c r="N68" s="86"/>
      <c r="O68" s="86"/>
      <c r="P68" s="86"/>
      <c r="Q68" s="86"/>
      <c r="R68" s="86"/>
      <c r="S68" s="87"/>
      <c r="T68" s="86"/>
      <c r="U68" s="86"/>
      <c r="V68" s="86"/>
      <c r="W68" s="86"/>
      <c r="X68" s="86"/>
      <c r="Y68" s="87"/>
      <c r="Z68" s="86"/>
      <c r="AA68" s="86"/>
      <c r="AB68" s="86"/>
      <c r="AC68" s="86"/>
      <c r="AD68" s="86"/>
      <c r="AE68" s="87"/>
      <c r="AF68" s="86"/>
      <c r="AG68" s="86"/>
      <c r="AH68" s="206"/>
      <c r="AI68" s="286">
        <f t="shared" si="65"/>
        <v>0</v>
      </c>
      <c r="AJ68" s="202"/>
      <c r="AK68" s="201"/>
      <c r="AL68" s="286">
        <f t="shared" si="66"/>
        <v>0</v>
      </c>
      <c r="AM68" s="286">
        <f t="shared" si="66"/>
        <v>0</v>
      </c>
      <c r="AN68" s="286">
        <f t="shared" si="66"/>
        <v>0</v>
      </c>
      <c r="AO68" s="286">
        <f t="shared" si="66"/>
        <v>0</v>
      </c>
      <c r="AP68" s="286">
        <f t="shared" si="66"/>
        <v>0</v>
      </c>
      <c r="AQ68" s="202"/>
      <c r="AR68" s="201"/>
      <c r="AS68" s="286">
        <f t="shared" si="67"/>
        <v>-606.01499999999987</v>
      </c>
      <c r="AT68" s="286">
        <f t="shared" si="62"/>
        <v>0</v>
      </c>
      <c r="AU68" s="286">
        <f t="shared" si="62"/>
        <v>0</v>
      </c>
      <c r="AV68" s="286">
        <f t="shared" si="62"/>
        <v>0</v>
      </c>
      <c r="AW68" s="286">
        <f t="shared" si="62"/>
        <v>0</v>
      </c>
      <c r="AX68" s="202"/>
      <c r="AY68" s="201"/>
      <c r="AZ68" s="286">
        <f t="shared" si="68"/>
        <v>0</v>
      </c>
      <c r="BA68" s="286">
        <f t="shared" si="63"/>
        <v>-74.832752249999984</v>
      </c>
      <c r="BB68" s="286">
        <f t="shared" si="63"/>
        <v>0</v>
      </c>
      <c r="BC68" s="286">
        <f t="shared" si="63"/>
        <v>0</v>
      </c>
      <c r="BD68" s="286">
        <f t="shared" si="63"/>
        <v>0</v>
      </c>
      <c r="BE68" s="202"/>
      <c r="BF68" s="201"/>
      <c r="BG68" s="286">
        <f t="shared" si="69"/>
        <v>0</v>
      </c>
      <c r="BH68" s="286">
        <f t="shared" si="64"/>
        <v>0</v>
      </c>
      <c r="BI68" s="286">
        <f t="shared" si="70"/>
        <v>0</v>
      </c>
      <c r="BJ68" s="286">
        <f t="shared" si="70"/>
        <v>0</v>
      </c>
      <c r="BK68" s="286">
        <v>0</v>
      </c>
      <c r="BL68" s="202"/>
      <c r="BM68" s="206"/>
    </row>
    <row r="69" spans="1:65" ht="12.75" customHeight="1">
      <c r="A69" s="88" t="s">
        <v>988</v>
      </c>
      <c r="B69" s="86"/>
      <c r="C69" s="86"/>
      <c r="D69" s="86"/>
      <c r="E69" s="86"/>
      <c r="F69" s="86"/>
      <c r="G69" s="87"/>
      <c r="H69" s="86"/>
      <c r="I69" s="86"/>
      <c r="J69" s="86"/>
      <c r="K69" s="86"/>
      <c r="L69" s="86"/>
      <c r="M69" s="87"/>
      <c r="N69" s="86"/>
      <c r="O69" s="86"/>
      <c r="P69" s="86"/>
      <c r="Q69" s="86"/>
      <c r="R69" s="86"/>
      <c r="S69" s="87"/>
      <c r="T69" s="86"/>
      <c r="U69" s="86"/>
      <c r="V69" s="86"/>
      <c r="W69" s="86"/>
      <c r="X69" s="86"/>
      <c r="Y69" s="87"/>
      <c r="Z69" s="86"/>
      <c r="AA69" s="86"/>
      <c r="AB69" s="86"/>
      <c r="AC69" s="86"/>
      <c r="AD69" s="86"/>
      <c r="AE69" s="87"/>
      <c r="AF69" s="86"/>
      <c r="AG69" s="86"/>
      <c r="AH69" s="206"/>
      <c r="AI69" s="286">
        <f t="shared" si="65"/>
        <v>0</v>
      </c>
      <c r="AJ69" s="202"/>
      <c r="AK69" s="201"/>
      <c r="AL69" s="286">
        <f t="shared" si="66"/>
        <v>0</v>
      </c>
      <c r="AM69" s="286">
        <f t="shared" si="66"/>
        <v>0</v>
      </c>
      <c r="AN69" s="286">
        <f t="shared" si="66"/>
        <v>0</v>
      </c>
      <c r="AO69" s="286">
        <f t="shared" si="66"/>
        <v>0</v>
      </c>
      <c r="AP69" s="286">
        <f t="shared" si="66"/>
        <v>0</v>
      </c>
      <c r="AQ69" s="202"/>
      <c r="AR69" s="201"/>
      <c r="AS69" s="286">
        <f t="shared" si="67"/>
        <v>0</v>
      </c>
      <c r="AT69" s="286">
        <f t="shared" si="62"/>
        <v>0</v>
      </c>
      <c r="AU69" s="286">
        <f t="shared" si="62"/>
        <v>0</v>
      </c>
      <c r="AV69" s="286">
        <f t="shared" si="62"/>
        <v>0</v>
      </c>
      <c r="AW69" s="286">
        <f t="shared" si="62"/>
        <v>0</v>
      </c>
      <c r="AX69" s="202"/>
      <c r="AY69" s="201"/>
      <c r="AZ69" s="286">
        <f t="shared" si="68"/>
        <v>0</v>
      </c>
      <c r="BA69" s="286">
        <f t="shared" si="63"/>
        <v>0</v>
      </c>
      <c r="BB69" s="286">
        <f t="shared" si="63"/>
        <v>0</v>
      </c>
      <c r="BC69" s="286">
        <f t="shared" si="63"/>
        <v>0</v>
      </c>
      <c r="BD69" s="286">
        <f t="shared" si="63"/>
        <v>0</v>
      </c>
      <c r="BE69" s="202"/>
      <c r="BF69" s="201"/>
      <c r="BG69" s="286">
        <f t="shared" si="69"/>
        <v>-2525.0624999999991</v>
      </c>
      <c r="BH69" s="286">
        <f t="shared" si="64"/>
        <v>0</v>
      </c>
      <c r="BI69" s="286">
        <f t="shared" si="70"/>
        <v>0</v>
      </c>
      <c r="BJ69" s="286">
        <f t="shared" si="70"/>
        <v>-3139.1678002499993</v>
      </c>
      <c r="BK69" s="286">
        <v>0</v>
      </c>
      <c r="BL69" s="202"/>
      <c r="BM69" s="206"/>
    </row>
    <row r="70" spans="1:65" ht="12.75" customHeight="1">
      <c r="A70" s="88" t="s">
        <v>271</v>
      </c>
      <c r="B70" s="86"/>
      <c r="C70" s="86"/>
      <c r="D70" s="86"/>
      <c r="E70" s="86"/>
      <c r="F70" s="86"/>
      <c r="G70" s="87"/>
      <c r="H70" s="86"/>
      <c r="I70" s="86"/>
      <c r="J70" s="86"/>
      <c r="K70" s="86"/>
      <c r="L70" s="86"/>
      <c r="M70" s="87"/>
      <c r="N70" s="86"/>
      <c r="O70" s="86"/>
      <c r="P70" s="86"/>
      <c r="Q70" s="86"/>
      <c r="R70" s="86"/>
      <c r="S70" s="87"/>
      <c r="T70" s="86"/>
      <c r="U70" s="86"/>
      <c r="V70" s="86"/>
      <c r="W70" s="86"/>
      <c r="X70" s="86"/>
      <c r="Y70" s="87"/>
      <c r="Z70" s="86"/>
      <c r="AA70" s="86"/>
      <c r="AB70" s="86"/>
      <c r="AC70" s="86"/>
      <c r="AD70" s="86"/>
      <c r="AE70" s="87"/>
      <c r="AF70" s="86"/>
      <c r="AG70" s="86"/>
      <c r="AH70" s="206"/>
      <c r="AI70" s="286">
        <f t="shared" si="65"/>
        <v>1265.7936307499999</v>
      </c>
      <c r="AJ70" s="202"/>
      <c r="AK70" s="201"/>
      <c r="AL70" s="286">
        <f t="shared" si="66"/>
        <v>1538.1266714999997</v>
      </c>
      <c r="AM70" s="286">
        <f t="shared" si="66"/>
        <v>1634.6042594999999</v>
      </c>
      <c r="AN70" s="286">
        <f t="shared" si="66"/>
        <v>238.55780474999995</v>
      </c>
      <c r="AO70" s="286">
        <f t="shared" si="66"/>
        <v>2446.8663644999992</v>
      </c>
      <c r="AP70" s="286">
        <f t="shared" si="66"/>
        <v>1434.7405124999996</v>
      </c>
      <c r="AQ70" s="202"/>
      <c r="AR70" s="201"/>
      <c r="AS70" s="286">
        <f t="shared" si="67"/>
        <v>4847.2513784999992</v>
      </c>
      <c r="AT70" s="286">
        <f t="shared" si="62"/>
        <v>497.41711199999992</v>
      </c>
      <c r="AU70" s="286">
        <f t="shared" si="62"/>
        <v>1522.1783767499999</v>
      </c>
      <c r="AV70" s="286">
        <f t="shared" si="62"/>
        <v>2749.4395537499995</v>
      </c>
      <c r="AW70" s="286">
        <f t="shared" si="62"/>
        <v>1570.5989752499995</v>
      </c>
      <c r="AX70" s="202"/>
      <c r="AY70" s="201"/>
      <c r="AZ70" s="286">
        <f t="shared" si="68"/>
        <v>4793.7402539999985</v>
      </c>
      <c r="BA70" s="286">
        <f t="shared" si="63"/>
        <v>361.31624324999996</v>
      </c>
      <c r="BB70" s="286">
        <f t="shared" si="63"/>
        <v>1633.2306254999996</v>
      </c>
      <c r="BC70" s="286">
        <f t="shared" si="63"/>
        <v>0</v>
      </c>
      <c r="BD70" s="286">
        <f t="shared" si="63"/>
        <v>0</v>
      </c>
      <c r="BE70" s="202"/>
      <c r="BF70" s="201"/>
      <c r="BG70" s="286">
        <f t="shared" si="69"/>
        <v>5208.3959175</v>
      </c>
      <c r="BH70" s="286">
        <f t="shared" si="64"/>
        <v>0</v>
      </c>
      <c r="BI70" s="286">
        <f t="shared" si="70"/>
        <v>1728.3648802499997</v>
      </c>
      <c r="BJ70" s="286">
        <f t="shared" si="70"/>
        <v>884.88290249999977</v>
      </c>
      <c r="BK70" s="286">
        <v>0</v>
      </c>
      <c r="BL70" s="202"/>
      <c r="BM70" s="206"/>
    </row>
    <row r="71" spans="1:65" ht="12.75" customHeight="1">
      <c r="A71" s="88" t="s">
        <v>1025</v>
      </c>
      <c r="B71" s="88"/>
      <c r="C71" s="88"/>
      <c r="D71" s="88"/>
      <c r="E71" s="88"/>
      <c r="F71" s="88"/>
      <c r="G71" s="89"/>
      <c r="H71" s="88"/>
      <c r="I71" s="88"/>
      <c r="J71" s="88"/>
      <c r="K71" s="88"/>
      <c r="L71" s="350"/>
      <c r="M71" s="89"/>
      <c r="N71" s="88"/>
      <c r="O71" s="88"/>
      <c r="P71" s="88"/>
      <c r="Q71" s="88"/>
      <c r="R71" s="88"/>
      <c r="S71" s="89"/>
      <c r="T71" s="88"/>
      <c r="U71" s="88"/>
      <c r="V71" s="88"/>
      <c r="W71" s="88"/>
      <c r="X71" s="88"/>
      <c r="Y71" s="89"/>
      <c r="Z71" s="88"/>
      <c r="AA71" s="88"/>
      <c r="AB71" s="88"/>
      <c r="AC71" s="88"/>
      <c r="AD71" s="88"/>
      <c r="AE71" s="89"/>
      <c r="AF71" s="88"/>
      <c r="AG71" s="88"/>
      <c r="AH71" s="207"/>
      <c r="AI71" s="286">
        <f t="shared" si="65"/>
        <v>0</v>
      </c>
      <c r="AJ71" s="202"/>
      <c r="AK71" s="201"/>
      <c r="AL71" s="286">
        <f t="shared" si="66"/>
        <v>0</v>
      </c>
      <c r="AM71" s="286">
        <f t="shared" si="66"/>
        <v>0</v>
      </c>
      <c r="AN71" s="286">
        <f t="shared" si="66"/>
        <v>0</v>
      </c>
      <c r="AO71" s="286">
        <f t="shared" si="66"/>
        <v>0</v>
      </c>
      <c r="AP71" s="286">
        <f t="shared" si="66"/>
        <v>0</v>
      </c>
      <c r="AQ71" s="202"/>
      <c r="AR71" s="201"/>
      <c r="AS71" s="286">
        <f t="shared" si="67"/>
        <v>0</v>
      </c>
      <c r="AT71" s="286">
        <f t="shared" si="62"/>
        <v>-2159.4334499999995</v>
      </c>
      <c r="AU71" s="286">
        <f t="shared" si="62"/>
        <v>0</v>
      </c>
      <c r="AV71" s="286">
        <f t="shared" si="62"/>
        <v>0</v>
      </c>
      <c r="AW71" s="286">
        <f t="shared" si="62"/>
        <v>0</v>
      </c>
      <c r="AX71" s="202"/>
      <c r="AY71" s="201"/>
      <c r="AZ71" s="286">
        <f t="shared" si="68"/>
        <v>0</v>
      </c>
      <c r="BA71" s="286">
        <f t="shared" si="63"/>
        <v>0</v>
      </c>
      <c r="BB71" s="286">
        <f t="shared" si="63"/>
        <v>0</v>
      </c>
      <c r="BC71" s="286">
        <f t="shared" si="63"/>
        <v>0</v>
      </c>
      <c r="BD71" s="286">
        <f t="shared" si="63"/>
        <v>0</v>
      </c>
      <c r="BE71" s="202"/>
      <c r="BF71" s="201"/>
      <c r="BG71" s="286">
        <f t="shared" si="69"/>
        <v>0</v>
      </c>
      <c r="BH71" s="286">
        <f t="shared" si="64"/>
        <v>0</v>
      </c>
      <c r="BI71" s="286">
        <f t="shared" si="70"/>
        <v>0</v>
      </c>
      <c r="BJ71" s="286">
        <f t="shared" si="70"/>
        <v>0</v>
      </c>
      <c r="BK71" s="286">
        <v>0</v>
      </c>
      <c r="BL71" s="202"/>
      <c r="BM71" s="206"/>
    </row>
    <row r="72" spans="1:65" ht="12.75" customHeight="1">
      <c r="A72" s="88" t="s">
        <v>977</v>
      </c>
      <c r="B72" s="88"/>
      <c r="C72" s="88"/>
      <c r="D72" s="88"/>
      <c r="E72" s="88"/>
      <c r="F72" s="88"/>
      <c r="G72" s="89"/>
      <c r="H72" s="88"/>
      <c r="I72" s="88"/>
      <c r="J72" s="88"/>
      <c r="K72" s="88"/>
      <c r="L72" s="351"/>
      <c r="M72" s="89"/>
      <c r="N72" s="88"/>
      <c r="O72" s="88"/>
      <c r="P72" s="88"/>
      <c r="Q72" s="88"/>
      <c r="R72" s="88"/>
      <c r="S72" s="89"/>
      <c r="T72" s="88"/>
      <c r="U72" s="88"/>
      <c r="V72" s="88"/>
      <c r="W72" s="88"/>
      <c r="X72" s="88"/>
      <c r="Y72" s="89"/>
      <c r="Z72" s="88"/>
      <c r="AA72" s="88"/>
      <c r="AB72" s="88"/>
      <c r="AC72" s="88"/>
      <c r="AD72" s="88"/>
      <c r="AE72" s="89"/>
      <c r="AF72" s="88"/>
      <c r="AG72" s="88"/>
      <c r="AH72" s="207"/>
      <c r="AI72" s="286">
        <f t="shared" si="65"/>
        <v>0</v>
      </c>
      <c r="AJ72" s="202"/>
      <c r="AK72" s="201"/>
      <c r="AL72" s="286">
        <f t="shared" si="66"/>
        <v>-50.046738749999989</v>
      </c>
      <c r="AM72" s="286">
        <f t="shared" si="66"/>
        <v>0</v>
      </c>
      <c r="AN72" s="286">
        <f t="shared" si="66"/>
        <v>0</v>
      </c>
      <c r="AO72" s="286">
        <f t="shared" si="66"/>
        <v>0</v>
      </c>
      <c r="AP72" s="286">
        <f t="shared" si="66"/>
        <v>0</v>
      </c>
      <c r="AQ72" s="202"/>
      <c r="AR72" s="201"/>
      <c r="AS72" s="286">
        <f t="shared" si="67"/>
        <v>0</v>
      </c>
      <c r="AT72" s="286">
        <f t="shared" si="62"/>
        <v>0</v>
      </c>
      <c r="AU72" s="286">
        <f t="shared" si="62"/>
        <v>0</v>
      </c>
      <c r="AV72" s="286">
        <f t="shared" si="62"/>
        <v>0</v>
      </c>
      <c r="AW72" s="286">
        <f t="shared" si="62"/>
        <v>0</v>
      </c>
      <c r="AX72" s="202"/>
      <c r="AY72" s="201"/>
      <c r="AZ72" s="286">
        <f t="shared" si="68"/>
        <v>-75.751874999999984</v>
      </c>
      <c r="BA72" s="286">
        <f t="shared" si="63"/>
        <v>0</v>
      </c>
      <c r="BB72" s="286">
        <f t="shared" si="63"/>
        <v>0</v>
      </c>
      <c r="BC72" s="286">
        <f t="shared" si="63"/>
        <v>0</v>
      </c>
      <c r="BD72" s="286">
        <f t="shared" si="63"/>
        <v>0</v>
      </c>
      <c r="BE72" s="202"/>
      <c r="BF72" s="201"/>
      <c r="BG72" s="286">
        <f t="shared" si="69"/>
        <v>-69.903830249999984</v>
      </c>
      <c r="BH72" s="286">
        <f t="shared" si="64"/>
        <v>0</v>
      </c>
      <c r="BI72" s="286">
        <f t="shared" si="70"/>
        <v>0</v>
      </c>
      <c r="BJ72" s="286">
        <f t="shared" si="70"/>
        <v>0</v>
      </c>
      <c r="BK72" s="286">
        <v>0</v>
      </c>
      <c r="BL72" s="202"/>
      <c r="BM72" s="206"/>
    </row>
    <row r="73" spans="1:65" ht="12.75" customHeight="1">
      <c r="A73" s="88" t="s">
        <v>1026</v>
      </c>
      <c r="B73" s="88"/>
      <c r="C73" s="88"/>
      <c r="D73" s="88"/>
      <c r="E73" s="88"/>
      <c r="F73" s="88"/>
      <c r="G73" s="89"/>
      <c r="H73" s="88"/>
      <c r="I73" s="88"/>
      <c r="J73" s="88"/>
      <c r="K73" s="88"/>
      <c r="L73" s="351"/>
      <c r="M73" s="89"/>
      <c r="N73" s="88"/>
      <c r="O73" s="88"/>
      <c r="P73" s="88"/>
      <c r="Q73" s="88"/>
      <c r="R73" s="88"/>
      <c r="S73" s="89"/>
      <c r="T73" s="88"/>
      <c r="U73" s="88"/>
      <c r="V73" s="88"/>
      <c r="W73" s="88"/>
      <c r="X73" s="88"/>
      <c r="Y73" s="89"/>
      <c r="Z73" s="88"/>
      <c r="AA73" s="88"/>
      <c r="AB73" s="88"/>
      <c r="AC73" s="88"/>
      <c r="AD73" s="88"/>
      <c r="AE73" s="89"/>
      <c r="AF73" s="88"/>
      <c r="AG73" s="88"/>
      <c r="AH73" s="207"/>
      <c r="AI73" s="286">
        <f t="shared" si="65"/>
        <v>0</v>
      </c>
      <c r="AJ73" s="202"/>
      <c r="AK73" s="201"/>
      <c r="AL73" s="286">
        <f t="shared" si="66"/>
        <v>0</v>
      </c>
      <c r="AM73" s="286">
        <f t="shared" si="66"/>
        <v>0</v>
      </c>
      <c r="AN73" s="286">
        <f t="shared" si="66"/>
        <v>0</v>
      </c>
      <c r="AO73" s="286">
        <f t="shared" si="66"/>
        <v>0</v>
      </c>
      <c r="AP73" s="286">
        <f t="shared" si="66"/>
        <v>0</v>
      </c>
      <c r="AQ73" s="202"/>
      <c r="AR73" s="201"/>
      <c r="AS73" s="286">
        <f t="shared" si="67"/>
        <v>0</v>
      </c>
      <c r="AT73" s="286">
        <f t="shared" si="62"/>
        <v>0</v>
      </c>
      <c r="AU73" s="286">
        <f t="shared" si="62"/>
        <v>0</v>
      </c>
      <c r="AV73" s="286">
        <f t="shared" si="62"/>
        <v>0</v>
      </c>
      <c r="AW73" s="286">
        <f t="shared" si="62"/>
        <v>0</v>
      </c>
      <c r="AX73" s="202"/>
      <c r="AY73" s="201"/>
      <c r="AZ73" s="286">
        <f t="shared" si="68"/>
        <v>0</v>
      </c>
      <c r="BA73" s="286">
        <f t="shared" si="63"/>
        <v>0</v>
      </c>
      <c r="BB73" s="286">
        <f t="shared" si="63"/>
        <v>0</v>
      </c>
      <c r="BC73" s="286">
        <f t="shared" si="63"/>
        <v>0</v>
      </c>
      <c r="BD73" s="286">
        <f t="shared" si="63"/>
        <v>0</v>
      </c>
      <c r="BE73" s="202"/>
      <c r="BF73" s="201"/>
      <c r="BG73" s="286">
        <f t="shared" si="69"/>
        <v>20.200499999999995</v>
      </c>
      <c r="BH73" s="286">
        <f t="shared" si="64"/>
        <v>0</v>
      </c>
      <c r="BI73" s="286">
        <f t="shared" si="70"/>
        <v>0</v>
      </c>
      <c r="BJ73" s="286">
        <f t="shared" si="70"/>
        <v>0</v>
      </c>
      <c r="BK73" s="286">
        <v>0</v>
      </c>
      <c r="BL73" s="202"/>
      <c r="BM73" s="206"/>
    </row>
    <row r="74" spans="1:65" ht="12.75" customHeight="1">
      <c r="A74" s="88" t="s">
        <v>1027</v>
      </c>
      <c r="B74" s="88"/>
      <c r="C74" s="88"/>
      <c r="D74" s="88"/>
      <c r="E74" s="88"/>
      <c r="F74" s="88"/>
      <c r="G74" s="89"/>
      <c r="H74" s="88"/>
      <c r="I74" s="88"/>
      <c r="J74" s="88"/>
      <c r="K74" s="88"/>
      <c r="L74" s="351"/>
      <c r="M74" s="89"/>
      <c r="N74" s="88"/>
      <c r="O74" s="88"/>
      <c r="P74" s="88"/>
      <c r="Q74" s="88"/>
      <c r="R74" s="88"/>
      <c r="S74" s="89"/>
      <c r="T74" s="88"/>
      <c r="U74" s="88"/>
      <c r="V74" s="88"/>
      <c r="W74" s="88"/>
      <c r="X74" s="88"/>
      <c r="Y74" s="89"/>
      <c r="Z74" s="88"/>
      <c r="AA74" s="88"/>
      <c r="AB74" s="88"/>
      <c r="AC74" s="88"/>
      <c r="AD74" s="88"/>
      <c r="AE74" s="89"/>
      <c r="AF74" s="88"/>
      <c r="AG74" s="88"/>
      <c r="AH74" s="207"/>
      <c r="AI74" s="286">
        <f t="shared" si="65"/>
        <v>0</v>
      </c>
      <c r="AJ74" s="202"/>
      <c r="AK74" s="201"/>
      <c r="AL74" s="286">
        <f t="shared" si="66"/>
        <v>0</v>
      </c>
      <c r="AM74" s="286">
        <f t="shared" si="66"/>
        <v>0</v>
      </c>
      <c r="AN74" s="286">
        <f t="shared" si="66"/>
        <v>0</v>
      </c>
      <c r="AO74" s="286">
        <f t="shared" si="66"/>
        <v>0</v>
      </c>
      <c r="AP74" s="286">
        <f t="shared" si="66"/>
        <v>0</v>
      </c>
      <c r="AQ74" s="202"/>
      <c r="AR74" s="201"/>
      <c r="AS74" s="286">
        <f t="shared" si="67"/>
        <v>0</v>
      </c>
      <c r="AT74" s="286">
        <f t="shared" si="62"/>
        <v>0</v>
      </c>
      <c r="AU74" s="286">
        <f t="shared" si="62"/>
        <v>0</v>
      </c>
      <c r="AV74" s="286">
        <f t="shared" si="62"/>
        <v>0</v>
      </c>
      <c r="AW74" s="286">
        <f t="shared" si="62"/>
        <v>0</v>
      </c>
      <c r="AX74" s="202"/>
      <c r="AY74" s="201"/>
      <c r="AZ74" s="286">
        <f t="shared" si="68"/>
        <v>-40.400999999999989</v>
      </c>
      <c r="BA74" s="286">
        <f t="shared" si="63"/>
        <v>0</v>
      </c>
      <c r="BB74" s="286">
        <f t="shared" si="63"/>
        <v>0</v>
      </c>
      <c r="BC74" s="286">
        <f t="shared" si="63"/>
        <v>0</v>
      </c>
      <c r="BD74" s="286">
        <f t="shared" si="63"/>
        <v>0</v>
      </c>
      <c r="BE74" s="202"/>
      <c r="BF74" s="201"/>
      <c r="BG74" s="286">
        <f t="shared" si="69"/>
        <v>-194.61161699999997</v>
      </c>
      <c r="BH74" s="286">
        <f t="shared" si="64"/>
        <v>0</v>
      </c>
      <c r="BI74" s="286">
        <f t="shared" si="70"/>
        <v>0</v>
      </c>
      <c r="BJ74" s="286">
        <f t="shared" si="70"/>
        <v>0</v>
      </c>
      <c r="BK74" s="286">
        <v>0</v>
      </c>
      <c r="BL74" s="202"/>
      <c r="BM74" s="206"/>
    </row>
    <row r="75" spans="1:65" ht="13.5" customHeight="1" thickBot="1">
      <c r="A75" s="97" t="s">
        <v>204</v>
      </c>
      <c r="B75" s="98">
        <f>SUM(B58:B74)</f>
        <v>1051689.24</v>
      </c>
      <c r="C75" s="98">
        <f>SUM(C58:C74)</f>
        <v>1596892.23</v>
      </c>
      <c r="D75" s="98">
        <f>SUM(D58:D74)</f>
        <v>1336078.1400000001</v>
      </c>
      <c r="E75" s="98">
        <f>SUM(E58:E74)</f>
        <v>864897.47000000067</v>
      </c>
      <c r="F75" s="98">
        <f>SUM(F58:F74)</f>
        <v>8753630.6400000006</v>
      </c>
      <c r="G75" s="99"/>
      <c r="H75" s="98">
        <f>SUM(H58:H74)</f>
        <v>8753630.6400000006</v>
      </c>
      <c r="I75" s="98">
        <f>SUM(I58:I74)</f>
        <v>8753630.6400000006</v>
      </c>
      <c r="J75" s="98">
        <f>SUM(J58:J74)</f>
        <v>8753630.6400000006</v>
      </c>
      <c r="K75" s="98">
        <f>SUM(K58:K74)</f>
        <v>8753630.6400000006</v>
      </c>
      <c r="L75" s="98">
        <f>SUM(L58:L74)</f>
        <v>8753630.6400000006</v>
      </c>
      <c r="M75" s="99"/>
      <c r="N75" s="98">
        <f>SUM(N58:N74)</f>
        <v>8753630.6400000006</v>
      </c>
      <c r="O75" s="98">
        <f>SUM(O58:O74)</f>
        <v>8753630.6400000006</v>
      </c>
      <c r="P75" s="98">
        <f>SUM(P58:P74)</f>
        <v>8753630.6400000006</v>
      </c>
      <c r="Q75" s="98">
        <f>SUM(Q58:Q74)</f>
        <v>8753630.6400000006</v>
      </c>
      <c r="R75" s="98">
        <f>SUM(R58:R74)</f>
        <v>8753630.6400000006</v>
      </c>
      <c r="S75" s="99"/>
      <c r="T75" s="98">
        <f>SUM(T58:T74)</f>
        <v>8753630.6400000006</v>
      </c>
      <c r="U75" s="98">
        <f>SUM(U58:U74)</f>
        <v>8753630.6400000006</v>
      </c>
      <c r="V75" s="98">
        <f>SUM(V58:V74)</f>
        <v>8753630.6400000006</v>
      </c>
      <c r="W75" s="98">
        <f>SUM(W58:W74)</f>
        <v>8753630.6400000006</v>
      </c>
      <c r="X75" s="98">
        <f>SUM(X58:X74)</f>
        <v>8753630.6400000006</v>
      </c>
      <c r="Y75" s="99"/>
      <c r="Z75" s="98">
        <f>SUM(Z58:Z74)</f>
        <v>8753630.6400000006</v>
      </c>
      <c r="AA75" s="98">
        <f>SUM(AA58:AA74)</f>
        <v>8753630.6400000006</v>
      </c>
      <c r="AB75" s="98">
        <f>SUM(AB58:AB74)</f>
        <v>8753630.6400000006</v>
      </c>
      <c r="AC75" s="98">
        <f>SUM(AC58:AC74)</f>
        <v>8753630.6400000006</v>
      </c>
      <c r="AD75" s="98">
        <f>SUM(AD58:AD74)</f>
        <v>8753630.6400000006</v>
      </c>
      <c r="AE75" s="99"/>
      <c r="AF75" s="98">
        <f t="shared" ref="AF75:BL75" si="71">SUM(AF58:AF74)</f>
        <v>8753630.6400000006</v>
      </c>
      <c r="AG75" s="98">
        <f t="shared" si="71"/>
        <v>8753630.6400000006</v>
      </c>
      <c r="AH75" s="98">
        <f t="shared" si="71"/>
        <v>49697.256249999999</v>
      </c>
      <c r="AI75" s="98">
        <f t="shared" si="71"/>
        <v>48918.506774499998</v>
      </c>
      <c r="AJ75" s="98">
        <f t="shared" si="71"/>
        <v>48918.506774499998</v>
      </c>
      <c r="AK75" s="98">
        <f t="shared" si="71"/>
        <v>48918.506774499998</v>
      </c>
      <c r="AL75" s="98">
        <f t="shared" si="71"/>
        <v>48650.870349999997</v>
      </c>
      <c r="AM75" s="98">
        <f t="shared" si="71"/>
        <v>50004.394752249995</v>
      </c>
      <c r="AN75" s="98">
        <f t="shared" si="71"/>
        <v>47128.580870500002</v>
      </c>
      <c r="AO75" s="98">
        <f t="shared" si="71"/>
        <v>45830.304835750001</v>
      </c>
      <c r="AP75" s="98">
        <f t="shared" si="71"/>
        <v>47265.045348250002</v>
      </c>
      <c r="AQ75" s="98">
        <f t="shared" si="71"/>
        <v>47265.045348250002</v>
      </c>
      <c r="AR75" s="98">
        <f t="shared" si="71"/>
        <v>47265.045348250002</v>
      </c>
      <c r="AS75" s="98">
        <f t="shared" si="71"/>
        <v>49396.036494250002</v>
      </c>
      <c r="AT75" s="98">
        <f t="shared" si="71"/>
        <v>47420.437694500011</v>
      </c>
      <c r="AU75" s="98">
        <f t="shared" si="71"/>
        <v>44952.532509250013</v>
      </c>
      <c r="AV75" s="98">
        <f t="shared" si="71"/>
        <v>47021.700025000013</v>
      </c>
      <c r="AW75" s="98">
        <f t="shared" si="71"/>
        <v>48545.009629750013</v>
      </c>
      <c r="AX75" s="98">
        <f t="shared" si="71"/>
        <v>48545.009629750013</v>
      </c>
      <c r="AY75" s="98">
        <f t="shared" si="71"/>
        <v>48545.009629750013</v>
      </c>
      <c r="AZ75" s="98">
        <f t="shared" si="71"/>
        <v>50544.424819000007</v>
      </c>
      <c r="BA75" s="98">
        <f t="shared" si="71"/>
        <v>50685.58591300001</v>
      </c>
      <c r="BB75" s="98">
        <f t="shared" si="71"/>
        <v>51921.139395250008</v>
      </c>
      <c r="BC75" s="98">
        <f t="shared" si="71"/>
        <v>51921.139395250008</v>
      </c>
      <c r="BD75" s="98">
        <f t="shared" si="71"/>
        <v>51921.139395250008</v>
      </c>
      <c r="BE75" s="98">
        <f t="shared" si="71"/>
        <v>51921.139395250008</v>
      </c>
      <c r="BF75" s="98">
        <f t="shared" si="71"/>
        <v>51921.139395250008</v>
      </c>
      <c r="BG75" s="98">
        <f t="shared" si="71"/>
        <v>53273.078058250008</v>
      </c>
      <c r="BH75" s="98">
        <f t="shared" si="71"/>
        <v>53273.078058250008</v>
      </c>
      <c r="BI75" s="98">
        <f t="shared" si="71"/>
        <v>51989.608990000015</v>
      </c>
      <c r="BJ75" s="98">
        <f t="shared" si="71"/>
        <v>49193.506281250018</v>
      </c>
      <c r="BK75" s="98">
        <f t="shared" si="71"/>
        <v>49193.506281250018</v>
      </c>
      <c r="BL75" s="98">
        <f t="shared" si="71"/>
        <v>49193.506281250018</v>
      </c>
      <c r="BM75" s="98">
        <v>50697.25</v>
      </c>
    </row>
    <row r="76" spans="1:65" ht="15" customHeight="1" thickTop="1"/>
    <row r="81" spans="1:65" s="208" customFormat="1" ht="19.5">
      <c r="A81" s="5" t="s">
        <v>1018</v>
      </c>
      <c r="B81" s="209"/>
      <c r="C81" s="209"/>
      <c r="D81" s="209"/>
      <c r="E81" s="209"/>
      <c r="F81" s="209"/>
      <c r="G81" s="210"/>
      <c r="H81" s="209"/>
      <c r="I81" s="209"/>
      <c r="J81" s="209"/>
      <c r="K81" s="209"/>
      <c r="L81" s="209"/>
      <c r="M81" s="210"/>
      <c r="N81" s="209"/>
      <c r="O81" s="209"/>
      <c r="P81" s="209"/>
      <c r="Q81" s="209"/>
      <c r="R81" s="209"/>
      <c r="S81" s="210"/>
      <c r="T81" s="209"/>
      <c r="U81" s="209"/>
      <c r="V81" s="209"/>
      <c r="W81" s="209"/>
      <c r="X81" s="209"/>
      <c r="Y81" s="210"/>
      <c r="Z81" s="209"/>
      <c r="AA81" s="209"/>
      <c r="AB81" s="209"/>
      <c r="AC81" s="209"/>
      <c r="AD81" s="209"/>
      <c r="AE81" s="210"/>
      <c r="AF81" s="209"/>
      <c r="AG81" s="209"/>
      <c r="AH81" s="209"/>
      <c r="AI81" s="209"/>
      <c r="AJ81" s="209"/>
      <c r="AK81" s="209"/>
      <c r="AL81" s="209"/>
      <c r="AM81" s="209"/>
      <c r="AN81" s="209"/>
      <c r="AO81" s="209"/>
      <c r="AP81" s="209"/>
      <c r="AQ81" s="209"/>
      <c r="AR81" s="209"/>
      <c r="AS81" s="209"/>
      <c r="AT81" s="209"/>
      <c r="AU81" s="209"/>
      <c r="AV81" s="209"/>
      <c r="AW81" s="209"/>
      <c r="AX81" s="209"/>
      <c r="AY81" s="209"/>
      <c r="AZ81" s="209"/>
      <c r="BA81" s="209"/>
      <c r="BB81" s="209"/>
      <c r="BC81" s="209"/>
      <c r="BD81" s="209"/>
      <c r="BE81" s="209"/>
      <c r="BF81" s="209"/>
      <c r="BG81" s="209"/>
      <c r="BH81" s="209"/>
      <c r="BI81" s="209"/>
      <c r="BJ81" s="209"/>
      <c r="BK81" s="209"/>
      <c r="BL81" s="209"/>
      <c r="BM81" s="209"/>
    </row>
    <row r="82" spans="1:65" s="208" customFormat="1" ht="19.5">
      <c r="A82" s="5" t="s">
        <v>1030</v>
      </c>
      <c r="B82" s="209"/>
      <c r="C82" s="209"/>
      <c r="D82" s="209"/>
      <c r="E82" s="209"/>
      <c r="F82" s="209"/>
      <c r="G82" s="210"/>
      <c r="H82" s="209"/>
      <c r="I82" s="209"/>
      <c r="J82" s="209"/>
      <c r="K82" s="209"/>
      <c r="L82" s="209"/>
      <c r="M82" s="210"/>
      <c r="N82" s="209"/>
      <c r="O82" s="209"/>
      <c r="P82" s="209"/>
      <c r="Q82" s="209"/>
      <c r="R82" s="209"/>
      <c r="S82" s="210"/>
      <c r="T82" s="209"/>
      <c r="U82" s="209"/>
      <c r="V82" s="209"/>
      <c r="W82" s="209"/>
      <c r="X82" s="209"/>
      <c r="Y82" s="210"/>
      <c r="Z82" s="209"/>
      <c r="AA82" s="209"/>
      <c r="AB82" s="209"/>
      <c r="AC82" s="209"/>
      <c r="AD82" s="209"/>
      <c r="AE82" s="210"/>
      <c r="AF82" s="209"/>
      <c r="AG82" s="209"/>
      <c r="AH82" s="209"/>
      <c r="AI82" s="209"/>
      <c r="AJ82" s="209"/>
      <c r="AK82" s="209"/>
      <c r="AL82" s="209"/>
      <c r="AM82" s="209"/>
      <c r="AN82" s="209"/>
      <c r="AO82" s="209"/>
      <c r="AP82" s="209"/>
      <c r="AQ82" s="209"/>
      <c r="AR82" s="209"/>
      <c r="AS82" s="209"/>
      <c r="AT82" s="209"/>
      <c r="AU82" s="209"/>
      <c r="AV82" s="209"/>
      <c r="AW82" s="209"/>
      <c r="AX82" s="209"/>
      <c r="AY82" s="209"/>
      <c r="AZ82" s="209"/>
      <c r="BA82" s="209"/>
      <c r="BB82" s="209"/>
      <c r="BC82" s="209"/>
      <c r="BD82" s="209"/>
      <c r="BE82" s="209"/>
      <c r="BF82" s="209"/>
      <c r="BG82" s="209"/>
      <c r="BH82" s="209"/>
      <c r="BI82" s="209"/>
      <c r="BJ82" s="209"/>
      <c r="BK82" s="209"/>
      <c r="BL82" s="209"/>
      <c r="BM82" s="209"/>
    </row>
    <row r="83" spans="1:65" s="208" customFormat="1" ht="13.5" customHeight="1">
      <c r="A83" s="209"/>
      <c r="B83" s="209"/>
      <c r="C83" s="209"/>
      <c r="D83" s="209"/>
      <c r="E83" s="209"/>
      <c r="F83" s="209"/>
      <c r="G83" s="210"/>
      <c r="H83" s="209"/>
      <c r="I83" s="209"/>
      <c r="J83" s="209"/>
      <c r="K83" s="209"/>
      <c r="L83" s="209"/>
      <c r="M83" s="210"/>
      <c r="N83" s="209"/>
      <c r="O83" s="209"/>
      <c r="P83" s="209"/>
      <c r="Q83" s="209"/>
      <c r="R83" s="209"/>
      <c r="S83" s="210"/>
      <c r="T83" s="209"/>
      <c r="U83" s="209"/>
      <c r="V83" s="209"/>
      <c r="W83" s="209"/>
      <c r="X83" s="209"/>
      <c r="Y83" s="210"/>
      <c r="Z83" s="209"/>
      <c r="AA83" s="209"/>
      <c r="AB83" s="209"/>
      <c r="AC83" s="209"/>
      <c r="AD83" s="209"/>
      <c r="AE83" s="210"/>
      <c r="AF83" s="209"/>
      <c r="AG83" s="209"/>
      <c r="AH83" s="209"/>
      <c r="AI83" s="209"/>
      <c r="AJ83" s="209"/>
      <c r="AK83" s="209"/>
      <c r="AL83" s="209"/>
      <c r="AM83" s="209"/>
      <c r="AN83" s="209"/>
      <c r="AO83" s="209"/>
      <c r="AP83" s="209"/>
      <c r="AQ83" s="209"/>
      <c r="AR83" s="209"/>
      <c r="AS83" s="209"/>
      <c r="AT83" s="209"/>
      <c r="AU83" s="209"/>
      <c r="AV83" s="209"/>
      <c r="AW83" s="209"/>
      <c r="AX83" s="209"/>
      <c r="AY83" s="209"/>
      <c r="AZ83" s="209"/>
      <c r="BA83" s="209"/>
      <c r="BB83" s="209"/>
      <c r="BC83" s="209"/>
      <c r="BD83" s="209"/>
      <c r="BE83" s="209"/>
      <c r="BF83" s="209"/>
      <c r="BG83" s="209"/>
      <c r="BH83" s="209"/>
      <c r="BI83" s="209"/>
      <c r="BJ83" s="209"/>
      <c r="BK83" s="209"/>
      <c r="BL83" s="209"/>
      <c r="BM83" s="209"/>
    </row>
    <row r="84" spans="1:65" ht="12.75" customHeight="1">
      <c r="A84" s="82"/>
      <c r="B84" s="83">
        <f t="shared" ref="B84:F84" si="72">+B85</f>
        <v>41813</v>
      </c>
      <c r="C84" s="83">
        <f t="shared" si="72"/>
        <v>41814</v>
      </c>
      <c r="D84" s="83">
        <f t="shared" si="72"/>
        <v>41815</v>
      </c>
      <c r="E84" s="83">
        <f t="shared" si="72"/>
        <v>41816</v>
      </c>
      <c r="F84" s="83">
        <f t="shared" si="72"/>
        <v>41817</v>
      </c>
      <c r="G84" s="84"/>
      <c r="H84" s="83">
        <f t="shared" ref="H84:L84" si="73">+H85</f>
        <v>41820</v>
      </c>
      <c r="I84" s="83">
        <f t="shared" si="73"/>
        <v>41821</v>
      </c>
      <c r="J84" s="83">
        <f t="shared" si="73"/>
        <v>41822</v>
      </c>
      <c r="K84" s="83">
        <f t="shared" si="73"/>
        <v>41823</v>
      </c>
      <c r="L84" s="83">
        <f t="shared" si="73"/>
        <v>41824</v>
      </c>
      <c r="M84" s="84"/>
      <c r="N84" s="83">
        <f t="shared" ref="N84:R84" si="74">+N85</f>
        <v>41827</v>
      </c>
      <c r="O84" s="83">
        <f t="shared" si="74"/>
        <v>41828</v>
      </c>
      <c r="P84" s="83">
        <f t="shared" si="74"/>
        <v>41829</v>
      </c>
      <c r="Q84" s="83">
        <f t="shared" si="74"/>
        <v>41830</v>
      </c>
      <c r="R84" s="83">
        <f t="shared" si="74"/>
        <v>41831</v>
      </c>
      <c r="S84" s="84"/>
      <c r="T84" s="83">
        <f t="shared" ref="T84:X84" si="75">+T85</f>
        <v>41834</v>
      </c>
      <c r="U84" s="83">
        <f t="shared" si="75"/>
        <v>41835</v>
      </c>
      <c r="V84" s="83">
        <f t="shared" si="75"/>
        <v>41836</v>
      </c>
      <c r="W84" s="83">
        <f t="shared" si="75"/>
        <v>41837</v>
      </c>
      <c r="X84" s="83">
        <f t="shared" si="75"/>
        <v>41838</v>
      </c>
      <c r="Y84" s="84"/>
      <c r="Z84" s="83">
        <f t="shared" ref="Z84:AD84" si="76">+Z85</f>
        <v>41841</v>
      </c>
      <c r="AA84" s="83">
        <f t="shared" si="76"/>
        <v>41842</v>
      </c>
      <c r="AB84" s="83">
        <f t="shared" si="76"/>
        <v>41843</v>
      </c>
      <c r="AC84" s="83">
        <f t="shared" si="76"/>
        <v>41844</v>
      </c>
      <c r="AD84" s="83">
        <f t="shared" si="76"/>
        <v>41845</v>
      </c>
      <c r="AE84" s="84"/>
      <c r="AF84" s="83">
        <f t="shared" ref="AF84:AG84" si="77">+AF85</f>
        <v>41848</v>
      </c>
      <c r="AG84" s="83">
        <f t="shared" si="77"/>
        <v>41849</v>
      </c>
      <c r="AH84" s="83" t="s">
        <v>181</v>
      </c>
      <c r="AI84" s="273" t="s">
        <v>174</v>
      </c>
      <c r="AJ84" s="273" t="s">
        <v>175</v>
      </c>
      <c r="AK84" s="273" t="s">
        <v>1010</v>
      </c>
      <c r="AL84" s="273" t="s">
        <v>176</v>
      </c>
      <c r="AM84" s="273" t="s">
        <v>177</v>
      </c>
      <c r="AN84" s="273" t="s">
        <v>178</v>
      </c>
      <c r="AO84" s="273" t="s">
        <v>173</v>
      </c>
      <c r="AP84" s="273" t="s">
        <v>174</v>
      </c>
      <c r="AQ84" s="273" t="s">
        <v>175</v>
      </c>
      <c r="AR84" s="273" t="s">
        <v>1010</v>
      </c>
      <c r="AS84" s="273" t="s">
        <v>176</v>
      </c>
      <c r="AT84" s="273" t="s">
        <v>177</v>
      </c>
      <c r="AU84" s="273" t="s">
        <v>178</v>
      </c>
      <c r="AV84" s="273" t="s">
        <v>173</v>
      </c>
      <c r="AW84" s="273" t="s">
        <v>174</v>
      </c>
      <c r="AX84" s="273" t="s">
        <v>175</v>
      </c>
      <c r="AY84" s="273" t="s">
        <v>1010</v>
      </c>
      <c r="AZ84" s="273" t="s">
        <v>176</v>
      </c>
      <c r="BA84" s="273" t="s">
        <v>177</v>
      </c>
      <c r="BB84" s="273" t="s">
        <v>178</v>
      </c>
      <c r="BC84" s="273" t="s">
        <v>173</v>
      </c>
      <c r="BD84" s="273" t="s">
        <v>174</v>
      </c>
      <c r="BE84" s="273" t="s">
        <v>175</v>
      </c>
      <c r="BF84" s="273" t="s">
        <v>1010</v>
      </c>
      <c r="BG84" s="273" t="s">
        <v>176</v>
      </c>
      <c r="BH84" s="273" t="s">
        <v>177</v>
      </c>
      <c r="BI84" s="273" t="s">
        <v>178</v>
      </c>
      <c r="BJ84" s="273" t="s">
        <v>173</v>
      </c>
      <c r="BK84" s="273" t="s">
        <v>174</v>
      </c>
      <c r="BL84" s="273" t="s">
        <v>175</v>
      </c>
      <c r="BM84" s="273" t="s">
        <v>1010</v>
      </c>
    </row>
    <row r="85" spans="1:65" ht="12.75" customHeight="1">
      <c r="A85" s="85" t="s">
        <v>182</v>
      </c>
      <c r="B85" s="85">
        <v>41813</v>
      </c>
      <c r="C85" s="85">
        <f t="shared" ref="C85:F85" si="78">+B85+1</f>
        <v>41814</v>
      </c>
      <c r="D85" s="85">
        <f t="shared" si="78"/>
        <v>41815</v>
      </c>
      <c r="E85" s="85">
        <f t="shared" si="78"/>
        <v>41816</v>
      </c>
      <c r="F85" s="85">
        <f t="shared" si="78"/>
        <v>41817</v>
      </c>
      <c r="G85" s="85" t="s">
        <v>183</v>
      </c>
      <c r="H85" s="85">
        <v>41820</v>
      </c>
      <c r="I85" s="85">
        <f t="shared" ref="I85:L85" si="79">+H85+1</f>
        <v>41821</v>
      </c>
      <c r="J85" s="85">
        <f t="shared" si="79"/>
        <v>41822</v>
      </c>
      <c r="K85" s="85">
        <f t="shared" si="79"/>
        <v>41823</v>
      </c>
      <c r="L85" s="85">
        <f t="shared" si="79"/>
        <v>41824</v>
      </c>
      <c r="M85" s="85" t="s">
        <v>183</v>
      </c>
      <c r="N85" s="85">
        <v>41827</v>
      </c>
      <c r="O85" s="85">
        <f t="shared" ref="O85:R85" si="80">+N85+1</f>
        <v>41828</v>
      </c>
      <c r="P85" s="85">
        <f t="shared" si="80"/>
        <v>41829</v>
      </c>
      <c r="Q85" s="85">
        <f t="shared" si="80"/>
        <v>41830</v>
      </c>
      <c r="R85" s="85">
        <f t="shared" si="80"/>
        <v>41831</v>
      </c>
      <c r="S85" s="85" t="s">
        <v>183</v>
      </c>
      <c r="T85" s="85">
        <v>41834</v>
      </c>
      <c r="U85" s="85">
        <f t="shared" ref="U85:X85" si="81">+T85+1</f>
        <v>41835</v>
      </c>
      <c r="V85" s="85">
        <f t="shared" si="81"/>
        <v>41836</v>
      </c>
      <c r="W85" s="85">
        <f t="shared" si="81"/>
        <v>41837</v>
      </c>
      <c r="X85" s="85">
        <f t="shared" si="81"/>
        <v>41838</v>
      </c>
      <c r="Y85" s="85" t="s">
        <v>183</v>
      </c>
      <c r="Z85" s="85">
        <v>41841</v>
      </c>
      <c r="AA85" s="85">
        <f t="shared" ref="AA85:AD85" si="82">+Z85+1</f>
        <v>41842</v>
      </c>
      <c r="AB85" s="85">
        <f t="shared" si="82"/>
        <v>41843</v>
      </c>
      <c r="AC85" s="85">
        <f t="shared" si="82"/>
        <v>41844</v>
      </c>
      <c r="AD85" s="85">
        <f t="shared" si="82"/>
        <v>41845</v>
      </c>
      <c r="AE85" s="85" t="s">
        <v>183</v>
      </c>
      <c r="AF85" s="85">
        <f>+AD85+3</f>
        <v>41848</v>
      </c>
      <c r="AG85" s="85">
        <f>+AF85+1</f>
        <v>41849</v>
      </c>
      <c r="AH85" s="85"/>
      <c r="AI85" s="85">
        <v>43009</v>
      </c>
      <c r="AJ85" s="85">
        <f>AI85+1</f>
        <v>43010</v>
      </c>
      <c r="AK85" s="85">
        <f t="shared" ref="AK85:BF85" si="83">AJ85+1</f>
        <v>43011</v>
      </c>
      <c r="AL85" s="85">
        <f t="shared" si="83"/>
        <v>43012</v>
      </c>
      <c r="AM85" s="85">
        <f t="shared" si="83"/>
        <v>43013</v>
      </c>
      <c r="AN85" s="85">
        <f t="shared" si="83"/>
        <v>43014</v>
      </c>
      <c r="AO85" s="85">
        <f t="shared" si="83"/>
        <v>43015</v>
      </c>
      <c r="AP85" s="85">
        <f t="shared" si="83"/>
        <v>43016</v>
      </c>
      <c r="AQ85" s="85">
        <f t="shared" si="83"/>
        <v>43017</v>
      </c>
      <c r="AR85" s="85">
        <f t="shared" si="83"/>
        <v>43018</v>
      </c>
      <c r="AS85" s="85">
        <f t="shared" si="83"/>
        <v>43019</v>
      </c>
      <c r="AT85" s="85">
        <f t="shared" si="83"/>
        <v>43020</v>
      </c>
      <c r="AU85" s="85">
        <f t="shared" si="83"/>
        <v>43021</v>
      </c>
      <c r="AV85" s="85">
        <f t="shared" si="83"/>
        <v>43022</v>
      </c>
      <c r="AW85" s="85">
        <f t="shared" si="83"/>
        <v>43023</v>
      </c>
      <c r="AX85" s="85">
        <f t="shared" si="83"/>
        <v>43024</v>
      </c>
      <c r="AY85" s="85">
        <f t="shared" si="83"/>
        <v>43025</v>
      </c>
      <c r="AZ85" s="85">
        <f t="shared" si="83"/>
        <v>43026</v>
      </c>
      <c r="BA85" s="85">
        <f t="shared" si="83"/>
        <v>43027</v>
      </c>
      <c r="BB85" s="85">
        <f t="shared" si="83"/>
        <v>43028</v>
      </c>
      <c r="BC85" s="85">
        <f t="shared" si="83"/>
        <v>43029</v>
      </c>
      <c r="BD85" s="85">
        <f t="shared" si="83"/>
        <v>43030</v>
      </c>
      <c r="BE85" s="85">
        <f t="shared" si="83"/>
        <v>43031</v>
      </c>
      <c r="BF85" s="85">
        <f t="shared" si="83"/>
        <v>43032</v>
      </c>
      <c r="BG85" s="85">
        <f>BF85+1</f>
        <v>43033</v>
      </c>
      <c r="BH85" s="85">
        <f t="shared" ref="BH85:BK85" si="84">BG85+1</f>
        <v>43034</v>
      </c>
      <c r="BI85" s="85">
        <f t="shared" si="84"/>
        <v>43035</v>
      </c>
      <c r="BJ85" s="85">
        <f t="shared" si="84"/>
        <v>43036</v>
      </c>
      <c r="BK85" s="85">
        <f t="shared" si="84"/>
        <v>43037</v>
      </c>
      <c r="BL85" s="85">
        <f>BK85+1</f>
        <v>43038</v>
      </c>
      <c r="BM85" s="85">
        <f>BL85+1</f>
        <v>43039</v>
      </c>
    </row>
    <row r="86" spans="1:65" ht="12.75" customHeight="1">
      <c r="A86" s="86" t="s">
        <v>184</v>
      </c>
      <c r="B86" s="86">
        <v>1051689.24</v>
      </c>
      <c r="C86" s="86">
        <v>1596892.23</v>
      </c>
      <c r="D86" s="86">
        <v>1336078.1400000001</v>
      </c>
      <c r="E86" s="86">
        <v>864897.47000000067</v>
      </c>
      <c r="F86" s="86">
        <v>8753630.6400000006</v>
      </c>
      <c r="G86" s="87"/>
      <c r="H86" s="86">
        <f>+F103</f>
        <v>8753630.6400000006</v>
      </c>
      <c r="I86" s="86">
        <f t="shared" ref="I86:L86" si="85">+H103</f>
        <v>8753630.6400000006</v>
      </c>
      <c r="J86" s="86">
        <f t="shared" si="85"/>
        <v>8753630.6400000006</v>
      </c>
      <c r="K86" s="86">
        <f t="shared" si="85"/>
        <v>8753630.6400000006</v>
      </c>
      <c r="L86" s="86">
        <f t="shared" si="85"/>
        <v>8753630.6400000006</v>
      </c>
      <c r="M86" s="87"/>
      <c r="N86" s="86">
        <f>+L103</f>
        <v>8753630.6400000006</v>
      </c>
      <c r="O86" s="86">
        <f t="shared" ref="O86:R86" si="86">+N103</f>
        <v>8753630.6400000006</v>
      </c>
      <c r="P86" s="86">
        <f t="shared" si="86"/>
        <v>8753630.6400000006</v>
      </c>
      <c r="Q86" s="86">
        <f t="shared" si="86"/>
        <v>8753630.6400000006</v>
      </c>
      <c r="R86" s="86">
        <f t="shared" si="86"/>
        <v>8753630.6400000006</v>
      </c>
      <c r="S86" s="87"/>
      <c r="T86" s="86">
        <f>+R103</f>
        <v>8753630.6400000006</v>
      </c>
      <c r="U86" s="86">
        <f t="shared" ref="U86:X86" si="87">+T103</f>
        <v>8753630.6400000006</v>
      </c>
      <c r="V86" s="86">
        <f t="shared" si="87"/>
        <v>8753630.6400000006</v>
      </c>
      <c r="W86" s="86">
        <f t="shared" si="87"/>
        <v>8753630.6400000006</v>
      </c>
      <c r="X86" s="86">
        <f t="shared" si="87"/>
        <v>8753630.6400000006</v>
      </c>
      <c r="Y86" s="87"/>
      <c r="Z86" s="86">
        <f>+X103</f>
        <v>8753630.6400000006</v>
      </c>
      <c r="AA86" s="86">
        <f t="shared" ref="AA86:AD86" si="88">+Z103</f>
        <v>8753630.6400000006</v>
      </c>
      <c r="AB86" s="86">
        <f t="shared" si="88"/>
        <v>8753630.6400000006</v>
      </c>
      <c r="AC86" s="86">
        <f t="shared" si="88"/>
        <v>8753630.6400000006</v>
      </c>
      <c r="AD86" s="86">
        <f t="shared" si="88"/>
        <v>8753630.6400000006</v>
      </c>
      <c r="AE86" s="87"/>
      <c r="AF86" s="86">
        <f>+AD103</f>
        <v>8753630.6400000006</v>
      </c>
      <c r="AG86" s="86">
        <f>+AF103</f>
        <v>8753630.6400000006</v>
      </c>
      <c r="AH86" s="206">
        <f>BM75</f>
        <v>50697.25</v>
      </c>
      <c r="AI86" s="206">
        <f>AH103</f>
        <v>50697.25</v>
      </c>
      <c r="AJ86" s="206">
        <f t="shared" ref="AJ86:BM86" si="89">AI103</f>
        <v>50697.25</v>
      </c>
      <c r="AK86" s="206">
        <f t="shared" si="89"/>
        <v>50428.275393377502</v>
      </c>
      <c r="AL86" s="206">
        <f t="shared" si="89"/>
        <v>51788.567417638747</v>
      </c>
      <c r="AM86" s="206">
        <f t="shared" si="89"/>
        <v>48898.374466479996</v>
      </c>
      <c r="AN86" s="206">
        <f t="shared" si="89"/>
        <v>47593.607051556246</v>
      </c>
      <c r="AO86" s="206">
        <f t="shared" si="89"/>
        <v>49035.521266618744</v>
      </c>
      <c r="AP86" s="206">
        <f t="shared" si="89"/>
        <v>49035.521266618744</v>
      </c>
      <c r="AQ86" s="206">
        <f t="shared" si="89"/>
        <v>49035.521266618744</v>
      </c>
      <c r="AR86" s="206">
        <f t="shared" si="89"/>
        <v>51177.167368348739</v>
      </c>
      <c r="AS86" s="206">
        <f t="shared" si="89"/>
        <v>49191.690574599983</v>
      </c>
      <c r="AT86" s="206">
        <f t="shared" si="89"/>
        <v>46711.445863423738</v>
      </c>
      <c r="AU86" s="206">
        <f t="shared" si="89"/>
        <v>48790.959216752482</v>
      </c>
      <c r="AV86" s="206">
        <f t="shared" si="89"/>
        <v>50321.88536952623</v>
      </c>
      <c r="AW86" s="206">
        <f t="shared" si="89"/>
        <v>50321.88536952623</v>
      </c>
      <c r="AX86" s="206">
        <f t="shared" si="89"/>
        <v>50321.88536952623</v>
      </c>
      <c r="AY86" s="206">
        <f t="shared" si="89"/>
        <v>52331.297634722483</v>
      </c>
      <c r="AZ86" s="206">
        <f t="shared" si="89"/>
        <v>52473.164534192481</v>
      </c>
      <c r="BA86" s="206">
        <f t="shared" si="89"/>
        <v>53714.895783853732</v>
      </c>
      <c r="BB86" s="206">
        <f t="shared" si="89"/>
        <v>53714.895783853732</v>
      </c>
      <c r="BC86" s="206">
        <f t="shared" si="89"/>
        <v>53714.895783853732</v>
      </c>
      <c r="BD86" s="206">
        <f t="shared" si="89"/>
        <v>53714.895783853732</v>
      </c>
      <c r="BE86" s="206">
        <f t="shared" si="89"/>
        <v>53714.895783853732</v>
      </c>
      <c r="BF86" s="206">
        <f t="shared" si="89"/>
        <v>55073.594140168723</v>
      </c>
      <c r="BG86" s="206">
        <f t="shared" si="89"/>
        <v>55073.594140168723</v>
      </c>
      <c r="BH86" s="206">
        <f t="shared" si="89"/>
        <v>53783.707726577464</v>
      </c>
      <c r="BI86" s="206">
        <f t="shared" si="89"/>
        <v>50973.624504283711</v>
      </c>
      <c r="BJ86" s="206">
        <f t="shared" si="89"/>
        <v>50190.98128140621</v>
      </c>
      <c r="BK86" s="206">
        <f t="shared" si="89"/>
        <v>50190.98128140621</v>
      </c>
      <c r="BL86" s="206">
        <f t="shared" si="89"/>
        <v>50190.98128140621</v>
      </c>
      <c r="BM86" s="206">
        <f t="shared" si="89"/>
        <v>50190.98128140621</v>
      </c>
    </row>
    <row r="87" spans="1:65" s="278" customFormat="1" ht="12.75" customHeight="1">
      <c r="A87" s="274" t="s">
        <v>1021</v>
      </c>
      <c r="B87" s="274"/>
      <c r="C87" s="274"/>
      <c r="D87" s="274"/>
      <c r="E87" s="274"/>
      <c r="F87" s="274"/>
      <c r="G87" s="275"/>
      <c r="H87" s="274"/>
      <c r="I87" s="274"/>
      <c r="J87" s="274"/>
      <c r="K87" s="274"/>
      <c r="L87" s="274"/>
      <c r="M87" s="275"/>
      <c r="N87" s="274"/>
      <c r="O87" s="274"/>
      <c r="P87" s="274"/>
      <c r="Q87" s="274"/>
      <c r="R87" s="274"/>
      <c r="S87" s="275"/>
      <c r="T87" s="274"/>
      <c r="U87" s="274"/>
      <c r="V87" s="274"/>
      <c r="W87" s="274"/>
      <c r="X87" s="274"/>
      <c r="Y87" s="275"/>
      <c r="Z87" s="274"/>
      <c r="AA87" s="274"/>
      <c r="AB87" s="274"/>
      <c r="AC87" s="274"/>
      <c r="AD87" s="274"/>
      <c r="AE87" s="275"/>
      <c r="AF87" s="274"/>
      <c r="AG87" s="274"/>
      <c r="AH87" s="284"/>
      <c r="AI87" s="285"/>
      <c r="AJ87" s="290"/>
      <c r="AK87" s="284"/>
      <c r="AL87" s="284"/>
      <c r="AM87" s="290"/>
      <c r="AN87" s="284"/>
      <c r="AO87" s="285"/>
      <c r="AP87" s="285"/>
      <c r="AQ87" s="290"/>
      <c r="AR87" s="284"/>
      <c r="AT87" s="290"/>
      <c r="AU87" s="284"/>
      <c r="AV87" s="285"/>
      <c r="AW87" s="285"/>
      <c r="AX87" s="290"/>
      <c r="AY87" s="284"/>
      <c r="BA87" s="290"/>
      <c r="BB87" s="284"/>
      <c r="BC87" s="285"/>
      <c r="BD87" s="285"/>
      <c r="BE87" s="290"/>
      <c r="BF87" s="284"/>
      <c r="BH87" s="290"/>
      <c r="BI87" s="284"/>
      <c r="BJ87" s="285"/>
      <c r="BK87" s="285"/>
      <c r="BL87" s="290"/>
      <c r="BM87" s="284"/>
    </row>
    <row r="88" spans="1:65" s="293" customFormat="1" ht="12.75" customHeight="1">
      <c r="A88" s="88" t="s">
        <v>971</v>
      </c>
      <c r="B88" s="86"/>
      <c r="C88" s="86"/>
      <c r="D88" s="86"/>
      <c r="E88" s="86"/>
      <c r="F88" s="86"/>
      <c r="G88" s="87"/>
      <c r="H88" s="86"/>
      <c r="I88" s="86"/>
      <c r="J88" s="86"/>
      <c r="K88" s="86"/>
      <c r="L88" s="86"/>
      <c r="M88" s="87"/>
      <c r="N88" s="86"/>
      <c r="O88" s="86"/>
      <c r="P88" s="86"/>
      <c r="Q88" s="86"/>
      <c r="R88" s="86"/>
      <c r="S88" s="87"/>
      <c r="T88" s="86"/>
      <c r="U88" s="86"/>
      <c r="V88" s="86"/>
      <c r="W88" s="86"/>
      <c r="X88" s="86"/>
      <c r="Y88" s="87"/>
      <c r="Z88" s="86"/>
      <c r="AA88" s="86"/>
      <c r="AB88" s="86"/>
      <c r="AC88" s="86"/>
      <c r="AD88" s="86"/>
      <c r="AE88" s="87"/>
      <c r="AF88" s="86"/>
      <c r="AG88" s="86"/>
      <c r="AH88" s="207"/>
      <c r="AI88" s="202"/>
      <c r="AJ88" s="291">
        <f>AL60*1.005</f>
        <v>0</v>
      </c>
      <c r="AK88" s="291">
        <f t="shared" ref="AK88:AN102" si="90">AM60*1.005</f>
        <v>0</v>
      </c>
      <c r="AL88" s="291">
        <f t="shared" si="90"/>
        <v>0</v>
      </c>
      <c r="AM88" s="291">
        <f t="shared" si="90"/>
        <v>0</v>
      </c>
      <c r="AN88" s="291">
        <f t="shared" si="90"/>
        <v>0</v>
      </c>
      <c r="AO88" s="292"/>
      <c r="AP88" s="292"/>
      <c r="AQ88" s="286">
        <f>AS60*1.005</f>
        <v>0</v>
      </c>
      <c r="AR88" s="286">
        <f t="shared" ref="AR88:AU102" si="91">AT60*1.005</f>
        <v>0</v>
      </c>
      <c r="AS88" s="286">
        <f t="shared" si="91"/>
        <v>0</v>
      </c>
      <c r="AT88" s="286">
        <f t="shared" si="91"/>
        <v>0</v>
      </c>
      <c r="AU88" s="286">
        <f t="shared" si="91"/>
        <v>0</v>
      </c>
      <c r="AV88" s="292"/>
      <c r="AW88" s="292"/>
      <c r="AX88" s="286">
        <f>AZ60*1.005</f>
        <v>0</v>
      </c>
      <c r="AY88" s="286">
        <f t="shared" ref="AY88:BB102" si="92">BA60*1.005</f>
        <v>0</v>
      </c>
      <c r="AZ88" s="286">
        <f t="shared" si="92"/>
        <v>0</v>
      </c>
      <c r="BA88" s="286">
        <f t="shared" si="92"/>
        <v>0</v>
      </c>
      <c r="BB88" s="286">
        <f t="shared" si="92"/>
        <v>0</v>
      </c>
      <c r="BC88" s="292"/>
      <c r="BD88" s="292"/>
      <c r="BE88" s="286">
        <f>BG60*1.005</f>
        <v>-20.301502499999991</v>
      </c>
      <c r="BF88" s="286">
        <f t="shared" ref="BF88:BH102" si="93">BH60*1.005</f>
        <v>0</v>
      </c>
      <c r="BG88" s="286">
        <f t="shared" si="93"/>
        <v>0</v>
      </c>
      <c r="BH88" s="286">
        <f t="shared" si="93"/>
        <v>-544.52690005499994</v>
      </c>
      <c r="BI88" s="286">
        <f>AI60*1.005</f>
        <v>0</v>
      </c>
      <c r="BJ88" s="292"/>
      <c r="BK88" s="292"/>
      <c r="BL88" s="286">
        <v>0</v>
      </c>
      <c r="BM88" s="286">
        <v>0</v>
      </c>
    </row>
    <row r="89" spans="1:65" s="293" customFormat="1" ht="12.75" customHeight="1">
      <c r="A89" s="88" t="s">
        <v>308</v>
      </c>
      <c r="B89" s="86"/>
      <c r="C89" s="86"/>
      <c r="D89" s="86"/>
      <c r="E89" s="86"/>
      <c r="F89" s="86"/>
      <c r="G89" s="87"/>
      <c r="H89" s="86"/>
      <c r="I89" s="86"/>
      <c r="J89" s="86"/>
      <c r="K89" s="86"/>
      <c r="L89" s="86"/>
      <c r="M89" s="87"/>
      <c r="N89" s="86"/>
      <c r="O89" s="86"/>
      <c r="P89" s="86"/>
      <c r="Q89" s="86"/>
      <c r="R89" s="86"/>
      <c r="S89" s="87"/>
      <c r="T89" s="86"/>
      <c r="U89" s="86"/>
      <c r="V89" s="86"/>
      <c r="W89" s="86"/>
      <c r="X89" s="86"/>
      <c r="Y89" s="87"/>
      <c r="Z89" s="86"/>
      <c r="AA89" s="86"/>
      <c r="AB89" s="86"/>
      <c r="AC89" s="86"/>
      <c r="AD89" s="86"/>
      <c r="AE89" s="87"/>
      <c r="AF89" s="86"/>
      <c r="AG89" s="86"/>
      <c r="AH89" s="207"/>
      <c r="AI89" s="202"/>
      <c r="AJ89" s="286">
        <f t="shared" ref="AJ89:AJ102" si="94">AL61*1.005</f>
        <v>-1330.7330366212495</v>
      </c>
      <c r="AK89" s="286">
        <f t="shared" si="90"/>
        <v>0</v>
      </c>
      <c r="AL89" s="286">
        <f t="shared" si="90"/>
        <v>0</v>
      </c>
      <c r="AM89" s="286">
        <f t="shared" si="90"/>
        <v>0</v>
      </c>
      <c r="AN89" s="286">
        <f t="shared" si="90"/>
        <v>0</v>
      </c>
      <c r="AO89" s="292"/>
      <c r="AP89" s="292"/>
      <c r="AQ89" s="286">
        <f t="shared" ref="AQ89:AQ102" si="95">AS61*1.005</f>
        <v>-819.36864089999983</v>
      </c>
      <c r="AR89" s="286">
        <f t="shared" si="91"/>
        <v>0</v>
      </c>
      <c r="AS89" s="286">
        <f t="shared" si="91"/>
        <v>-490.28128537499987</v>
      </c>
      <c r="AT89" s="286">
        <f t="shared" si="91"/>
        <v>0</v>
      </c>
      <c r="AU89" s="286">
        <f t="shared" si="91"/>
        <v>-47.525817352499985</v>
      </c>
      <c r="AV89" s="292"/>
      <c r="AW89" s="292"/>
      <c r="AX89" s="286">
        <f t="shared" ref="AX89:AX102" si="96">AZ61*1.005</f>
        <v>-1117.4657528587497</v>
      </c>
      <c r="AY89" s="286">
        <f t="shared" si="92"/>
        <v>0</v>
      </c>
      <c r="AZ89" s="286">
        <f t="shared" si="92"/>
        <v>0</v>
      </c>
      <c r="BA89" s="286">
        <f t="shared" si="92"/>
        <v>0</v>
      </c>
      <c r="BB89" s="286">
        <f t="shared" si="92"/>
        <v>0</v>
      </c>
      <c r="BC89" s="292"/>
      <c r="BD89" s="292"/>
      <c r="BE89" s="286">
        <f t="shared" ref="BE89:BE102" si="97">BG61*1.005</f>
        <v>-426.58532128124983</v>
      </c>
      <c r="BF89" s="286">
        <f t="shared" si="93"/>
        <v>0</v>
      </c>
      <c r="BG89" s="286">
        <f t="shared" si="93"/>
        <v>-1328.4795698437495</v>
      </c>
      <c r="BH89" s="286">
        <f t="shared" si="93"/>
        <v>0</v>
      </c>
      <c r="BI89" s="286">
        <f t="shared" ref="BI89:BI102" si="98">AI61*1.005</f>
        <v>0</v>
      </c>
      <c r="BJ89" s="292"/>
      <c r="BK89" s="292"/>
      <c r="BL89" s="286">
        <v>0</v>
      </c>
      <c r="BM89" s="286">
        <v>0</v>
      </c>
    </row>
    <row r="90" spans="1:65" s="293" customFormat="1" ht="12.75" customHeight="1">
      <c r="A90" s="88" t="s">
        <v>307</v>
      </c>
      <c r="B90" s="86"/>
      <c r="C90" s="86"/>
      <c r="D90" s="86"/>
      <c r="E90" s="86"/>
      <c r="F90" s="86"/>
      <c r="G90" s="87"/>
      <c r="H90" s="86"/>
      <c r="I90" s="86"/>
      <c r="J90" s="86"/>
      <c r="K90" s="86"/>
      <c r="L90" s="86"/>
      <c r="M90" s="87"/>
      <c r="N90" s="86"/>
      <c r="O90" s="86"/>
      <c r="P90" s="86"/>
      <c r="Q90" s="86"/>
      <c r="R90" s="86"/>
      <c r="S90" s="87"/>
      <c r="T90" s="86"/>
      <c r="U90" s="86"/>
      <c r="V90" s="86"/>
      <c r="W90" s="86"/>
      <c r="X90" s="86"/>
      <c r="Y90" s="87"/>
      <c r="Z90" s="86"/>
      <c r="AA90" s="86"/>
      <c r="AB90" s="86"/>
      <c r="AC90" s="86"/>
      <c r="AD90" s="86"/>
      <c r="AE90" s="87"/>
      <c r="AF90" s="86"/>
      <c r="AG90" s="86"/>
      <c r="AH90" s="207"/>
      <c r="AI90" s="202"/>
      <c r="AJ90" s="286">
        <f t="shared" si="94"/>
        <v>-433.76190241499984</v>
      </c>
      <c r="AK90" s="286">
        <f t="shared" si="90"/>
        <v>-79.470231536249969</v>
      </c>
      <c r="AL90" s="286">
        <f t="shared" si="90"/>
        <v>-84.71816993249999</v>
      </c>
      <c r="AM90" s="286">
        <f t="shared" si="90"/>
        <v>-3763.8681112462486</v>
      </c>
      <c r="AN90" s="286">
        <f t="shared" si="90"/>
        <v>0</v>
      </c>
      <c r="AO90" s="292"/>
      <c r="AP90" s="292"/>
      <c r="AQ90" s="286">
        <f t="shared" si="95"/>
        <v>-1091.4798296587494</v>
      </c>
      <c r="AR90" s="286">
        <f t="shared" si="91"/>
        <v>-315.15037405874995</v>
      </c>
      <c r="AS90" s="286">
        <f t="shared" si="91"/>
        <v>-3353.2803739349988</v>
      </c>
      <c r="AT90" s="286">
        <f t="shared" si="91"/>
        <v>-683.67339818999972</v>
      </c>
      <c r="AU90" s="286">
        <f t="shared" si="91"/>
        <v>0</v>
      </c>
      <c r="AV90" s="292"/>
      <c r="AW90" s="292"/>
      <c r="AX90" s="286">
        <f t="shared" si="96"/>
        <v>-756.96182221499976</v>
      </c>
      <c r="AY90" s="286">
        <f t="shared" si="92"/>
        <v>-146.04900898499994</v>
      </c>
      <c r="AZ90" s="286">
        <f t="shared" si="92"/>
        <v>-399.66552896624995</v>
      </c>
      <c r="BA90" s="286">
        <f t="shared" si="92"/>
        <v>0</v>
      </c>
      <c r="BB90" s="286">
        <f t="shared" si="92"/>
        <v>0</v>
      </c>
      <c r="BC90" s="292"/>
      <c r="BD90" s="292"/>
      <c r="BE90" s="286">
        <f t="shared" si="97"/>
        <v>-645.62838250499976</v>
      </c>
      <c r="BF90" s="286">
        <f t="shared" si="93"/>
        <v>0</v>
      </c>
      <c r="BG90" s="286">
        <f t="shared" si="93"/>
        <v>-332.12243014874991</v>
      </c>
      <c r="BH90" s="286">
        <f t="shared" si="93"/>
        <v>0</v>
      </c>
      <c r="BI90" s="286">
        <f t="shared" si="98"/>
        <v>-646.85662340624992</v>
      </c>
      <c r="BJ90" s="292"/>
      <c r="BK90" s="292"/>
      <c r="BL90" s="286">
        <v>0</v>
      </c>
      <c r="BM90" s="286">
        <v>0</v>
      </c>
    </row>
    <row r="91" spans="1:65" s="293" customFormat="1" ht="12.75" customHeight="1">
      <c r="A91" s="88" t="s">
        <v>1022</v>
      </c>
      <c r="B91" s="86"/>
      <c r="C91" s="86"/>
      <c r="D91" s="86"/>
      <c r="E91" s="86"/>
      <c r="F91" s="86"/>
      <c r="G91" s="87"/>
      <c r="H91" s="86"/>
      <c r="I91" s="86"/>
      <c r="J91" s="86"/>
      <c r="K91" s="86"/>
      <c r="L91" s="86"/>
      <c r="M91" s="87"/>
      <c r="N91" s="86"/>
      <c r="O91" s="86"/>
      <c r="P91" s="86"/>
      <c r="Q91" s="86"/>
      <c r="R91" s="86"/>
      <c r="S91" s="87"/>
      <c r="T91" s="86"/>
      <c r="U91" s="86"/>
      <c r="V91" s="86"/>
      <c r="W91" s="86"/>
      <c r="X91" s="86"/>
      <c r="Y91" s="87"/>
      <c r="Z91" s="86"/>
      <c r="AA91" s="86"/>
      <c r="AB91" s="86"/>
      <c r="AC91" s="86"/>
      <c r="AD91" s="86"/>
      <c r="AE91" s="87"/>
      <c r="AF91" s="86"/>
      <c r="AG91" s="86"/>
      <c r="AH91" s="207"/>
      <c r="AI91" s="202"/>
      <c r="AJ91" s="286">
        <f t="shared" si="94"/>
        <v>0</v>
      </c>
      <c r="AK91" s="286">
        <f t="shared" si="90"/>
        <v>0</v>
      </c>
      <c r="AL91" s="286">
        <f t="shared" si="90"/>
        <v>0</v>
      </c>
      <c r="AM91" s="286">
        <f t="shared" si="90"/>
        <v>0</v>
      </c>
      <c r="AN91" s="286">
        <f t="shared" si="90"/>
        <v>0</v>
      </c>
      <c r="AO91" s="292"/>
      <c r="AP91" s="292"/>
      <c r="AQ91" s="286">
        <f t="shared" si="95"/>
        <v>0</v>
      </c>
      <c r="AR91" s="286">
        <f t="shared" si="91"/>
        <v>0</v>
      </c>
      <c r="AS91" s="286">
        <f t="shared" si="91"/>
        <v>0</v>
      </c>
      <c r="AT91" s="286">
        <f t="shared" si="91"/>
        <v>0</v>
      </c>
      <c r="AU91" s="286">
        <f t="shared" si="91"/>
        <v>0</v>
      </c>
      <c r="AV91" s="292"/>
      <c r="AW91" s="292"/>
      <c r="AX91" s="286">
        <f t="shared" si="96"/>
        <v>0</v>
      </c>
      <c r="AY91" s="286">
        <f t="shared" si="92"/>
        <v>0</v>
      </c>
      <c r="AZ91" s="286">
        <f t="shared" si="92"/>
        <v>0</v>
      </c>
      <c r="BA91" s="286">
        <f t="shared" si="92"/>
        <v>0</v>
      </c>
      <c r="BB91" s="286">
        <f t="shared" si="92"/>
        <v>0</v>
      </c>
      <c r="BC91" s="292"/>
      <c r="BD91" s="292"/>
      <c r="BE91" s="286">
        <f t="shared" si="97"/>
        <v>0</v>
      </c>
      <c r="BF91" s="286">
        <f t="shared" si="93"/>
        <v>0</v>
      </c>
      <c r="BG91" s="286">
        <f t="shared" si="93"/>
        <v>-1366.2911182499995</v>
      </c>
      <c r="BH91" s="286">
        <f t="shared" si="93"/>
        <v>0</v>
      </c>
      <c r="BI91" s="286">
        <f t="shared" si="98"/>
        <v>0</v>
      </c>
      <c r="BJ91" s="292"/>
      <c r="BK91" s="292"/>
      <c r="BL91" s="286">
        <v>0</v>
      </c>
      <c r="BM91" s="286">
        <v>0</v>
      </c>
    </row>
    <row r="92" spans="1:65" s="293" customFormat="1" ht="12.75" customHeight="1">
      <c r="A92" s="88" t="s">
        <v>994</v>
      </c>
      <c r="B92" s="86"/>
      <c r="C92" s="86"/>
      <c r="D92" s="86"/>
      <c r="E92" s="86"/>
      <c r="F92" s="86"/>
      <c r="G92" s="87"/>
      <c r="H92" s="86"/>
      <c r="I92" s="86"/>
      <c r="J92" s="86"/>
      <c r="K92" s="86"/>
      <c r="L92" s="86"/>
      <c r="M92" s="87"/>
      <c r="N92" s="86"/>
      <c r="O92" s="86"/>
      <c r="P92" s="86"/>
      <c r="Q92" s="86"/>
      <c r="R92" s="86"/>
      <c r="S92" s="87"/>
      <c r="T92" s="86"/>
      <c r="U92" s="86"/>
      <c r="V92" s="86"/>
      <c r="W92" s="86"/>
      <c r="X92" s="86"/>
      <c r="Y92" s="87"/>
      <c r="Z92" s="86"/>
      <c r="AA92" s="86"/>
      <c r="AB92" s="86"/>
      <c r="AC92" s="86"/>
      <c r="AD92" s="86"/>
      <c r="AE92" s="87"/>
      <c r="AF92" s="86"/>
      <c r="AG92" s="86"/>
      <c r="AH92" s="207"/>
      <c r="AI92" s="202"/>
      <c r="AJ92" s="286">
        <f t="shared" si="94"/>
        <v>0</v>
      </c>
      <c r="AK92" s="286">
        <f t="shared" si="90"/>
        <v>0</v>
      </c>
      <c r="AL92" s="286">
        <f t="shared" si="90"/>
        <v>0</v>
      </c>
      <c r="AM92" s="286">
        <f t="shared" si="90"/>
        <v>0</v>
      </c>
      <c r="AN92" s="286">
        <f t="shared" si="90"/>
        <v>0</v>
      </c>
      <c r="AO92" s="292"/>
      <c r="AP92" s="292"/>
      <c r="AQ92" s="286">
        <f t="shared" si="95"/>
        <v>0</v>
      </c>
      <c r="AR92" s="286">
        <f t="shared" si="91"/>
        <v>0</v>
      </c>
      <c r="AS92" s="286">
        <f t="shared" si="91"/>
        <v>0</v>
      </c>
      <c r="AT92" s="286">
        <f t="shared" si="91"/>
        <v>0</v>
      </c>
      <c r="AU92" s="286">
        <f t="shared" si="91"/>
        <v>0</v>
      </c>
      <c r="AV92" s="292"/>
      <c r="AW92" s="292"/>
      <c r="AX92" s="286">
        <f t="shared" si="96"/>
        <v>0</v>
      </c>
      <c r="AY92" s="286">
        <f t="shared" si="92"/>
        <v>0</v>
      </c>
      <c r="AZ92" s="286">
        <f t="shared" si="92"/>
        <v>0</v>
      </c>
      <c r="BA92" s="286">
        <f t="shared" si="92"/>
        <v>0</v>
      </c>
      <c r="BB92" s="286">
        <f t="shared" si="92"/>
        <v>0</v>
      </c>
      <c r="BC92" s="292"/>
      <c r="BD92" s="292"/>
      <c r="BE92" s="286">
        <f t="shared" si="97"/>
        <v>0</v>
      </c>
      <c r="BF92" s="286">
        <f t="shared" si="93"/>
        <v>0</v>
      </c>
      <c r="BG92" s="286">
        <f t="shared" si="93"/>
        <v>0</v>
      </c>
      <c r="BH92" s="286">
        <f t="shared" si="93"/>
        <v>0</v>
      </c>
      <c r="BI92" s="286">
        <f t="shared" si="98"/>
        <v>-1407.9091983749997</v>
      </c>
      <c r="BJ92" s="292"/>
      <c r="BK92" s="292"/>
      <c r="BL92" s="286">
        <v>0</v>
      </c>
      <c r="BM92" s="286">
        <v>0</v>
      </c>
    </row>
    <row r="93" spans="1:65" s="293" customFormat="1" ht="12.75" customHeight="1">
      <c r="A93" s="88" t="s">
        <v>1036</v>
      </c>
      <c r="B93" s="86"/>
      <c r="C93" s="86"/>
      <c r="D93" s="86"/>
      <c r="E93" s="86"/>
      <c r="F93" s="86"/>
      <c r="G93" s="87"/>
      <c r="H93" s="86"/>
      <c r="I93" s="86"/>
      <c r="J93" s="86"/>
      <c r="K93" s="86"/>
      <c r="L93" s="86"/>
      <c r="M93" s="87"/>
      <c r="N93" s="86"/>
      <c r="O93" s="86"/>
      <c r="P93" s="86"/>
      <c r="Q93" s="86"/>
      <c r="R93" s="86"/>
      <c r="S93" s="87"/>
      <c r="T93" s="86"/>
      <c r="U93" s="86"/>
      <c r="V93" s="86"/>
      <c r="W93" s="86"/>
      <c r="X93" s="86"/>
      <c r="Y93" s="87"/>
      <c r="Z93" s="86"/>
      <c r="AA93" s="86"/>
      <c r="AB93" s="86"/>
      <c r="AC93" s="86"/>
      <c r="AD93" s="86"/>
      <c r="AE93" s="87"/>
      <c r="AF93" s="86"/>
      <c r="AG93" s="86"/>
      <c r="AH93" s="207"/>
      <c r="AI93" s="202"/>
      <c r="AJ93" s="286">
        <f t="shared" si="94"/>
        <v>0</v>
      </c>
      <c r="AK93" s="286">
        <f t="shared" si="90"/>
        <v>0</v>
      </c>
      <c r="AL93" s="286">
        <f t="shared" si="90"/>
        <v>-3045.2253749999991</v>
      </c>
      <c r="AM93" s="286">
        <f t="shared" si="90"/>
        <v>0</v>
      </c>
      <c r="AN93" s="286">
        <f t="shared" si="90"/>
        <v>0</v>
      </c>
      <c r="AO93" s="292"/>
      <c r="AP93" s="292"/>
      <c r="AQ93" s="286">
        <f t="shared" si="95"/>
        <v>0</v>
      </c>
      <c r="AR93" s="286">
        <f t="shared" si="91"/>
        <v>0</v>
      </c>
      <c r="AS93" s="286">
        <f t="shared" si="91"/>
        <v>0</v>
      </c>
      <c r="AT93" s="286">
        <f t="shared" si="91"/>
        <v>0</v>
      </c>
      <c r="AU93" s="286">
        <f t="shared" si="91"/>
        <v>0</v>
      </c>
      <c r="AV93" s="292"/>
      <c r="AW93" s="292"/>
      <c r="AX93" s="286">
        <f t="shared" si="96"/>
        <v>0</v>
      </c>
      <c r="AY93" s="286">
        <f t="shared" si="92"/>
        <v>0</v>
      </c>
      <c r="AZ93" s="286">
        <f t="shared" si="92"/>
        <v>0</v>
      </c>
      <c r="BA93" s="286">
        <f t="shared" si="92"/>
        <v>0</v>
      </c>
      <c r="BB93" s="286">
        <f t="shared" si="92"/>
        <v>0</v>
      </c>
      <c r="BC93" s="292"/>
      <c r="BD93" s="292"/>
      <c r="BE93" s="286">
        <f t="shared" si="97"/>
        <v>0</v>
      </c>
      <c r="BF93" s="286">
        <f t="shared" si="93"/>
        <v>0</v>
      </c>
      <c r="BG93" s="286">
        <f t="shared" si="93"/>
        <v>0</v>
      </c>
      <c r="BH93" s="286">
        <f t="shared" si="93"/>
        <v>0</v>
      </c>
      <c r="BI93" s="286">
        <f t="shared" si="98"/>
        <v>0</v>
      </c>
      <c r="BJ93" s="292"/>
      <c r="BK93" s="292"/>
      <c r="BL93" s="286">
        <v>0</v>
      </c>
      <c r="BM93" s="286">
        <v>0</v>
      </c>
    </row>
    <row r="94" spans="1:65" s="293" customFormat="1" ht="12.75" customHeight="1">
      <c r="A94" s="88" t="s">
        <v>973</v>
      </c>
      <c r="B94" s="86"/>
      <c r="C94" s="86"/>
      <c r="D94" s="86"/>
      <c r="E94" s="86"/>
      <c r="F94" s="86"/>
      <c r="G94" s="87"/>
      <c r="H94" s="86"/>
      <c r="I94" s="86"/>
      <c r="J94" s="86"/>
      <c r="K94" s="86"/>
      <c r="L94" s="86"/>
      <c r="M94" s="87"/>
      <c r="N94" s="86"/>
      <c r="O94" s="86"/>
      <c r="P94" s="86"/>
      <c r="Q94" s="86"/>
      <c r="R94" s="86"/>
      <c r="S94" s="87"/>
      <c r="T94" s="86"/>
      <c r="U94" s="86"/>
      <c r="V94" s="86"/>
      <c r="W94" s="86"/>
      <c r="X94" s="86"/>
      <c r="Y94" s="87"/>
      <c r="Z94" s="86"/>
      <c r="AA94" s="86"/>
      <c r="AB94" s="86"/>
      <c r="AC94" s="86"/>
      <c r="AD94" s="86"/>
      <c r="AE94" s="87"/>
      <c r="AF94" s="86"/>
      <c r="AG94" s="86"/>
      <c r="AH94" s="207"/>
      <c r="AI94" s="202"/>
      <c r="AJ94" s="286">
        <f t="shared" si="94"/>
        <v>0</v>
      </c>
      <c r="AK94" s="286">
        <f t="shared" si="90"/>
        <v>0</v>
      </c>
      <c r="AL94" s="286">
        <f t="shared" si="90"/>
        <v>0</v>
      </c>
      <c r="AM94" s="286">
        <f t="shared" si="90"/>
        <v>0</v>
      </c>
      <c r="AN94" s="286">
        <f t="shared" si="90"/>
        <v>0</v>
      </c>
      <c r="AO94" s="292"/>
      <c r="AP94" s="292"/>
      <c r="AQ94" s="286">
        <f t="shared" si="95"/>
        <v>-27.691249409999994</v>
      </c>
      <c r="AR94" s="286">
        <f t="shared" si="91"/>
        <v>0</v>
      </c>
      <c r="AS94" s="286">
        <f t="shared" si="91"/>
        <v>0</v>
      </c>
      <c r="AT94" s="286">
        <f t="shared" si="91"/>
        <v>0</v>
      </c>
      <c r="AU94" s="286">
        <f t="shared" si="91"/>
        <v>0</v>
      </c>
      <c r="AV94" s="292"/>
      <c r="AW94" s="292"/>
      <c r="AX94" s="286">
        <f t="shared" si="96"/>
        <v>0</v>
      </c>
      <c r="AY94" s="286">
        <f t="shared" si="92"/>
        <v>0</v>
      </c>
      <c r="AZ94" s="286">
        <f t="shared" si="92"/>
        <v>0</v>
      </c>
      <c r="BA94" s="286">
        <f t="shared" si="92"/>
        <v>0</v>
      </c>
      <c r="BB94" s="286">
        <f t="shared" si="92"/>
        <v>0</v>
      </c>
      <c r="BC94" s="292"/>
      <c r="BD94" s="292"/>
      <c r="BE94" s="286">
        <f t="shared" si="97"/>
        <v>0</v>
      </c>
      <c r="BF94" s="286">
        <f t="shared" si="93"/>
        <v>0</v>
      </c>
      <c r="BG94" s="286">
        <f t="shared" si="93"/>
        <v>0</v>
      </c>
      <c r="BH94" s="286">
        <f t="shared" si="93"/>
        <v>0</v>
      </c>
      <c r="BI94" s="286">
        <f t="shared" si="98"/>
        <v>0</v>
      </c>
      <c r="BJ94" s="292"/>
      <c r="BK94" s="292"/>
      <c r="BL94" s="286">
        <v>0</v>
      </c>
      <c r="BM94" s="286">
        <v>0</v>
      </c>
    </row>
    <row r="95" spans="1:65" s="293" customFormat="1" ht="12.75" customHeight="1">
      <c r="A95" s="88" t="s">
        <v>1023</v>
      </c>
      <c r="B95" s="86"/>
      <c r="C95" s="86"/>
      <c r="D95" s="86"/>
      <c r="E95" s="86"/>
      <c r="F95" s="86"/>
      <c r="G95" s="87"/>
      <c r="H95" s="86"/>
      <c r="I95" s="86"/>
      <c r="J95" s="86"/>
      <c r="K95" s="86"/>
      <c r="L95" s="86"/>
      <c r="M95" s="87"/>
      <c r="N95" s="86"/>
      <c r="O95" s="86"/>
      <c r="P95" s="86"/>
      <c r="Q95" s="86"/>
      <c r="R95" s="86"/>
      <c r="S95" s="87"/>
      <c r="T95" s="86"/>
      <c r="U95" s="86"/>
      <c r="V95" s="86"/>
      <c r="W95" s="86"/>
      <c r="X95" s="86"/>
      <c r="Y95" s="87"/>
      <c r="Z95" s="86"/>
      <c r="AA95" s="86"/>
      <c r="AB95" s="86"/>
      <c r="AC95" s="86"/>
      <c r="AD95" s="86"/>
      <c r="AE95" s="87"/>
      <c r="AF95" s="86"/>
      <c r="AG95" s="86"/>
      <c r="AH95" s="207"/>
      <c r="AI95" s="202"/>
      <c r="AJ95" s="286">
        <f t="shared" si="94"/>
        <v>0</v>
      </c>
      <c r="AK95" s="286">
        <f t="shared" si="90"/>
        <v>-203.01502499999992</v>
      </c>
      <c r="AL95" s="286">
        <f t="shared" si="90"/>
        <v>0</v>
      </c>
      <c r="AM95" s="286">
        <f t="shared" si="90"/>
        <v>0</v>
      </c>
      <c r="AN95" s="286">
        <f t="shared" si="90"/>
        <v>0</v>
      </c>
      <c r="AO95" s="292"/>
      <c r="AP95" s="292"/>
      <c r="AQ95" s="286">
        <f t="shared" si="95"/>
        <v>-182.25673869374995</v>
      </c>
      <c r="AR95" s="286">
        <f t="shared" si="91"/>
        <v>0</v>
      </c>
      <c r="AS95" s="286">
        <f t="shared" si="91"/>
        <v>-166.47232049999997</v>
      </c>
      <c r="AT95" s="286">
        <f t="shared" si="91"/>
        <v>0</v>
      </c>
      <c r="AU95" s="286">
        <f t="shared" si="91"/>
        <v>0</v>
      </c>
      <c r="AV95" s="292"/>
      <c r="AW95" s="292"/>
      <c r="AX95" s="286">
        <f t="shared" si="96"/>
        <v>-817.13547562499969</v>
      </c>
      <c r="AY95" s="286">
        <f t="shared" si="92"/>
        <v>0</v>
      </c>
      <c r="AZ95" s="286">
        <f t="shared" si="92"/>
        <v>0</v>
      </c>
      <c r="BA95" s="286">
        <f t="shared" si="92"/>
        <v>0</v>
      </c>
      <c r="BB95" s="286">
        <f t="shared" si="92"/>
        <v>0</v>
      </c>
      <c r="BC95" s="292"/>
      <c r="BD95" s="292"/>
      <c r="BE95" s="286">
        <f t="shared" si="97"/>
        <v>0</v>
      </c>
      <c r="BF95" s="286">
        <f t="shared" si="93"/>
        <v>0</v>
      </c>
      <c r="BG95" s="286">
        <f t="shared" si="93"/>
        <v>0</v>
      </c>
      <c r="BH95" s="286">
        <f t="shared" si="93"/>
        <v>0</v>
      </c>
      <c r="BI95" s="286">
        <f t="shared" si="98"/>
        <v>0</v>
      </c>
      <c r="BJ95" s="292"/>
      <c r="BK95" s="292"/>
      <c r="BL95" s="286">
        <v>0</v>
      </c>
      <c r="BM95" s="286">
        <v>0</v>
      </c>
    </row>
    <row r="96" spans="1:65" s="293" customFormat="1" ht="12.75" customHeight="1">
      <c r="A96" s="88" t="s">
        <v>1024</v>
      </c>
      <c r="B96" s="86"/>
      <c r="C96" s="86"/>
      <c r="D96" s="86"/>
      <c r="E96" s="86"/>
      <c r="F96" s="86"/>
      <c r="G96" s="87"/>
      <c r="H96" s="86"/>
      <c r="I96" s="86"/>
      <c r="J96" s="86"/>
      <c r="K96" s="86"/>
      <c r="L96" s="86"/>
      <c r="M96" s="87"/>
      <c r="N96" s="86"/>
      <c r="O96" s="86"/>
      <c r="P96" s="86"/>
      <c r="Q96" s="86"/>
      <c r="R96" s="86"/>
      <c r="S96" s="87"/>
      <c r="T96" s="86"/>
      <c r="U96" s="86"/>
      <c r="V96" s="86"/>
      <c r="W96" s="86"/>
      <c r="X96" s="86"/>
      <c r="Y96" s="87"/>
      <c r="Z96" s="86"/>
      <c r="AA96" s="86"/>
      <c r="AB96" s="86"/>
      <c r="AC96" s="86"/>
      <c r="AD96" s="86"/>
      <c r="AE96" s="87"/>
      <c r="AF96" s="86"/>
      <c r="AG96" s="86"/>
      <c r="AH96" s="207"/>
      <c r="AI96" s="202"/>
      <c r="AJ96" s="286">
        <f t="shared" si="94"/>
        <v>0</v>
      </c>
      <c r="AK96" s="286">
        <f t="shared" si="90"/>
        <v>0</v>
      </c>
      <c r="AL96" s="286">
        <f t="shared" si="90"/>
        <v>0</v>
      </c>
      <c r="AM96" s="286">
        <f t="shared" si="90"/>
        <v>0</v>
      </c>
      <c r="AN96" s="286">
        <f t="shared" si="90"/>
        <v>0</v>
      </c>
      <c r="AO96" s="292"/>
      <c r="AP96" s="292"/>
      <c r="AQ96" s="286">
        <f t="shared" si="95"/>
        <v>-609.04507499999977</v>
      </c>
      <c r="AR96" s="286">
        <f t="shared" si="91"/>
        <v>0</v>
      </c>
      <c r="AS96" s="286">
        <f t="shared" si="91"/>
        <v>0</v>
      </c>
      <c r="AT96" s="286">
        <f t="shared" si="91"/>
        <v>0</v>
      </c>
      <c r="AU96" s="286">
        <f t="shared" si="91"/>
        <v>0</v>
      </c>
      <c r="AV96" s="292"/>
      <c r="AW96" s="292"/>
      <c r="AX96" s="286">
        <f t="shared" si="96"/>
        <v>0</v>
      </c>
      <c r="AY96" s="286">
        <f t="shared" si="92"/>
        <v>-75.206916011249973</v>
      </c>
      <c r="AZ96" s="286">
        <f t="shared" si="92"/>
        <v>0</v>
      </c>
      <c r="BA96" s="286">
        <f t="shared" si="92"/>
        <v>0</v>
      </c>
      <c r="BB96" s="286">
        <f t="shared" si="92"/>
        <v>0</v>
      </c>
      <c r="BC96" s="292"/>
      <c r="BD96" s="292"/>
      <c r="BE96" s="286">
        <f t="shared" si="97"/>
        <v>0</v>
      </c>
      <c r="BF96" s="286">
        <f t="shared" si="93"/>
        <v>0</v>
      </c>
      <c r="BG96" s="286">
        <f t="shared" si="93"/>
        <v>0</v>
      </c>
      <c r="BH96" s="286">
        <f t="shared" si="93"/>
        <v>0</v>
      </c>
      <c r="BI96" s="286">
        <f t="shared" si="98"/>
        <v>0</v>
      </c>
      <c r="BJ96" s="292"/>
      <c r="BK96" s="292"/>
      <c r="BL96" s="286">
        <v>0</v>
      </c>
      <c r="BM96" s="286">
        <v>0</v>
      </c>
    </row>
    <row r="97" spans="1:65" s="293" customFormat="1" ht="12.75" customHeight="1">
      <c r="A97" s="88" t="s">
        <v>988</v>
      </c>
      <c r="B97" s="86"/>
      <c r="C97" s="86"/>
      <c r="D97" s="86"/>
      <c r="E97" s="86"/>
      <c r="F97" s="86"/>
      <c r="G97" s="87"/>
      <c r="H97" s="86"/>
      <c r="I97" s="86"/>
      <c r="J97" s="86"/>
      <c r="K97" s="86"/>
      <c r="L97" s="86"/>
      <c r="M97" s="87"/>
      <c r="N97" s="86"/>
      <c r="O97" s="86"/>
      <c r="P97" s="86"/>
      <c r="Q97" s="86"/>
      <c r="R97" s="86"/>
      <c r="S97" s="87"/>
      <c r="T97" s="86"/>
      <c r="U97" s="86"/>
      <c r="V97" s="86"/>
      <c r="W97" s="86"/>
      <c r="X97" s="86"/>
      <c r="Y97" s="87"/>
      <c r="Z97" s="86"/>
      <c r="AA97" s="86"/>
      <c r="AB97" s="86"/>
      <c r="AC97" s="86"/>
      <c r="AD97" s="86"/>
      <c r="AE97" s="87"/>
      <c r="AF97" s="86"/>
      <c r="AG97" s="86"/>
      <c r="AH97" s="207"/>
      <c r="AI97" s="202"/>
      <c r="AJ97" s="286">
        <f t="shared" si="94"/>
        <v>0</v>
      </c>
      <c r="AK97" s="286">
        <f t="shared" si="90"/>
        <v>0</v>
      </c>
      <c r="AL97" s="286">
        <f t="shared" si="90"/>
        <v>0</v>
      </c>
      <c r="AM97" s="286">
        <f t="shared" si="90"/>
        <v>0</v>
      </c>
      <c r="AN97" s="286">
        <f t="shared" si="90"/>
        <v>0</v>
      </c>
      <c r="AO97" s="292"/>
      <c r="AP97" s="292"/>
      <c r="AQ97" s="286">
        <f t="shared" si="95"/>
        <v>0</v>
      </c>
      <c r="AR97" s="286">
        <f t="shared" si="91"/>
        <v>0</v>
      </c>
      <c r="AS97" s="286">
        <f t="shared" si="91"/>
        <v>0</v>
      </c>
      <c r="AT97" s="286">
        <f t="shared" si="91"/>
        <v>0</v>
      </c>
      <c r="AU97" s="286">
        <f t="shared" si="91"/>
        <v>0</v>
      </c>
      <c r="AV97" s="292"/>
      <c r="AW97" s="292"/>
      <c r="AX97" s="286">
        <f t="shared" si="96"/>
        <v>0</v>
      </c>
      <c r="AY97" s="286">
        <f t="shared" si="92"/>
        <v>0</v>
      </c>
      <c r="AZ97" s="286">
        <f t="shared" si="92"/>
        <v>0</v>
      </c>
      <c r="BA97" s="286">
        <f t="shared" si="92"/>
        <v>0</v>
      </c>
      <c r="BB97" s="286">
        <f t="shared" si="92"/>
        <v>0</v>
      </c>
      <c r="BC97" s="292"/>
      <c r="BD97" s="292"/>
      <c r="BE97" s="286">
        <f t="shared" si="97"/>
        <v>-2537.6878124999989</v>
      </c>
      <c r="BF97" s="286">
        <f t="shared" si="93"/>
        <v>0</v>
      </c>
      <c r="BG97" s="286">
        <f t="shared" si="93"/>
        <v>0</v>
      </c>
      <c r="BH97" s="286">
        <f t="shared" si="93"/>
        <v>-3154.863639251249</v>
      </c>
      <c r="BI97" s="286">
        <f t="shared" si="98"/>
        <v>0</v>
      </c>
      <c r="BJ97" s="292"/>
      <c r="BK97" s="292"/>
      <c r="BL97" s="286">
        <v>0</v>
      </c>
      <c r="BM97" s="286">
        <v>0</v>
      </c>
    </row>
    <row r="98" spans="1:65" s="293" customFormat="1" ht="12.75" customHeight="1">
      <c r="A98" s="88" t="s">
        <v>271</v>
      </c>
      <c r="B98" s="86"/>
      <c r="C98" s="86"/>
      <c r="D98" s="86"/>
      <c r="E98" s="86"/>
      <c r="F98" s="86"/>
      <c r="G98" s="87"/>
      <c r="H98" s="86"/>
      <c r="I98" s="86"/>
      <c r="J98" s="86"/>
      <c r="K98" s="86"/>
      <c r="L98" s="86"/>
      <c r="M98" s="87"/>
      <c r="N98" s="86"/>
      <c r="O98" s="86"/>
      <c r="P98" s="86"/>
      <c r="Q98" s="86"/>
      <c r="R98" s="86"/>
      <c r="S98" s="87"/>
      <c r="T98" s="86"/>
      <c r="U98" s="86"/>
      <c r="V98" s="86"/>
      <c r="W98" s="86"/>
      <c r="X98" s="86"/>
      <c r="Y98" s="87"/>
      <c r="Z98" s="86"/>
      <c r="AA98" s="86"/>
      <c r="AB98" s="86"/>
      <c r="AC98" s="86"/>
      <c r="AD98" s="86"/>
      <c r="AE98" s="87"/>
      <c r="AF98" s="86"/>
      <c r="AG98" s="86"/>
      <c r="AH98" s="207"/>
      <c r="AI98" s="202"/>
      <c r="AJ98" s="286">
        <f t="shared" si="94"/>
        <v>1545.8173048574995</v>
      </c>
      <c r="AK98" s="286">
        <f t="shared" si="90"/>
        <v>1642.7772807974998</v>
      </c>
      <c r="AL98" s="286">
        <f t="shared" si="90"/>
        <v>239.75059377374993</v>
      </c>
      <c r="AM98" s="286">
        <f t="shared" si="90"/>
        <v>2459.1006963224991</v>
      </c>
      <c r="AN98" s="286">
        <f t="shared" si="90"/>
        <v>1441.9142150624994</v>
      </c>
      <c r="AO98" s="292"/>
      <c r="AP98" s="292"/>
      <c r="AQ98" s="286">
        <f t="shared" si="95"/>
        <v>4871.4876353924983</v>
      </c>
      <c r="AR98" s="286">
        <f t="shared" si="91"/>
        <v>499.90419755999989</v>
      </c>
      <c r="AS98" s="286">
        <f t="shared" si="91"/>
        <v>1529.7892686337498</v>
      </c>
      <c r="AT98" s="286">
        <f t="shared" si="91"/>
        <v>2763.1867515187491</v>
      </c>
      <c r="AU98" s="286">
        <f t="shared" si="91"/>
        <v>1578.4519701262493</v>
      </c>
      <c r="AV98" s="292"/>
      <c r="AW98" s="292"/>
      <c r="AX98" s="286">
        <f t="shared" si="96"/>
        <v>4817.7089552699981</v>
      </c>
      <c r="AY98" s="286">
        <f t="shared" si="92"/>
        <v>363.12282446624994</v>
      </c>
      <c r="AZ98" s="286">
        <f t="shared" si="92"/>
        <v>1641.3967786274995</v>
      </c>
      <c r="BA98" s="286">
        <f t="shared" si="92"/>
        <v>0</v>
      </c>
      <c r="BB98" s="286">
        <f t="shared" si="92"/>
        <v>0</v>
      </c>
      <c r="BC98" s="292"/>
      <c r="BD98" s="292"/>
      <c r="BE98" s="286">
        <f t="shared" si="97"/>
        <v>5234.4378970874996</v>
      </c>
      <c r="BF98" s="286">
        <f t="shared" si="93"/>
        <v>0</v>
      </c>
      <c r="BG98" s="286">
        <f t="shared" si="93"/>
        <v>1737.0067046512495</v>
      </c>
      <c r="BH98" s="286">
        <f t="shared" si="93"/>
        <v>889.30731701249965</v>
      </c>
      <c r="BI98" s="286">
        <f t="shared" si="98"/>
        <v>1272.1225989037498</v>
      </c>
      <c r="BJ98" s="292"/>
      <c r="BK98" s="292"/>
      <c r="BL98" s="286">
        <v>0</v>
      </c>
      <c r="BM98" s="286">
        <v>0</v>
      </c>
    </row>
    <row r="99" spans="1:65" s="293" customFormat="1" ht="12.75" customHeight="1">
      <c r="A99" s="88" t="s">
        <v>1025</v>
      </c>
      <c r="B99" s="88"/>
      <c r="C99" s="88"/>
      <c r="D99" s="88"/>
      <c r="E99" s="88"/>
      <c r="F99" s="88"/>
      <c r="G99" s="89"/>
      <c r="H99" s="88"/>
      <c r="I99" s="88"/>
      <c r="J99" s="88"/>
      <c r="K99" s="88"/>
      <c r="L99" s="350"/>
      <c r="M99" s="89"/>
      <c r="N99" s="88"/>
      <c r="O99" s="88"/>
      <c r="P99" s="88"/>
      <c r="Q99" s="88"/>
      <c r="R99" s="88"/>
      <c r="S99" s="89"/>
      <c r="T99" s="88"/>
      <c r="U99" s="88"/>
      <c r="V99" s="88"/>
      <c r="W99" s="88"/>
      <c r="X99" s="88"/>
      <c r="Y99" s="89"/>
      <c r="Z99" s="88"/>
      <c r="AA99" s="88"/>
      <c r="AB99" s="88"/>
      <c r="AC99" s="88"/>
      <c r="AD99" s="88"/>
      <c r="AE99" s="89"/>
      <c r="AF99" s="88"/>
      <c r="AG99" s="88"/>
      <c r="AH99" s="207"/>
      <c r="AI99" s="202"/>
      <c r="AJ99" s="286">
        <f t="shared" si="94"/>
        <v>0</v>
      </c>
      <c r="AK99" s="286">
        <f t="shared" si="90"/>
        <v>0</v>
      </c>
      <c r="AL99" s="286">
        <f t="shared" si="90"/>
        <v>0</v>
      </c>
      <c r="AM99" s="286">
        <f t="shared" si="90"/>
        <v>0</v>
      </c>
      <c r="AN99" s="286">
        <f t="shared" si="90"/>
        <v>0</v>
      </c>
      <c r="AO99" s="292"/>
      <c r="AP99" s="292"/>
      <c r="AQ99" s="286">
        <f t="shared" si="95"/>
        <v>0</v>
      </c>
      <c r="AR99" s="286">
        <f t="shared" si="91"/>
        <v>-2170.2306172499993</v>
      </c>
      <c r="AS99" s="286">
        <f t="shared" si="91"/>
        <v>0</v>
      </c>
      <c r="AT99" s="286">
        <f t="shared" si="91"/>
        <v>0</v>
      </c>
      <c r="AU99" s="286">
        <f t="shared" si="91"/>
        <v>0</v>
      </c>
      <c r="AV99" s="292"/>
      <c r="AW99" s="292"/>
      <c r="AX99" s="286">
        <f t="shared" si="96"/>
        <v>0</v>
      </c>
      <c r="AY99" s="286">
        <f t="shared" si="92"/>
        <v>0</v>
      </c>
      <c r="AZ99" s="286">
        <f t="shared" si="92"/>
        <v>0</v>
      </c>
      <c r="BA99" s="286">
        <f t="shared" si="92"/>
        <v>0</v>
      </c>
      <c r="BB99" s="286">
        <f t="shared" si="92"/>
        <v>0</v>
      </c>
      <c r="BC99" s="292"/>
      <c r="BD99" s="292"/>
      <c r="BE99" s="286">
        <f t="shared" si="97"/>
        <v>0</v>
      </c>
      <c r="BF99" s="286">
        <f t="shared" si="93"/>
        <v>0</v>
      </c>
      <c r="BG99" s="286">
        <f t="shared" si="93"/>
        <v>0</v>
      </c>
      <c r="BH99" s="286">
        <f t="shared" si="93"/>
        <v>0</v>
      </c>
      <c r="BI99" s="286">
        <f t="shared" si="98"/>
        <v>0</v>
      </c>
      <c r="BJ99" s="292"/>
      <c r="BK99" s="292"/>
      <c r="BL99" s="286">
        <v>0</v>
      </c>
      <c r="BM99" s="286">
        <v>0</v>
      </c>
    </row>
    <row r="100" spans="1:65" s="293" customFormat="1" ht="12.75" customHeight="1">
      <c r="A100" s="88" t="s">
        <v>977</v>
      </c>
      <c r="B100" s="88"/>
      <c r="C100" s="88"/>
      <c r="D100" s="88"/>
      <c r="E100" s="88"/>
      <c r="F100" s="88"/>
      <c r="G100" s="89"/>
      <c r="H100" s="88"/>
      <c r="I100" s="88"/>
      <c r="J100" s="88"/>
      <c r="K100" s="88"/>
      <c r="L100" s="351"/>
      <c r="M100" s="89"/>
      <c r="N100" s="88"/>
      <c r="O100" s="88"/>
      <c r="P100" s="88"/>
      <c r="Q100" s="88"/>
      <c r="R100" s="88"/>
      <c r="S100" s="89"/>
      <c r="T100" s="88"/>
      <c r="U100" s="88"/>
      <c r="V100" s="88"/>
      <c r="W100" s="88"/>
      <c r="X100" s="88"/>
      <c r="Y100" s="89"/>
      <c r="Z100" s="88"/>
      <c r="AA100" s="88"/>
      <c r="AB100" s="88"/>
      <c r="AC100" s="88"/>
      <c r="AD100" s="88"/>
      <c r="AE100" s="89"/>
      <c r="AF100" s="88"/>
      <c r="AG100" s="88"/>
      <c r="AH100" s="207"/>
      <c r="AI100" s="202"/>
      <c r="AJ100" s="286">
        <f t="shared" si="94"/>
        <v>-50.296972443749986</v>
      </c>
      <c r="AK100" s="286">
        <f t="shared" si="90"/>
        <v>0</v>
      </c>
      <c r="AL100" s="286">
        <f t="shared" si="90"/>
        <v>0</v>
      </c>
      <c r="AM100" s="286">
        <f t="shared" si="90"/>
        <v>0</v>
      </c>
      <c r="AN100" s="286">
        <f t="shared" si="90"/>
        <v>0</v>
      </c>
      <c r="AO100" s="292"/>
      <c r="AP100" s="292"/>
      <c r="AQ100" s="286">
        <f t="shared" si="95"/>
        <v>0</v>
      </c>
      <c r="AR100" s="286">
        <f t="shared" si="91"/>
        <v>0</v>
      </c>
      <c r="AS100" s="286">
        <f t="shared" si="91"/>
        <v>0</v>
      </c>
      <c r="AT100" s="286">
        <f t="shared" si="91"/>
        <v>0</v>
      </c>
      <c r="AU100" s="286">
        <f t="shared" si="91"/>
        <v>0</v>
      </c>
      <c r="AV100" s="292"/>
      <c r="AW100" s="292"/>
      <c r="AX100" s="286">
        <f t="shared" si="96"/>
        <v>-76.130634374999971</v>
      </c>
      <c r="AY100" s="286">
        <f t="shared" si="92"/>
        <v>0</v>
      </c>
      <c r="AZ100" s="286">
        <f t="shared" si="92"/>
        <v>0</v>
      </c>
      <c r="BA100" s="286">
        <f t="shared" si="92"/>
        <v>0</v>
      </c>
      <c r="BB100" s="286">
        <f t="shared" si="92"/>
        <v>0</v>
      </c>
      <c r="BC100" s="292"/>
      <c r="BD100" s="292"/>
      <c r="BE100" s="286">
        <f t="shared" si="97"/>
        <v>-70.253349401249977</v>
      </c>
      <c r="BF100" s="286">
        <f t="shared" si="93"/>
        <v>0</v>
      </c>
      <c r="BG100" s="286">
        <f t="shared" si="93"/>
        <v>0</v>
      </c>
      <c r="BH100" s="286">
        <f t="shared" si="93"/>
        <v>0</v>
      </c>
      <c r="BI100" s="286">
        <f t="shared" si="98"/>
        <v>0</v>
      </c>
      <c r="BJ100" s="292"/>
      <c r="BK100" s="292"/>
      <c r="BL100" s="286">
        <v>0</v>
      </c>
      <c r="BM100" s="286">
        <v>0</v>
      </c>
    </row>
    <row r="101" spans="1:65" s="293" customFormat="1" ht="12.75" customHeight="1">
      <c r="A101" s="88" t="s">
        <v>1026</v>
      </c>
      <c r="B101" s="88"/>
      <c r="C101" s="88"/>
      <c r="D101" s="88"/>
      <c r="E101" s="88"/>
      <c r="F101" s="88"/>
      <c r="G101" s="89"/>
      <c r="H101" s="88"/>
      <c r="I101" s="88"/>
      <c r="J101" s="88"/>
      <c r="K101" s="88"/>
      <c r="L101" s="351"/>
      <c r="M101" s="89"/>
      <c r="N101" s="88"/>
      <c r="O101" s="88"/>
      <c r="P101" s="88"/>
      <c r="Q101" s="88"/>
      <c r="R101" s="88"/>
      <c r="S101" s="89"/>
      <c r="T101" s="88"/>
      <c r="U101" s="88"/>
      <c r="V101" s="88"/>
      <c r="W101" s="88"/>
      <c r="X101" s="88"/>
      <c r="Y101" s="89"/>
      <c r="Z101" s="88"/>
      <c r="AA101" s="88"/>
      <c r="AB101" s="88"/>
      <c r="AC101" s="88"/>
      <c r="AD101" s="88"/>
      <c r="AE101" s="89"/>
      <c r="AF101" s="88"/>
      <c r="AG101" s="88"/>
      <c r="AH101" s="207"/>
      <c r="AI101" s="202"/>
      <c r="AJ101" s="286">
        <f t="shared" si="94"/>
        <v>0</v>
      </c>
      <c r="AK101" s="286">
        <f t="shared" si="90"/>
        <v>0</v>
      </c>
      <c r="AL101" s="286">
        <f t="shared" si="90"/>
        <v>0</v>
      </c>
      <c r="AM101" s="286">
        <f t="shared" si="90"/>
        <v>0</v>
      </c>
      <c r="AN101" s="286">
        <f t="shared" si="90"/>
        <v>0</v>
      </c>
      <c r="AO101" s="292"/>
      <c r="AP101" s="292"/>
      <c r="AQ101" s="286">
        <f t="shared" si="95"/>
        <v>0</v>
      </c>
      <c r="AR101" s="286">
        <f t="shared" si="91"/>
        <v>0</v>
      </c>
      <c r="AS101" s="286">
        <f t="shared" si="91"/>
        <v>0</v>
      </c>
      <c r="AT101" s="286">
        <f t="shared" si="91"/>
        <v>0</v>
      </c>
      <c r="AU101" s="286">
        <f t="shared" si="91"/>
        <v>0</v>
      </c>
      <c r="AV101" s="292"/>
      <c r="AW101" s="292"/>
      <c r="AX101" s="286">
        <f t="shared" si="96"/>
        <v>0</v>
      </c>
      <c r="AY101" s="286">
        <f t="shared" si="92"/>
        <v>0</v>
      </c>
      <c r="AZ101" s="286">
        <f t="shared" si="92"/>
        <v>0</v>
      </c>
      <c r="BA101" s="286">
        <f t="shared" si="92"/>
        <v>0</v>
      </c>
      <c r="BB101" s="286">
        <f t="shared" si="92"/>
        <v>0</v>
      </c>
      <c r="BC101" s="292"/>
      <c r="BD101" s="292"/>
      <c r="BE101" s="286">
        <f t="shared" si="97"/>
        <v>20.301502499999991</v>
      </c>
      <c r="BF101" s="286">
        <f t="shared" si="93"/>
        <v>0</v>
      </c>
      <c r="BG101" s="286">
        <f t="shared" si="93"/>
        <v>0</v>
      </c>
      <c r="BH101" s="286">
        <f t="shared" si="93"/>
        <v>0</v>
      </c>
      <c r="BI101" s="286">
        <f t="shared" si="98"/>
        <v>0</v>
      </c>
      <c r="BJ101" s="292"/>
      <c r="BK101" s="292"/>
      <c r="BL101" s="286">
        <v>0</v>
      </c>
      <c r="BM101" s="286">
        <v>0</v>
      </c>
    </row>
    <row r="102" spans="1:65" s="293" customFormat="1" ht="12.75" customHeight="1">
      <c r="A102" s="88" t="s">
        <v>1027</v>
      </c>
      <c r="B102" s="88"/>
      <c r="C102" s="88"/>
      <c r="D102" s="88"/>
      <c r="E102" s="88"/>
      <c r="F102" s="88"/>
      <c r="G102" s="89"/>
      <c r="H102" s="88"/>
      <c r="I102" s="88"/>
      <c r="J102" s="88"/>
      <c r="K102" s="88"/>
      <c r="L102" s="351"/>
      <c r="M102" s="89"/>
      <c r="N102" s="88"/>
      <c r="O102" s="88"/>
      <c r="P102" s="88"/>
      <c r="Q102" s="88"/>
      <c r="R102" s="88"/>
      <c r="S102" s="89"/>
      <c r="T102" s="88"/>
      <c r="U102" s="88"/>
      <c r="V102" s="88"/>
      <c r="W102" s="88"/>
      <c r="X102" s="88"/>
      <c r="Y102" s="89"/>
      <c r="Z102" s="88"/>
      <c r="AA102" s="88"/>
      <c r="AB102" s="88"/>
      <c r="AC102" s="88"/>
      <c r="AD102" s="88"/>
      <c r="AE102" s="89"/>
      <c r="AF102" s="88"/>
      <c r="AG102" s="88"/>
      <c r="AH102" s="207"/>
      <c r="AI102" s="202"/>
      <c r="AJ102" s="286">
        <f t="shared" si="94"/>
        <v>0</v>
      </c>
      <c r="AK102" s="286">
        <f t="shared" si="90"/>
        <v>0</v>
      </c>
      <c r="AL102" s="286">
        <f t="shared" si="90"/>
        <v>0</v>
      </c>
      <c r="AM102" s="286">
        <f t="shared" si="90"/>
        <v>0</v>
      </c>
      <c r="AN102" s="286">
        <f t="shared" si="90"/>
        <v>0</v>
      </c>
      <c r="AO102" s="292"/>
      <c r="AP102" s="292"/>
      <c r="AQ102" s="286">
        <f t="shared" si="95"/>
        <v>0</v>
      </c>
      <c r="AR102" s="286">
        <f t="shared" si="91"/>
        <v>0</v>
      </c>
      <c r="AS102" s="286">
        <f t="shared" si="91"/>
        <v>0</v>
      </c>
      <c r="AT102" s="286">
        <f t="shared" si="91"/>
        <v>0</v>
      </c>
      <c r="AU102" s="286">
        <f t="shared" si="91"/>
        <v>0</v>
      </c>
      <c r="AV102" s="292"/>
      <c r="AW102" s="292"/>
      <c r="AX102" s="286">
        <f t="shared" si="96"/>
        <v>-40.603004999999982</v>
      </c>
      <c r="AY102" s="286">
        <f t="shared" si="92"/>
        <v>0</v>
      </c>
      <c r="AZ102" s="286">
        <f t="shared" si="92"/>
        <v>0</v>
      </c>
      <c r="BA102" s="286">
        <f t="shared" si="92"/>
        <v>0</v>
      </c>
      <c r="BB102" s="286">
        <f t="shared" si="92"/>
        <v>0</v>
      </c>
      <c r="BC102" s="292"/>
      <c r="BD102" s="292"/>
      <c r="BE102" s="286">
        <f t="shared" si="97"/>
        <v>-195.58467508499996</v>
      </c>
      <c r="BF102" s="286">
        <f t="shared" si="93"/>
        <v>0</v>
      </c>
      <c r="BG102" s="286">
        <f t="shared" si="93"/>
        <v>0</v>
      </c>
      <c r="BH102" s="286">
        <f t="shared" si="93"/>
        <v>0</v>
      </c>
      <c r="BI102" s="286">
        <f t="shared" si="98"/>
        <v>0</v>
      </c>
      <c r="BJ102" s="292"/>
      <c r="BK102" s="292"/>
      <c r="BL102" s="286">
        <v>0</v>
      </c>
      <c r="BM102" s="286">
        <v>0</v>
      </c>
    </row>
    <row r="103" spans="1:65" ht="13.5" customHeight="1" thickBot="1">
      <c r="A103" s="97" t="s">
        <v>204</v>
      </c>
      <c r="B103" s="98">
        <f>SUM(B86:B102)</f>
        <v>1051689.24</v>
      </c>
      <c r="C103" s="98">
        <f>SUM(C86:C102)</f>
        <v>1596892.23</v>
      </c>
      <c r="D103" s="98">
        <f>SUM(D86:D102)</f>
        <v>1336078.1400000001</v>
      </c>
      <c r="E103" s="98">
        <f>SUM(E86:E102)</f>
        <v>864897.47000000067</v>
      </c>
      <c r="F103" s="98">
        <f>SUM(F86:F102)</f>
        <v>8753630.6400000006</v>
      </c>
      <c r="G103" s="99"/>
      <c r="H103" s="98">
        <f>SUM(H86:H102)</f>
        <v>8753630.6400000006</v>
      </c>
      <c r="I103" s="98">
        <f>SUM(I86:I102)</f>
        <v>8753630.6400000006</v>
      </c>
      <c r="J103" s="98">
        <f>SUM(J86:J102)</f>
        <v>8753630.6400000006</v>
      </c>
      <c r="K103" s="98">
        <f>SUM(K86:K102)</f>
        <v>8753630.6400000006</v>
      </c>
      <c r="L103" s="98">
        <f>SUM(L86:L102)</f>
        <v>8753630.6400000006</v>
      </c>
      <c r="M103" s="99"/>
      <c r="N103" s="98">
        <f>SUM(N86:N102)</f>
        <v>8753630.6400000006</v>
      </c>
      <c r="O103" s="98">
        <f>SUM(O86:O102)</f>
        <v>8753630.6400000006</v>
      </c>
      <c r="P103" s="98">
        <f>SUM(P86:P102)</f>
        <v>8753630.6400000006</v>
      </c>
      <c r="Q103" s="98">
        <f>SUM(Q86:Q102)</f>
        <v>8753630.6400000006</v>
      </c>
      <c r="R103" s="98">
        <f>SUM(R86:R102)</f>
        <v>8753630.6400000006</v>
      </c>
      <c r="S103" s="99"/>
      <c r="T103" s="98">
        <f>SUM(T86:T102)</f>
        <v>8753630.6400000006</v>
      </c>
      <c r="U103" s="98">
        <f>SUM(U86:U102)</f>
        <v>8753630.6400000006</v>
      </c>
      <c r="V103" s="98">
        <f>SUM(V86:V102)</f>
        <v>8753630.6400000006</v>
      </c>
      <c r="W103" s="98">
        <f>SUM(W86:W102)</f>
        <v>8753630.6400000006</v>
      </c>
      <c r="X103" s="98">
        <f>SUM(X86:X102)</f>
        <v>8753630.6400000006</v>
      </c>
      <c r="Y103" s="99"/>
      <c r="Z103" s="98">
        <f>SUM(Z86:Z102)</f>
        <v>8753630.6400000006</v>
      </c>
      <c r="AA103" s="98">
        <f>SUM(AA86:AA102)</f>
        <v>8753630.6400000006</v>
      </c>
      <c r="AB103" s="98">
        <f>SUM(AB86:AB102)</f>
        <v>8753630.6400000006</v>
      </c>
      <c r="AC103" s="98">
        <f>SUM(AC86:AC102)</f>
        <v>8753630.6400000006</v>
      </c>
      <c r="AD103" s="98">
        <f>SUM(AD86:AD102)</f>
        <v>8753630.6400000006</v>
      </c>
      <c r="AE103" s="99"/>
      <c r="AF103" s="98">
        <f t="shared" ref="AF103:BM103" si="99">SUM(AF86:AF102)</f>
        <v>8753630.6400000006</v>
      </c>
      <c r="AG103" s="98">
        <f t="shared" si="99"/>
        <v>8753630.6400000006</v>
      </c>
      <c r="AH103" s="98">
        <f t="shared" si="99"/>
        <v>50697.25</v>
      </c>
      <c r="AI103" s="98">
        <f t="shared" si="99"/>
        <v>50697.25</v>
      </c>
      <c r="AJ103" s="98">
        <f t="shared" si="99"/>
        <v>50428.275393377502</v>
      </c>
      <c r="AK103" s="98">
        <f t="shared" si="99"/>
        <v>51788.567417638747</v>
      </c>
      <c r="AL103" s="98">
        <f t="shared" si="99"/>
        <v>48898.374466479996</v>
      </c>
      <c r="AM103" s="98">
        <f t="shared" si="99"/>
        <v>47593.607051556246</v>
      </c>
      <c r="AN103" s="98">
        <f t="shared" si="99"/>
        <v>49035.521266618744</v>
      </c>
      <c r="AO103" s="98">
        <f t="shared" si="99"/>
        <v>49035.521266618744</v>
      </c>
      <c r="AP103" s="98">
        <f t="shared" si="99"/>
        <v>49035.521266618744</v>
      </c>
      <c r="AQ103" s="98">
        <f t="shared" si="99"/>
        <v>51177.167368348739</v>
      </c>
      <c r="AR103" s="98">
        <f t="shared" si="99"/>
        <v>49191.690574599983</v>
      </c>
      <c r="AS103" s="98">
        <f t="shared" si="99"/>
        <v>46711.445863423738</v>
      </c>
      <c r="AT103" s="98">
        <f t="shared" si="99"/>
        <v>48790.959216752482</v>
      </c>
      <c r="AU103" s="98">
        <f t="shared" si="99"/>
        <v>50321.88536952623</v>
      </c>
      <c r="AV103" s="98">
        <f t="shared" si="99"/>
        <v>50321.88536952623</v>
      </c>
      <c r="AW103" s="98">
        <f t="shared" si="99"/>
        <v>50321.88536952623</v>
      </c>
      <c r="AX103" s="98">
        <f t="shared" si="99"/>
        <v>52331.297634722483</v>
      </c>
      <c r="AY103" s="98">
        <f t="shared" si="99"/>
        <v>52473.164534192481</v>
      </c>
      <c r="AZ103" s="98">
        <f t="shared" si="99"/>
        <v>53714.895783853732</v>
      </c>
      <c r="BA103" s="98">
        <f t="shared" si="99"/>
        <v>53714.895783853732</v>
      </c>
      <c r="BB103" s="98">
        <f t="shared" si="99"/>
        <v>53714.895783853732</v>
      </c>
      <c r="BC103" s="98">
        <f t="shared" si="99"/>
        <v>53714.895783853732</v>
      </c>
      <c r="BD103" s="98">
        <f t="shared" si="99"/>
        <v>53714.895783853732</v>
      </c>
      <c r="BE103" s="98">
        <f t="shared" si="99"/>
        <v>55073.594140168723</v>
      </c>
      <c r="BF103" s="98">
        <f t="shared" si="99"/>
        <v>55073.594140168723</v>
      </c>
      <c r="BG103" s="98">
        <f t="shared" si="99"/>
        <v>53783.707726577464</v>
      </c>
      <c r="BH103" s="98">
        <f t="shared" si="99"/>
        <v>50973.624504283711</v>
      </c>
      <c r="BI103" s="98">
        <f t="shared" si="99"/>
        <v>50190.98128140621</v>
      </c>
      <c r="BJ103" s="98">
        <f t="shared" si="99"/>
        <v>50190.98128140621</v>
      </c>
      <c r="BK103" s="98">
        <f t="shared" si="99"/>
        <v>50190.98128140621</v>
      </c>
      <c r="BL103" s="98">
        <f t="shared" si="99"/>
        <v>50190.98128140621</v>
      </c>
      <c r="BM103" s="98">
        <f t="shared" si="99"/>
        <v>50190.98128140621</v>
      </c>
    </row>
    <row r="104" spans="1:65" ht="15" customHeight="1" thickTop="1"/>
    <row r="107" spans="1:65" s="208" customFormat="1" ht="19.5">
      <c r="A107" s="5" t="s">
        <v>1018</v>
      </c>
      <c r="B107" s="209"/>
      <c r="C107" s="209"/>
      <c r="D107" s="209"/>
      <c r="E107" s="209"/>
      <c r="F107" s="209"/>
      <c r="G107" s="210"/>
      <c r="H107" s="209"/>
      <c r="I107" s="209"/>
      <c r="J107" s="209"/>
      <c r="K107" s="209"/>
      <c r="L107" s="209"/>
      <c r="M107" s="210"/>
      <c r="N107" s="209"/>
      <c r="O107" s="209"/>
      <c r="P107" s="209"/>
      <c r="Q107" s="209"/>
      <c r="R107" s="209"/>
      <c r="S107" s="210"/>
      <c r="T107" s="209"/>
      <c r="U107" s="209"/>
      <c r="V107" s="209"/>
      <c r="W107" s="209"/>
      <c r="X107" s="209"/>
      <c r="Y107" s="210"/>
      <c r="Z107" s="209"/>
      <c r="AA107" s="209"/>
      <c r="AB107" s="209"/>
      <c r="AC107" s="209"/>
      <c r="AD107" s="209"/>
      <c r="AE107" s="210"/>
      <c r="AF107" s="209"/>
      <c r="AG107" s="209"/>
      <c r="AH107" s="209"/>
      <c r="AI107" s="209"/>
      <c r="AJ107" s="209"/>
      <c r="AK107" s="209"/>
      <c r="AL107" s="209"/>
      <c r="AM107" s="209"/>
      <c r="AN107" s="209"/>
      <c r="AO107" s="209"/>
      <c r="AP107" s="209"/>
      <c r="AQ107" s="209"/>
      <c r="AR107" s="209"/>
      <c r="AS107" s="209"/>
      <c r="AT107" s="209"/>
      <c r="AU107" s="209"/>
      <c r="AV107" s="209"/>
      <c r="AW107" s="209"/>
      <c r="AX107" s="209"/>
      <c r="AY107" s="209"/>
      <c r="AZ107" s="209"/>
      <c r="BA107" s="209"/>
      <c r="BB107" s="209"/>
      <c r="BC107" s="209"/>
      <c r="BD107" s="209"/>
      <c r="BE107" s="209"/>
      <c r="BF107" s="209"/>
      <c r="BG107" s="209"/>
      <c r="BH107" s="209"/>
      <c r="BI107" s="209"/>
      <c r="BJ107" s="209"/>
      <c r="BK107" s="209"/>
      <c r="BL107" s="209"/>
      <c r="BM107" s="209"/>
    </row>
    <row r="108" spans="1:65" s="208" customFormat="1" ht="19.5">
      <c r="A108" s="5" t="s">
        <v>1031</v>
      </c>
      <c r="B108" s="209"/>
      <c r="C108" s="209"/>
      <c r="D108" s="209"/>
      <c r="E108" s="209"/>
      <c r="F108" s="209"/>
      <c r="G108" s="210"/>
      <c r="H108" s="209"/>
      <c r="I108" s="209"/>
      <c r="J108" s="209"/>
      <c r="K108" s="209"/>
      <c r="L108" s="209"/>
      <c r="M108" s="210"/>
      <c r="N108" s="209"/>
      <c r="O108" s="209"/>
      <c r="P108" s="209"/>
      <c r="Q108" s="209"/>
      <c r="R108" s="209"/>
      <c r="S108" s="210"/>
      <c r="T108" s="209"/>
      <c r="U108" s="209"/>
      <c r="V108" s="209"/>
      <c r="W108" s="209"/>
      <c r="X108" s="209"/>
      <c r="Y108" s="210"/>
      <c r="Z108" s="209"/>
      <c r="AA108" s="209"/>
      <c r="AB108" s="209"/>
      <c r="AC108" s="209"/>
      <c r="AD108" s="209"/>
      <c r="AE108" s="210"/>
      <c r="AF108" s="209"/>
      <c r="AG108" s="209"/>
      <c r="AH108" s="209"/>
      <c r="AI108" s="209"/>
      <c r="AJ108" s="209"/>
      <c r="AK108" s="209"/>
      <c r="AL108" s="209"/>
      <c r="AM108" s="209"/>
      <c r="AN108" s="209"/>
      <c r="AO108" s="209"/>
      <c r="AP108" s="209"/>
      <c r="AQ108" s="209"/>
      <c r="AR108" s="209"/>
      <c r="AS108" s="209"/>
      <c r="AT108" s="209"/>
      <c r="AU108" s="209"/>
      <c r="AV108" s="209"/>
      <c r="AW108" s="209"/>
      <c r="AX108" s="209"/>
      <c r="AY108" s="209"/>
      <c r="AZ108" s="209"/>
      <c r="BA108" s="209"/>
      <c r="BB108" s="209"/>
      <c r="BC108" s="209"/>
      <c r="BD108" s="209"/>
      <c r="BE108" s="209"/>
      <c r="BF108" s="209"/>
      <c r="BG108" s="209"/>
      <c r="BH108" s="209"/>
      <c r="BI108" s="209"/>
      <c r="BJ108" s="209"/>
      <c r="BK108" s="209"/>
      <c r="BL108" s="209"/>
      <c r="BM108" s="209"/>
    </row>
    <row r="109" spans="1:65" s="208" customFormat="1" ht="13.5" customHeight="1">
      <c r="A109" s="209"/>
      <c r="B109" s="209"/>
      <c r="C109" s="209"/>
      <c r="D109" s="209"/>
      <c r="E109" s="209"/>
      <c r="F109" s="209"/>
      <c r="G109" s="210"/>
      <c r="H109" s="209"/>
      <c r="I109" s="209"/>
      <c r="J109" s="209"/>
      <c r="K109" s="209"/>
      <c r="L109" s="209"/>
      <c r="M109" s="210"/>
      <c r="N109" s="209"/>
      <c r="O109" s="209"/>
      <c r="P109" s="209"/>
      <c r="Q109" s="209"/>
      <c r="R109" s="209"/>
      <c r="S109" s="210"/>
      <c r="T109" s="209"/>
      <c r="U109" s="209"/>
      <c r="V109" s="209"/>
      <c r="W109" s="209"/>
      <c r="X109" s="209"/>
      <c r="Y109" s="210"/>
      <c r="Z109" s="209"/>
      <c r="AA109" s="209"/>
      <c r="AB109" s="209"/>
      <c r="AC109" s="209"/>
      <c r="AD109" s="209"/>
      <c r="AE109" s="210"/>
      <c r="AF109" s="209"/>
      <c r="AG109" s="209"/>
      <c r="AH109" s="209"/>
      <c r="AI109" s="209"/>
      <c r="AJ109" s="209"/>
      <c r="AK109" s="209"/>
      <c r="AL109" s="209"/>
      <c r="AM109" s="209"/>
      <c r="AN109" s="209"/>
      <c r="AO109" s="209"/>
      <c r="AP109" s="209"/>
      <c r="AQ109" s="209"/>
      <c r="AR109" s="209"/>
      <c r="AS109" s="209"/>
      <c r="AT109" s="209"/>
      <c r="AU109" s="209"/>
      <c r="AV109" s="209"/>
      <c r="AW109" s="209"/>
      <c r="AX109" s="209"/>
      <c r="AY109" s="209"/>
      <c r="AZ109" s="209"/>
      <c r="BA109" s="209"/>
      <c r="BB109" s="209"/>
      <c r="BC109" s="209"/>
      <c r="BD109" s="209"/>
      <c r="BE109" s="209"/>
      <c r="BF109" s="209"/>
      <c r="BG109" s="209"/>
      <c r="BH109" s="209"/>
      <c r="BI109" s="209"/>
      <c r="BJ109" s="209"/>
      <c r="BK109" s="209"/>
      <c r="BL109" s="209"/>
      <c r="BM109" s="209"/>
    </row>
    <row r="110" spans="1:65" ht="12.75" customHeight="1">
      <c r="A110" s="82"/>
      <c r="B110" s="83">
        <f t="shared" ref="B110:F110" si="100">+B111</f>
        <v>41813</v>
      </c>
      <c r="C110" s="83">
        <f t="shared" si="100"/>
        <v>41814</v>
      </c>
      <c r="D110" s="83">
        <f t="shared" si="100"/>
        <v>41815</v>
      </c>
      <c r="E110" s="83">
        <f t="shared" si="100"/>
        <v>41816</v>
      </c>
      <c r="F110" s="83">
        <f t="shared" si="100"/>
        <v>41817</v>
      </c>
      <c r="G110" s="84"/>
      <c r="H110" s="83">
        <f t="shared" ref="H110:L110" si="101">+H111</f>
        <v>41820</v>
      </c>
      <c r="I110" s="83">
        <f t="shared" si="101"/>
        <v>41821</v>
      </c>
      <c r="J110" s="83">
        <f t="shared" si="101"/>
        <v>41822</v>
      </c>
      <c r="K110" s="83">
        <f t="shared" si="101"/>
        <v>41823</v>
      </c>
      <c r="L110" s="83">
        <f t="shared" si="101"/>
        <v>41824</v>
      </c>
      <c r="M110" s="84"/>
      <c r="N110" s="83">
        <f t="shared" ref="N110:R110" si="102">+N111</f>
        <v>41827</v>
      </c>
      <c r="O110" s="83">
        <f t="shared" si="102"/>
        <v>41828</v>
      </c>
      <c r="P110" s="83">
        <f t="shared" si="102"/>
        <v>41829</v>
      </c>
      <c r="Q110" s="83">
        <f t="shared" si="102"/>
        <v>41830</v>
      </c>
      <c r="R110" s="83">
        <f t="shared" si="102"/>
        <v>41831</v>
      </c>
      <c r="S110" s="84"/>
      <c r="T110" s="83">
        <f t="shared" ref="T110:X110" si="103">+T111</f>
        <v>41834</v>
      </c>
      <c r="U110" s="83">
        <f t="shared" si="103"/>
        <v>41835</v>
      </c>
      <c r="V110" s="83">
        <f t="shared" si="103"/>
        <v>41836</v>
      </c>
      <c r="W110" s="83">
        <f t="shared" si="103"/>
        <v>41837</v>
      </c>
      <c r="X110" s="83">
        <f t="shared" si="103"/>
        <v>41838</v>
      </c>
      <c r="Y110" s="84"/>
      <c r="Z110" s="83">
        <f t="shared" ref="Z110:AD110" si="104">+Z111</f>
        <v>41841</v>
      </c>
      <c r="AA110" s="83">
        <f t="shared" si="104"/>
        <v>41842</v>
      </c>
      <c r="AB110" s="83">
        <f t="shared" si="104"/>
        <v>41843</v>
      </c>
      <c r="AC110" s="83">
        <f t="shared" si="104"/>
        <v>41844</v>
      </c>
      <c r="AD110" s="83">
        <f t="shared" si="104"/>
        <v>41845</v>
      </c>
      <c r="AE110" s="84"/>
      <c r="AF110" s="83">
        <f t="shared" ref="AF110:AG110" si="105">+AF111</f>
        <v>41848</v>
      </c>
      <c r="AG110" s="83">
        <f t="shared" si="105"/>
        <v>41849</v>
      </c>
      <c r="AH110" s="83" t="s">
        <v>181</v>
      </c>
      <c r="AI110" s="273" t="s">
        <v>176</v>
      </c>
      <c r="AJ110" s="273" t="s">
        <v>177</v>
      </c>
      <c r="AK110" s="273" t="s">
        <v>178</v>
      </c>
      <c r="AL110" s="273" t="s">
        <v>173</v>
      </c>
      <c r="AM110" s="273" t="s">
        <v>174</v>
      </c>
      <c r="AN110" s="273" t="s">
        <v>175</v>
      </c>
      <c r="AO110" s="273" t="s">
        <v>1010</v>
      </c>
      <c r="AP110" s="273" t="s">
        <v>176</v>
      </c>
      <c r="AQ110" s="273" t="s">
        <v>177</v>
      </c>
      <c r="AR110" s="273" t="s">
        <v>178</v>
      </c>
      <c r="AS110" s="273" t="s">
        <v>173</v>
      </c>
      <c r="AT110" s="273" t="s">
        <v>174</v>
      </c>
      <c r="AU110" s="273" t="s">
        <v>175</v>
      </c>
      <c r="AV110" s="273" t="s">
        <v>1010</v>
      </c>
      <c r="AW110" s="273" t="s">
        <v>176</v>
      </c>
      <c r="AX110" s="273" t="s">
        <v>177</v>
      </c>
      <c r="AY110" s="273" t="s">
        <v>178</v>
      </c>
      <c r="AZ110" s="273" t="s">
        <v>173</v>
      </c>
      <c r="BA110" s="273" t="s">
        <v>174</v>
      </c>
      <c r="BB110" s="273" t="s">
        <v>175</v>
      </c>
      <c r="BC110" s="273" t="s">
        <v>1010</v>
      </c>
      <c r="BD110" s="273" t="s">
        <v>176</v>
      </c>
      <c r="BE110" s="273" t="s">
        <v>177</v>
      </c>
      <c r="BF110" s="273" t="s">
        <v>178</v>
      </c>
      <c r="BG110" s="273" t="s">
        <v>173</v>
      </c>
      <c r="BH110" s="273" t="s">
        <v>174</v>
      </c>
      <c r="BI110" s="273" t="s">
        <v>175</v>
      </c>
      <c r="BJ110" s="273" t="s">
        <v>1010</v>
      </c>
      <c r="BK110" s="273" t="s">
        <v>176</v>
      </c>
      <c r="BL110" s="273" t="s">
        <v>177</v>
      </c>
      <c r="BM110" s="273"/>
    </row>
    <row r="111" spans="1:65" ht="12.75" customHeight="1">
      <c r="A111" s="85" t="s">
        <v>182</v>
      </c>
      <c r="B111" s="85">
        <v>41813</v>
      </c>
      <c r="C111" s="85">
        <f t="shared" ref="C111:F111" si="106">+B111+1</f>
        <v>41814</v>
      </c>
      <c r="D111" s="85">
        <f t="shared" si="106"/>
        <v>41815</v>
      </c>
      <c r="E111" s="85">
        <f t="shared" si="106"/>
        <v>41816</v>
      </c>
      <c r="F111" s="85">
        <f t="shared" si="106"/>
        <v>41817</v>
      </c>
      <c r="G111" s="85" t="s">
        <v>183</v>
      </c>
      <c r="H111" s="85">
        <v>41820</v>
      </c>
      <c r="I111" s="85">
        <f t="shared" ref="I111:L111" si="107">+H111+1</f>
        <v>41821</v>
      </c>
      <c r="J111" s="85">
        <f t="shared" si="107"/>
        <v>41822</v>
      </c>
      <c r="K111" s="85">
        <f t="shared" si="107"/>
        <v>41823</v>
      </c>
      <c r="L111" s="85">
        <f t="shared" si="107"/>
        <v>41824</v>
      </c>
      <c r="M111" s="85" t="s">
        <v>183</v>
      </c>
      <c r="N111" s="85">
        <v>41827</v>
      </c>
      <c r="O111" s="85">
        <f t="shared" ref="O111:R111" si="108">+N111+1</f>
        <v>41828</v>
      </c>
      <c r="P111" s="85">
        <f t="shared" si="108"/>
        <v>41829</v>
      </c>
      <c r="Q111" s="85">
        <f t="shared" si="108"/>
        <v>41830</v>
      </c>
      <c r="R111" s="85">
        <f t="shared" si="108"/>
        <v>41831</v>
      </c>
      <c r="S111" s="85" t="s">
        <v>183</v>
      </c>
      <c r="T111" s="85">
        <v>41834</v>
      </c>
      <c r="U111" s="85">
        <f t="shared" ref="U111:X111" si="109">+T111+1</f>
        <v>41835</v>
      </c>
      <c r="V111" s="85">
        <f t="shared" si="109"/>
        <v>41836</v>
      </c>
      <c r="W111" s="85">
        <f t="shared" si="109"/>
        <v>41837</v>
      </c>
      <c r="X111" s="85">
        <f t="shared" si="109"/>
        <v>41838</v>
      </c>
      <c r="Y111" s="85" t="s">
        <v>183</v>
      </c>
      <c r="Z111" s="85">
        <v>41841</v>
      </c>
      <c r="AA111" s="85">
        <f t="shared" ref="AA111:AD111" si="110">+Z111+1</f>
        <v>41842</v>
      </c>
      <c r="AB111" s="85">
        <f t="shared" si="110"/>
        <v>41843</v>
      </c>
      <c r="AC111" s="85">
        <f t="shared" si="110"/>
        <v>41844</v>
      </c>
      <c r="AD111" s="85">
        <f t="shared" si="110"/>
        <v>41845</v>
      </c>
      <c r="AE111" s="85" t="s">
        <v>183</v>
      </c>
      <c r="AF111" s="85">
        <f>+AD111+3</f>
        <v>41848</v>
      </c>
      <c r="AG111" s="85">
        <f>+AF111+1</f>
        <v>41849</v>
      </c>
      <c r="AH111" s="85"/>
      <c r="AI111" s="85">
        <v>43040</v>
      </c>
      <c r="AJ111" s="85">
        <f>AI111+1</f>
        <v>43041</v>
      </c>
      <c r="AK111" s="85">
        <f t="shared" ref="AK111:BF111" si="111">AJ111+1</f>
        <v>43042</v>
      </c>
      <c r="AL111" s="85">
        <f t="shared" si="111"/>
        <v>43043</v>
      </c>
      <c r="AM111" s="85">
        <f t="shared" si="111"/>
        <v>43044</v>
      </c>
      <c r="AN111" s="85">
        <f t="shared" si="111"/>
        <v>43045</v>
      </c>
      <c r="AO111" s="85">
        <f t="shared" si="111"/>
        <v>43046</v>
      </c>
      <c r="AP111" s="85">
        <f t="shared" si="111"/>
        <v>43047</v>
      </c>
      <c r="AQ111" s="85">
        <f t="shared" si="111"/>
        <v>43048</v>
      </c>
      <c r="AR111" s="85">
        <f t="shared" si="111"/>
        <v>43049</v>
      </c>
      <c r="AS111" s="85">
        <f t="shared" si="111"/>
        <v>43050</v>
      </c>
      <c r="AT111" s="85">
        <f t="shared" si="111"/>
        <v>43051</v>
      </c>
      <c r="AU111" s="85">
        <f t="shared" si="111"/>
        <v>43052</v>
      </c>
      <c r="AV111" s="85">
        <f t="shared" si="111"/>
        <v>43053</v>
      </c>
      <c r="AW111" s="85">
        <f t="shared" si="111"/>
        <v>43054</v>
      </c>
      <c r="AX111" s="85">
        <f t="shared" si="111"/>
        <v>43055</v>
      </c>
      <c r="AY111" s="85">
        <f t="shared" si="111"/>
        <v>43056</v>
      </c>
      <c r="AZ111" s="85">
        <f t="shared" si="111"/>
        <v>43057</v>
      </c>
      <c r="BA111" s="85">
        <f t="shared" si="111"/>
        <v>43058</v>
      </c>
      <c r="BB111" s="85">
        <f t="shared" si="111"/>
        <v>43059</v>
      </c>
      <c r="BC111" s="85">
        <f t="shared" si="111"/>
        <v>43060</v>
      </c>
      <c r="BD111" s="85">
        <f t="shared" si="111"/>
        <v>43061</v>
      </c>
      <c r="BE111" s="85">
        <f t="shared" si="111"/>
        <v>43062</v>
      </c>
      <c r="BF111" s="85">
        <f t="shared" si="111"/>
        <v>43063</v>
      </c>
      <c r="BG111" s="85">
        <f>BF111+1</f>
        <v>43064</v>
      </c>
      <c r="BH111" s="85">
        <f t="shared" ref="BH111:BK111" si="112">BG111+1</f>
        <v>43065</v>
      </c>
      <c r="BI111" s="85">
        <f t="shared" si="112"/>
        <v>43066</v>
      </c>
      <c r="BJ111" s="85">
        <f t="shared" si="112"/>
        <v>43067</v>
      </c>
      <c r="BK111" s="85">
        <f t="shared" si="112"/>
        <v>43068</v>
      </c>
      <c r="BL111" s="85">
        <f>BK111+1</f>
        <v>43069</v>
      </c>
      <c r="BM111" s="85"/>
    </row>
    <row r="112" spans="1:65" ht="12.75" customHeight="1">
      <c r="A112" s="86" t="s">
        <v>184</v>
      </c>
      <c r="B112" s="86">
        <v>1051689.24</v>
      </c>
      <c r="C112" s="86">
        <v>1596892.23</v>
      </c>
      <c r="D112" s="86">
        <v>1336078.1400000001</v>
      </c>
      <c r="E112" s="86">
        <v>864897.47000000067</v>
      </c>
      <c r="F112" s="86">
        <v>8753630.6400000006</v>
      </c>
      <c r="G112" s="87"/>
      <c r="H112" s="86">
        <f>+F129</f>
        <v>8753630.6400000006</v>
      </c>
      <c r="I112" s="86">
        <f t="shared" ref="I112:L112" si="113">+H129</f>
        <v>8753630.6400000006</v>
      </c>
      <c r="J112" s="86">
        <f t="shared" si="113"/>
        <v>8753630.6400000006</v>
      </c>
      <c r="K112" s="86">
        <f t="shared" si="113"/>
        <v>8753630.6400000006</v>
      </c>
      <c r="L112" s="86">
        <f t="shared" si="113"/>
        <v>8753630.6400000006</v>
      </c>
      <c r="M112" s="87"/>
      <c r="N112" s="86">
        <f>+L129</f>
        <v>8753630.6400000006</v>
      </c>
      <c r="O112" s="86">
        <f t="shared" ref="O112:R112" si="114">+N129</f>
        <v>8753630.6400000006</v>
      </c>
      <c r="P112" s="86">
        <f t="shared" si="114"/>
        <v>8753630.6400000006</v>
      </c>
      <c r="Q112" s="86">
        <f t="shared" si="114"/>
        <v>8753630.6400000006</v>
      </c>
      <c r="R112" s="86">
        <f t="shared" si="114"/>
        <v>8753630.6400000006</v>
      </c>
      <c r="S112" s="87"/>
      <c r="T112" s="86">
        <f>+R129</f>
        <v>8753630.6400000006</v>
      </c>
      <c r="U112" s="86">
        <f t="shared" ref="U112:X112" si="115">+T129</f>
        <v>8753630.6400000006</v>
      </c>
      <c r="V112" s="86">
        <f t="shared" si="115"/>
        <v>8753630.6400000006</v>
      </c>
      <c r="W112" s="86">
        <f t="shared" si="115"/>
        <v>8753630.6400000006</v>
      </c>
      <c r="X112" s="86">
        <f t="shared" si="115"/>
        <v>8753630.6400000006</v>
      </c>
      <c r="Y112" s="87"/>
      <c r="Z112" s="86">
        <f>+X129</f>
        <v>8753630.6400000006</v>
      </c>
      <c r="AA112" s="86">
        <f t="shared" ref="AA112:AD112" si="116">+Z129</f>
        <v>8753630.6400000006</v>
      </c>
      <c r="AB112" s="86">
        <f t="shared" si="116"/>
        <v>8753630.6400000006</v>
      </c>
      <c r="AC112" s="86">
        <f t="shared" si="116"/>
        <v>8753630.6400000006</v>
      </c>
      <c r="AD112" s="86">
        <f t="shared" si="116"/>
        <v>8753630.6400000006</v>
      </c>
      <c r="AE112" s="87"/>
      <c r="AF112" s="86">
        <f>+AD129</f>
        <v>8753630.6400000006</v>
      </c>
      <c r="AG112" s="86">
        <f>+AF129</f>
        <v>8753630.6400000006</v>
      </c>
      <c r="AH112" s="206">
        <f>BM103</f>
        <v>50190.98128140621</v>
      </c>
      <c r="AI112" s="206">
        <f>AH129</f>
        <v>50190.98128140621</v>
      </c>
      <c r="AJ112" s="206">
        <f t="shared" ref="AJ112:BM112" si="117">AI129</f>
        <v>44225.88586361667</v>
      </c>
      <c r="AK112" s="206">
        <f t="shared" si="117"/>
        <v>42914.594611618304</v>
      </c>
      <c r="AL112" s="206">
        <f t="shared" si="117"/>
        <v>44363.718397756114</v>
      </c>
      <c r="AM112" s="206">
        <f t="shared" si="117"/>
        <v>44363.718397756114</v>
      </c>
      <c r="AN112" s="206">
        <f t="shared" si="117"/>
        <v>44363.718397756114</v>
      </c>
      <c r="AO112" s="206">
        <f t="shared" si="117"/>
        <v>46516.072729994761</v>
      </c>
      <c r="AP112" s="206">
        <f t="shared" si="117"/>
        <v>44520.668552277268</v>
      </c>
      <c r="AQ112" s="206">
        <f t="shared" si="117"/>
        <v>42028.022617545139</v>
      </c>
      <c r="AR112" s="206">
        <f t="shared" si="117"/>
        <v>44117.933537640529</v>
      </c>
      <c r="AS112" s="206">
        <f t="shared" si="117"/>
        <v>45656.514321178147</v>
      </c>
      <c r="AT112" s="206">
        <f t="shared" si="117"/>
        <v>45656.514321178147</v>
      </c>
      <c r="AU112" s="206">
        <f t="shared" si="117"/>
        <v>45656.514321178147</v>
      </c>
      <c r="AV112" s="206">
        <f t="shared" si="117"/>
        <v>47716.779667725372</v>
      </c>
      <c r="AW112" s="206">
        <f t="shared" si="117"/>
        <v>47859.355901692717</v>
      </c>
      <c r="AX112" s="206">
        <f t="shared" si="117"/>
        <v>49107.295807602277</v>
      </c>
      <c r="AY112" s="206">
        <f t="shared" si="117"/>
        <v>49107.295807602277</v>
      </c>
      <c r="AZ112" s="206">
        <f t="shared" si="117"/>
        <v>49107.295807602277</v>
      </c>
      <c r="BA112" s="206">
        <f t="shared" si="117"/>
        <v>49107.295807602277</v>
      </c>
      <c r="BB112" s="206">
        <f t="shared" si="117"/>
        <v>49107.295807602277</v>
      </c>
      <c r="BC112" s="206">
        <f t="shared" si="117"/>
        <v>50669.350254159275</v>
      </c>
      <c r="BD112" s="206">
        <f t="shared" si="117"/>
        <v>50669.350254159275</v>
      </c>
      <c r="BE112" s="206">
        <f t="shared" si="117"/>
        <v>49373.014408500072</v>
      </c>
      <c r="BF112" s="206">
        <f t="shared" si="117"/>
        <v>46548.880770094853</v>
      </c>
      <c r="BG112" s="206">
        <f t="shared" si="117"/>
        <v>45762.324331102958</v>
      </c>
      <c r="BH112" s="206">
        <f t="shared" si="117"/>
        <v>45762.324331102958</v>
      </c>
      <c r="BI112" s="206">
        <f t="shared" si="117"/>
        <v>45762.324331102958</v>
      </c>
      <c r="BJ112" s="206">
        <f t="shared" si="117"/>
        <v>45492.004851447353</v>
      </c>
      <c r="BK112" s="206">
        <f t="shared" si="117"/>
        <v>46859.098335829913</v>
      </c>
      <c r="BL112" s="206">
        <f t="shared" si="117"/>
        <v>46859.098335829913</v>
      </c>
      <c r="BM112" s="206">
        <f t="shared" si="117"/>
        <v>46859.098335829913</v>
      </c>
    </row>
    <row r="113" spans="1:65" s="278" customFormat="1" ht="12.75" customHeight="1">
      <c r="A113" s="274" t="s">
        <v>1021</v>
      </c>
      <c r="B113" s="274"/>
      <c r="C113" s="274"/>
      <c r="D113" s="274"/>
      <c r="E113" s="274"/>
      <c r="F113" s="274"/>
      <c r="G113" s="275"/>
      <c r="H113" s="274"/>
      <c r="I113" s="274"/>
      <c r="J113" s="274"/>
      <c r="K113" s="274"/>
      <c r="L113" s="274"/>
      <c r="M113" s="275"/>
      <c r="N113" s="274"/>
      <c r="O113" s="274"/>
      <c r="P113" s="274"/>
      <c r="Q113" s="274"/>
      <c r="R113" s="274"/>
      <c r="S113" s="275"/>
      <c r="T113" s="274"/>
      <c r="U113" s="274"/>
      <c r="V113" s="274"/>
      <c r="W113" s="274"/>
      <c r="X113" s="274"/>
      <c r="Y113" s="275"/>
      <c r="Z113" s="274"/>
      <c r="AA113" s="274"/>
      <c r="AB113" s="274"/>
      <c r="AC113" s="274"/>
      <c r="AD113" s="274"/>
      <c r="AE113" s="275"/>
      <c r="AF113" s="274"/>
      <c r="AG113" s="274"/>
      <c r="AH113" s="284"/>
      <c r="AI113" s="290"/>
      <c r="AJ113" s="290"/>
      <c r="AK113" s="284"/>
      <c r="AL113" s="285"/>
      <c r="AM113" s="285"/>
      <c r="AN113" s="284"/>
      <c r="AO113" s="290"/>
      <c r="AP113" s="290"/>
      <c r="AQ113" s="290"/>
      <c r="AR113" s="284"/>
      <c r="AS113" s="285"/>
      <c r="AT113" s="285"/>
      <c r="AU113" s="284"/>
      <c r="AV113" s="290"/>
      <c r="AW113" s="290"/>
      <c r="AX113" s="290"/>
      <c r="AY113" s="284"/>
      <c r="AZ113" s="285"/>
      <c r="BA113" s="285"/>
      <c r="BB113" s="284"/>
      <c r="BC113" s="290"/>
      <c r="BD113" s="290"/>
      <c r="BE113" s="290"/>
      <c r="BF113" s="284"/>
      <c r="BG113" s="285"/>
      <c r="BH113" s="285"/>
      <c r="BI113" s="284"/>
      <c r="BJ113" s="290"/>
      <c r="BK113" s="290"/>
      <c r="BL113" s="290"/>
      <c r="BM113" s="284"/>
    </row>
    <row r="114" spans="1:65" s="293" customFormat="1" ht="12.75" customHeight="1">
      <c r="A114" s="88" t="s">
        <v>971</v>
      </c>
      <c r="B114" s="86"/>
      <c r="C114" s="86"/>
      <c r="D114" s="86"/>
      <c r="E114" s="86"/>
      <c r="F114" s="86"/>
      <c r="G114" s="87"/>
      <c r="H114" s="86"/>
      <c r="I114" s="86"/>
      <c r="J114" s="86"/>
      <c r="K114" s="86"/>
      <c r="L114" s="86"/>
      <c r="M114" s="87"/>
      <c r="N114" s="86"/>
      <c r="O114" s="86"/>
      <c r="P114" s="86"/>
      <c r="Q114" s="86"/>
      <c r="R114" s="86"/>
      <c r="S114" s="87"/>
      <c r="T114" s="86"/>
      <c r="U114" s="86"/>
      <c r="V114" s="86"/>
      <c r="W114" s="86"/>
      <c r="X114" s="86"/>
      <c r="Y114" s="87"/>
      <c r="Z114" s="86"/>
      <c r="AA114" s="86"/>
      <c r="AB114" s="86"/>
      <c r="AC114" s="86"/>
      <c r="AD114" s="86"/>
      <c r="AE114" s="87"/>
      <c r="AF114" s="86"/>
      <c r="AG114" s="86"/>
      <c r="AH114" s="207"/>
      <c r="AI114" s="286">
        <f>AL88*1.005</f>
        <v>0</v>
      </c>
      <c r="AJ114" s="286">
        <f>AM88*1.005</f>
        <v>0</v>
      </c>
      <c r="AK114" s="286">
        <f>AN88*1.005</f>
        <v>0</v>
      </c>
      <c r="AL114" s="292"/>
      <c r="AM114" s="292"/>
      <c r="AN114" s="286">
        <f>AQ88*1.005</f>
        <v>0</v>
      </c>
      <c r="AO114" s="286">
        <f t="shared" ref="AO114:AR121" si="118">AR88*1.005</f>
        <v>0</v>
      </c>
      <c r="AP114" s="286">
        <f t="shared" si="118"/>
        <v>0</v>
      </c>
      <c r="AQ114" s="286">
        <f t="shared" si="118"/>
        <v>0</v>
      </c>
      <c r="AR114" s="286">
        <f t="shared" si="118"/>
        <v>0</v>
      </c>
      <c r="AS114" s="292"/>
      <c r="AT114" s="292"/>
      <c r="AU114" s="286">
        <f>AX88*1.005</f>
        <v>0</v>
      </c>
      <c r="AV114" s="286">
        <f t="shared" ref="AV114:AY121" si="119">AY88*1.005</f>
        <v>0</v>
      </c>
      <c r="AW114" s="286">
        <f t="shared" si="119"/>
        <v>0</v>
      </c>
      <c r="AX114" s="286">
        <f t="shared" si="119"/>
        <v>0</v>
      </c>
      <c r="AY114" s="286">
        <f t="shared" si="119"/>
        <v>0</v>
      </c>
      <c r="AZ114" s="292"/>
      <c r="BA114" s="292"/>
      <c r="BB114" s="286">
        <f>BE88*1.005</f>
        <v>-20.40301001249999</v>
      </c>
      <c r="BC114" s="286">
        <f t="shared" ref="BC114:BF121" si="120">BF88*1.005</f>
        <v>0</v>
      </c>
      <c r="BD114" s="286">
        <f t="shared" si="120"/>
        <v>0</v>
      </c>
      <c r="BE114" s="286">
        <f t="shared" si="120"/>
        <v>-547.24953455527486</v>
      </c>
      <c r="BF114" s="286">
        <f t="shared" si="120"/>
        <v>0</v>
      </c>
      <c r="BG114" s="292"/>
      <c r="BH114" s="292"/>
      <c r="BI114" s="286">
        <f>AJ88*1.005</f>
        <v>0</v>
      </c>
      <c r="BJ114" s="286">
        <f>AK88*1.005</f>
        <v>0</v>
      </c>
      <c r="BK114" s="286">
        <v>0</v>
      </c>
      <c r="BL114" s="286">
        <v>0</v>
      </c>
      <c r="BM114" s="286"/>
    </row>
    <row r="115" spans="1:65" s="293" customFormat="1" ht="12.75" customHeight="1">
      <c r="A115" s="88" t="s">
        <v>308</v>
      </c>
      <c r="B115" s="86"/>
      <c r="C115" s="86"/>
      <c r="D115" s="86"/>
      <c r="E115" s="86"/>
      <c r="F115" s="86"/>
      <c r="G115" s="87"/>
      <c r="H115" s="86"/>
      <c r="I115" s="86"/>
      <c r="J115" s="86"/>
      <c r="K115" s="86"/>
      <c r="L115" s="86"/>
      <c r="M115" s="87"/>
      <c r="N115" s="86"/>
      <c r="O115" s="86"/>
      <c r="P115" s="86"/>
      <c r="Q115" s="86"/>
      <c r="R115" s="86"/>
      <c r="S115" s="87"/>
      <c r="T115" s="86"/>
      <c r="U115" s="86"/>
      <c r="V115" s="86"/>
      <c r="W115" s="86"/>
      <c r="X115" s="86"/>
      <c r="Y115" s="87"/>
      <c r="Z115" s="86"/>
      <c r="AA115" s="86"/>
      <c r="AB115" s="86"/>
      <c r="AC115" s="86"/>
      <c r="AD115" s="86"/>
      <c r="AE115" s="87"/>
      <c r="AF115" s="86"/>
      <c r="AG115" s="86"/>
      <c r="AH115" s="207"/>
      <c r="AI115" s="286">
        <f t="shared" ref="AI115:AK121" si="121">AL89*1.005</f>
        <v>0</v>
      </c>
      <c r="AJ115" s="286">
        <f t="shared" si="121"/>
        <v>0</v>
      </c>
      <c r="AK115" s="286">
        <f t="shared" si="121"/>
        <v>0</v>
      </c>
      <c r="AL115" s="292"/>
      <c r="AM115" s="292"/>
      <c r="AN115" s="286">
        <f t="shared" ref="AN115:AN121" si="122">AQ89*1.005</f>
        <v>-823.46548410449975</v>
      </c>
      <c r="AO115" s="286">
        <f t="shared" si="118"/>
        <v>0</v>
      </c>
      <c r="AP115" s="286">
        <f t="shared" si="118"/>
        <v>-492.73269180187481</v>
      </c>
      <c r="AQ115" s="286">
        <f t="shared" si="118"/>
        <v>0</v>
      </c>
      <c r="AR115" s="286">
        <f t="shared" si="118"/>
        <v>-47.763446439262481</v>
      </c>
      <c r="AS115" s="292"/>
      <c r="AT115" s="292"/>
      <c r="AU115" s="286">
        <f t="shared" ref="AU115:AU121" si="123">AX89*1.005</f>
        <v>-1123.0530816230435</v>
      </c>
      <c r="AV115" s="286">
        <f t="shared" si="119"/>
        <v>0</v>
      </c>
      <c r="AW115" s="286">
        <f t="shared" si="119"/>
        <v>0</v>
      </c>
      <c r="AX115" s="286">
        <f t="shared" si="119"/>
        <v>0</v>
      </c>
      <c r="AY115" s="286">
        <f t="shared" si="119"/>
        <v>0</v>
      </c>
      <c r="AZ115" s="292"/>
      <c r="BA115" s="292"/>
      <c r="BB115" s="286">
        <f t="shared" ref="BB115:BB121" si="124">BE89*1.005</f>
        <v>-428.71824788765605</v>
      </c>
      <c r="BC115" s="286">
        <f t="shared" si="120"/>
        <v>0</v>
      </c>
      <c r="BD115" s="286">
        <f t="shared" si="120"/>
        <v>-1335.1219676929682</v>
      </c>
      <c r="BE115" s="286">
        <f t="shared" si="120"/>
        <v>0</v>
      </c>
      <c r="BF115" s="286">
        <f t="shared" si="120"/>
        <v>0</v>
      </c>
      <c r="BG115" s="292"/>
      <c r="BH115" s="292"/>
      <c r="BI115" s="286">
        <f t="shared" ref="BI115:BJ121" si="125">AJ89*1.005</f>
        <v>-1337.3867018043557</v>
      </c>
      <c r="BJ115" s="286">
        <f t="shared" si="125"/>
        <v>0</v>
      </c>
      <c r="BK115" s="286">
        <v>0</v>
      </c>
      <c r="BL115" s="286">
        <v>0</v>
      </c>
      <c r="BM115" s="286"/>
    </row>
    <row r="116" spans="1:65" s="293" customFormat="1" ht="12.75" customHeight="1">
      <c r="A116" s="88" t="s">
        <v>307</v>
      </c>
      <c r="B116" s="86"/>
      <c r="C116" s="86"/>
      <c r="D116" s="86"/>
      <c r="E116" s="86"/>
      <c r="F116" s="86"/>
      <c r="G116" s="87"/>
      <c r="H116" s="86"/>
      <c r="I116" s="86"/>
      <c r="J116" s="86"/>
      <c r="K116" s="86"/>
      <c r="L116" s="86"/>
      <c r="M116" s="87"/>
      <c r="N116" s="86"/>
      <c r="O116" s="86"/>
      <c r="P116" s="86"/>
      <c r="Q116" s="86"/>
      <c r="R116" s="86"/>
      <c r="S116" s="87"/>
      <c r="T116" s="86"/>
      <c r="U116" s="86"/>
      <c r="V116" s="86"/>
      <c r="W116" s="86"/>
      <c r="X116" s="86"/>
      <c r="Y116" s="87"/>
      <c r="Z116" s="86"/>
      <c r="AA116" s="86"/>
      <c r="AB116" s="86"/>
      <c r="AC116" s="86"/>
      <c r="AD116" s="86"/>
      <c r="AE116" s="87"/>
      <c r="AF116" s="86"/>
      <c r="AG116" s="86"/>
      <c r="AH116" s="207"/>
      <c r="AI116" s="286">
        <f t="shared" si="121"/>
        <v>-85.141760782162478</v>
      </c>
      <c r="AJ116" s="286">
        <f t="shared" si="121"/>
        <v>-3782.6874518024797</v>
      </c>
      <c r="AK116" s="286">
        <f t="shared" si="121"/>
        <v>0</v>
      </c>
      <c r="AL116" s="292"/>
      <c r="AM116" s="292"/>
      <c r="AN116" s="286">
        <f t="shared" si="122"/>
        <v>-1096.9372288070431</v>
      </c>
      <c r="AO116" s="286">
        <f t="shared" si="118"/>
        <v>-316.72612592904369</v>
      </c>
      <c r="AP116" s="286">
        <f t="shared" si="118"/>
        <v>-3370.0467758046734</v>
      </c>
      <c r="AQ116" s="286">
        <f t="shared" si="118"/>
        <v>-687.09176518094966</v>
      </c>
      <c r="AR116" s="286">
        <f t="shared" si="118"/>
        <v>0</v>
      </c>
      <c r="AS116" s="292"/>
      <c r="AT116" s="292"/>
      <c r="AU116" s="286">
        <f t="shared" si="123"/>
        <v>-760.74663132607463</v>
      </c>
      <c r="AV116" s="286">
        <f t="shared" si="119"/>
        <v>-146.77925402992491</v>
      </c>
      <c r="AW116" s="286">
        <f t="shared" si="119"/>
        <v>-401.66385661108114</v>
      </c>
      <c r="AX116" s="286">
        <f t="shared" si="119"/>
        <v>0</v>
      </c>
      <c r="AY116" s="286">
        <f t="shared" si="119"/>
        <v>0</v>
      </c>
      <c r="AZ116" s="292"/>
      <c r="BA116" s="292"/>
      <c r="BB116" s="286">
        <f t="shared" si="124"/>
        <v>-648.85652441752472</v>
      </c>
      <c r="BC116" s="286">
        <f t="shared" si="120"/>
        <v>0</v>
      </c>
      <c r="BD116" s="286">
        <f t="shared" si="120"/>
        <v>-333.78304229949362</v>
      </c>
      <c r="BE116" s="286">
        <f t="shared" si="120"/>
        <v>0</v>
      </c>
      <c r="BF116" s="286">
        <f t="shared" si="120"/>
        <v>-650.09090652328109</v>
      </c>
      <c r="BG116" s="292"/>
      <c r="BH116" s="292"/>
      <c r="BI116" s="286">
        <f t="shared" si="125"/>
        <v>-435.93071192707481</v>
      </c>
      <c r="BJ116" s="286">
        <f t="shared" si="125"/>
        <v>-79.867582693931212</v>
      </c>
      <c r="BK116" s="286">
        <v>0</v>
      </c>
      <c r="BL116" s="286">
        <v>0</v>
      </c>
      <c r="BM116" s="286"/>
    </row>
    <row r="117" spans="1:65" s="293" customFormat="1" ht="12.75" customHeight="1">
      <c r="A117" s="88" t="s">
        <v>1022</v>
      </c>
      <c r="B117" s="86"/>
      <c r="C117" s="86"/>
      <c r="D117" s="86"/>
      <c r="E117" s="86"/>
      <c r="F117" s="86"/>
      <c r="G117" s="87"/>
      <c r="H117" s="86"/>
      <c r="I117" s="86"/>
      <c r="J117" s="86"/>
      <c r="K117" s="86"/>
      <c r="L117" s="86"/>
      <c r="M117" s="87"/>
      <c r="N117" s="86"/>
      <c r="O117" s="86"/>
      <c r="P117" s="86"/>
      <c r="Q117" s="86"/>
      <c r="R117" s="86"/>
      <c r="S117" s="87"/>
      <c r="T117" s="86"/>
      <c r="U117" s="86"/>
      <c r="V117" s="86"/>
      <c r="W117" s="86"/>
      <c r="X117" s="86"/>
      <c r="Y117" s="87"/>
      <c r="Z117" s="86"/>
      <c r="AA117" s="86"/>
      <c r="AB117" s="86"/>
      <c r="AC117" s="86"/>
      <c r="AD117" s="86"/>
      <c r="AE117" s="87"/>
      <c r="AF117" s="86"/>
      <c r="AG117" s="86"/>
      <c r="AH117" s="207"/>
      <c r="AI117" s="286">
        <f t="shared" si="121"/>
        <v>0</v>
      </c>
      <c r="AJ117" s="286">
        <f t="shared" si="121"/>
        <v>0</v>
      </c>
      <c r="AK117" s="286">
        <f t="shared" si="121"/>
        <v>0</v>
      </c>
      <c r="AL117" s="292"/>
      <c r="AM117" s="292"/>
      <c r="AN117" s="286">
        <f t="shared" si="122"/>
        <v>0</v>
      </c>
      <c r="AO117" s="286">
        <f t="shared" si="118"/>
        <v>0</v>
      </c>
      <c r="AP117" s="286">
        <f t="shared" si="118"/>
        <v>0</v>
      </c>
      <c r="AQ117" s="286">
        <f t="shared" si="118"/>
        <v>0</v>
      </c>
      <c r="AR117" s="286">
        <f t="shared" si="118"/>
        <v>0</v>
      </c>
      <c r="AS117" s="292"/>
      <c r="AT117" s="292"/>
      <c r="AU117" s="286">
        <f t="shared" si="123"/>
        <v>0</v>
      </c>
      <c r="AV117" s="286">
        <f t="shared" si="119"/>
        <v>0</v>
      </c>
      <c r="AW117" s="286">
        <f t="shared" si="119"/>
        <v>0</v>
      </c>
      <c r="AX117" s="286">
        <f t="shared" si="119"/>
        <v>0</v>
      </c>
      <c r="AY117" s="286">
        <f t="shared" si="119"/>
        <v>0</v>
      </c>
      <c r="AZ117" s="292"/>
      <c r="BA117" s="292"/>
      <c r="BB117" s="286">
        <f t="shared" si="124"/>
        <v>0</v>
      </c>
      <c r="BC117" s="286">
        <f t="shared" si="120"/>
        <v>0</v>
      </c>
      <c r="BD117" s="286">
        <f t="shared" si="120"/>
        <v>-1373.1225738412493</v>
      </c>
      <c r="BE117" s="286">
        <f t="shared" si="120"/>
        <v>0</v>
      </c>
      <c r="BF117" s="286">
        <f t="shared" si="120"/>
        <v>0</v>
      </c>
      <c r="BG117" s="292"/>
      <c r="BH117" s="292"/>
      <c r="BI117" s="286">
        <f t="shared" si="125"/>
        <v>0</v>
      </c>
      <c r="BJ117" s="286">
        <f t="shared" si="125"/>
        <v>0</v>
      </c>
      <c r="BK117" s="286">
        <v>0</v>
      </c>
      <c r="BL117" s="286">
        <v>0</v>
      </c>
      <c r="BM117" s="286"/>
    </row>
    <row r="118" spans="1:65" s="293" customFormat="1" ht="12.75" customHeight="1">
      <c r="A118" s="88" t="s">
        <v>994</v>
      </c>
      <c r="B118" s="86"/>
      <c r="C118" s="86"/>
      <c r="D118" s="86"/>
      <c r="E118" s="86"/>
      <c r="F118" s="86"/>
      <c r="G118" s="87"/>
      <c r="H118" s="86"/>
      <c r="I118" s="86"/>
      <c r="J118" s="86"/>
      <c r="K118" s="86"/>
      <c r="L118" s="86"/>
      <c r="M118" s="87"/>
      <c r="N118" s="86"/>
      <c r="O118" s="86"/>
      <c r="P118" s="86"/>
      <c r="Q118" s="86"/>
      <c r="R118" s="86"/>
      <c r="S118" s="87"/>
      <c r="T118" s="86"/>
      <c r="U118" s="86"/>
      <c r="V118" s="86"/>
      <c r="W118" s="86"/>
      <c r="X118" s="86"/>
      <c r="Y118" s="87"/>
      <c r="Z118" s="86"/>
      <c r="AA118" s="86"/>
      <c r="AB118" s="86"/>
      <c r="AC118" s="86"/>
      <c r="AD118" s="86"/>
      <c r="AE118" s="87"/>
      <c r="AF118" s="86"/>
      <c r="AG118" s="86"/>
      <c r="AH118" s="207"/>
      <c r="AI118" s="286">
        <f t="shared" si="121"/>
        <v>0</v>
      </c>
      <c r="AJ118" s="286">
        <f t="shared" si="121"/>
        <v>0</v>
      </c>
      <c r="AK118" s="286">
        <f t="shared" si="121"/>
        <v>0</v>
      </c>
      <c r="AL118" s="292"/>
      <c r="AM118" s="292"/>
      <c r="AN118" s="286">
        <f t="shared" si="122"/>
        <v>0</v>
      </c>
      <c r="AO118" s="286">
        <f t="shared" si="118"/>
        <v>0</v>
      </c>
      <c r="AP118" s="286">
        <f t="shared" si="118"/>
        <v>0</v>
      </c>
      <c r="AQ118" s="286">
        <f t="shared" si="118"/>
        <v>0</v>
      </c>
      <c r="AR118" s="286">
        <f t="shared" si="118"/>
        <v>0</v>
      </c>
      <c r="AS118" s="292"/>
      <c r="AT118" s="292"/>
      <c r="AU118" s="286">
        <f t="shared" si="123"/>
        <v>0</v>
      </c>
      <c r="AV118" s="286">
        <f t="shared" si="119"/>
        <v>0</v>
      </c>
      <c r="AW118" s="286">
        <f t="shared" si="119"/>
        <v>0</v>
      </c>
      <c r="AX118" s="286">
        <f t="shared" si="119"/>
        <v>0</v>
      </c>
      <c r="AY118" s="286">
        <f t="shared" si="119"/>
        <v>0</v>
      </c>
      <c r="AZ118" s="292"/>
      <c r="BA118" s="292"/>
      <c r="BB118" s="286">
        <f t="shared" si="124"/>
        <v>0</v>
      </c>
      <c r="BC118" s="286">
        <f t="shared" si="120"/>
        <v>0</v>
      </c>
      <c r="BD118" s="286">
        <f t="shared" si="120"/>
        <v>0</v>
      </c>
      <c r="BE118" s="286">
        <f t="shared" si="120"/>
        <v>0</v>
      </c>
      <c r="BF118" s="286">
        <f t="shared" si="120"/>
        <v>-1414.9487443668745</v>
      </c>
      <c r="BG118" s="292"/>
      <c r="BH118" s="292"/>
      <c r="BI118" s="286">
        <f t="shared" si="125"/>
        <v>0</v>
      </c>
      <c r="BJ118" s="286">
        <f t="shared" si="125"/>
        <v>0</v>
      </c>
      <c r="BK118" s="286">
        <v>0</v>
      </c>
      <c r="BL118" s="286">
        <v>0</v>
      </c>
      <c r="BM118" s="286"/>
    </row>
    <row r="119" spans="1:65" s="293" customFormat="1" ht="12.75" customHeight="1">
      <c r="A119" s="88" t="s">
        <v>973</v>
      </c>
      <c r="B119" s="86"/>
      <c r="C119" s="86"/>
      <c r="D119" s="86"/>
      <c r="E119" s="86"/>
      <c r="F119" s="86"/>
      <c r="G119" s="87"/>
      <c r="H119" s="86"/>
      <c r="I119" s="86"/>
      <c r="J119" s="86"/>
      <c r="K119" s="86"/>
      <c r="L119" s="86"/>
      <c r="M119" s="87"/>
      <c r="N119" s="86"/>
      <c r="O119" s="86"/>
      <c r="P119" s="86"/>
      <c r="Q119" s="86"/>
      <c r="R119" s="86"/>
      <c r="S119" s="87"/>
      <c r="T119" s="86"/>
      <c r="U119" s="86"/>
      <c r="V119" s="86"/>
      <c r="W119" s="86"/>
      <c r="X119" s="86"/>
      <c r="Y119" s="87"/>
      <c r="Z119" s="86"/>
      <c r="AA119" s="86"/>
      <c r="AB119" s="86"/>
      <c r="AC119" s="86"/>
      <c r="AD119" s="86"/>
      <c r="AE119" s="87"/>
      <c r="AF119" s="86"/>
      <c r="AG119" s="86"/>
      <c r="AH119" s="207"/>
      <c r="AI119" s="286">
        <f t="shared" si="121"/>
        <v>-3060.4515018749989</v>
      </c>
      <c r="AJ119" s="286">
        <f t="shared" si="121"/>
        <v>0</v>
      </c>
      <c r="AK119" s="286">
        <f t="shared" si="121"/>
        <v>0</v>
      </c>
      <c r="AL119" s="292"/>
      <c r="AM119" s="292"/>
      <c r="AN119" s="286">
        <f t="shared" si="122"/>
        <v>0</v>
      </c>
      <c r="AO119" s="286">
        <f t="shared" si="118"/>
        <v>0</v>
      </c>
      <c r="AP119" s="286">
        <f t="shared" si="118"/>
        <v>0</v>
      </c>
      <c r="AQ119" s="286">
        <f t="shared" si="118"/>
        <v>0</v>
      </c>
      <c r="AR119" s="286">
        <f t="shared" si="118"/>
        <v>0</v>
      </c>
      <c r="AS119" s="292"/>
      <c r="AT119" s="292"/>
      <c r="AU119" s="286">
        <f t="shared" si="123"/>
        <v>0</v>
      </c>
      <c r="AV119" s="286">
        <f t="shared" si="119"/>
        <v>0</v>
      </c>
      <c r="AW119" s="286">
        <f t="shared" si="119"/>
        <v>0</v>
      </c>
      <c r="AX119" s="286">
        <f t="shared" si="119"/>
        <v>0</v>
      </c>
      <c r="AY119" s="286">
        <f t="shared" si="119"/>
        <v>0</v>
      </c>
      <c r="AZ119" s="292"/>
      <c r="BA119" s="292"/>
      <c r="BB119" s="286">
        <f t="shared" si="124"/>
        <v>0</v>
      </c>
      <c r="BC119" s="286">
        <f t="shared" si="120"/>
        <v>0</v>
      </c>
      <c r="BD119" s="286">
        <f t="shared" si="120"/>
        <v>0</v>
      </c>
      <c r="BE119" s="286">
        <f t="shared" si="120"/>
        <v>0</v>
      </c>
      <c r="BF119" s="286">
        <f t="shared" si="120"/>
        <v>0</v>
      </c>
      <c r="BG119" s="292"/>
      <c r="BH119" s="292"/>
      <c r="BI119" s="286">
        <f t="shared" si="125"/>
        <v>0</v>
      </c>
      <c r="BJ119" s="286">
        <f t="shared" si="125"/>
        <v>0</v>
      </c>
      <c r="BK119" s="286">
        <v>0</v>
      </c>
      <c r="BL119" s="286">
        <v>0</v>
      </c>
      <c r="BM119" s="286"/>
    </row>
    <row r="120" spans="1:65" s="293" customFormat="1" ht="12.75" customHeight="1">
      <c r="A120" s="88" t="s">
        <v>1023</v>
      </c>
      <c r="B120" s="86"/>
      <c r="C120" s="86"/>
      <c r="D120" s="86"/>
      <c r="E120" s="86"/>
      <c r="F120" s="86"/>
      <c r="G120" s="87"/>
      <c r="H120" s="86"/>
      <c r="I120" s="86"/>
      <c r="J120" s="86"/>
      <c r="K120" s="86"/>
      <c r="L120" s="86"/>
      <c r="M120" s="87"/>
      <c r="N120" s="86"/>
      <c r="O120" s="86"/>
      <c r="P120" s="86"/>
      <c r="Q120" s="86"/>
      <c r="R120" s="86"/>
      <c r="S120" s="87"/>
      <c r="T120" s="86"/>
      <c r="U120" s="86"/>
      <c r="V120" s="86"/>
      <c r="W120" s="86"/>
      <c r="X120" s="86"/>
      <c r="Y120" s="87"/>
      <c r="Z120" s="86"/>
      <c r="AA120" s="86"/>
      <c r="AB120" s="86"/>
      <c r="AC120" s="86"/>
      <c r="AD120" s="86"/>
      <c r="AE120" s="87"/>
      <c r="AF120" s="86"/>
      <c r="AG120" s="86"/>
      <c r="AH120" s="207"/>
      <c r="AI120" s="286">
        <f t="shared" si="121"/>
        <v>0</v>
      </c>
      <c r="AJ120" s="286">
        <f t="shared" si="121"/>
        <v>0</v>
      </c>
      <c r="AK120" s="286">
        <f t="shared" si="121"/>
        <v>0</v>
      </c>
      <c r="AL120" s="292"/>
      <c r="AM120" s="292"/>
      <c r="AN120" s="286">
        <f t="shared" si="122"/>
        <v>-27.829705657049992</v>
      </c>
      <c r="AO120" s="286">
        <f t="shared" si="118"/>
        <v>0</v>
      </c>
      <c r="AP120" s="286">
        <f t="shared" si="118"/>
        <v>0</v>
      </c>
      <c r="AQ120" s="286">
        <f t="shared" si="118"/>
        <v>0</v>
      </c>
      <c r="AR120" s="286">
        <f t="shared" si="118"/>
        <v>0</v>
      </c>
      <c r="AS120" s="292"/>
      <c r="AT120" s="292"/>
      <c r="AU120" s="286">
        <f t="shared" si="123"/>
        <v>0</v>
      </c>
      <c r="AV120" s="286">
        <f t="shared" si="119"/>
        <v>0</v>
      </c>
      <c r="AW120" s="286">
        <f t="shared" si="119"/>
        <v>0</v>
      </c>
      <c r="AX120" s="286">
        <f t="shared" si="119"/>
        <v>0</v>
      </c>
      <c r="AY120" s="286">
        <f t="shared" si="119"/>
        <v>0</v>
      </c>
      <c r="AZ120" s="292"/>
      <c r="BA120" s="292"/>
      <c r="BB120" s="286">
        <f t="shared" si="124"/>
        <v>0</v>
      </c>
      <c r="BC120" s="286">
        <f t="shared" si="120"/>
        <v>0</v>
      </c>
      <c r="BD120" s="286">
        <f t="shared" si="120"/>
        <v>0</v>
      </c>
      <c r="BE120" s="286">
        <f t="shared" si="120"/>
        <v>0</v>
      </c>
      <c r="BF120" s="286">
        <f t="shared" si="120"/>
        <v>0</v>
      </c>
      <c r="BG120" s="292"/>
      <c r="BH120" s="292"/>
      <c r="BI120" s="286">
        <f t="shared" si="125"/>
        <v>0</v>
      </c>
      <c r="BJ120" s="286">
        <f t="shared" si="125"/>
        <v>0</v>
      </c>
      <c r="BK120" s="286">
        <v>0</v>
      </c>
      <c r="BL120" s="286">
        <v>0</v>
      </c>
      <c r="BM120" s="286"/>
    </row>
    <row r="121" spans="1:65" s="293" customFormat="1" ht="12.75" customHeight="1">
      <c r="A121" s="88" t="s">
        <v>1024</v>
      </c>
      <c r="B121" s="86"/>
      <c r="C121" s="86"/>
      <c r="D121" s="86"/>
      <c r="E121" s="86"/>
      <c r="F121" s="86"/>
      <c r="G121" s="87"/>
      <c r="H121" s="86"/>
      <c r="I121" s="86"/>
      <c r="J121" s="86"/>
      <c r="K121" s="86"/>
      <c r="L121" s="86"/>
      <c r="M121" s="87"/>
      <c r="N121" s="86"/>
      <c r="O121" s="86"/>
      <c r="P121" s="86"/>
      <c r="Q121" s="86"/>
      <c r="R121" s="86"/>
      <c r="S121" s="87"/>
      <c r="T121" s="86"/>
      <c r="U121" s="86"/>
      <c r="V121" s="86"/>
      <c r="W121" s="86"/>
      <c r="X121" s="86"/>
      <c r="Y121" s="87"/>
      <c r="Z121" s="86"/>
      <c r="AA121" s="86"/>
      <c r="AB121" s="86"/>
      <c r="AC121" s="86"/>
      <c r="AD121" s="86"/>
      <c r="AE121" s="87"/>
      <c r="AF121" s="86"/>
      <c r="AG121" s="86"/>
      <c r="AH121" s="207"/>
      <c r="AI121" s="286">
        <f t="shared" si="121"/>
        <v>0</v>
      </c>
      <c r="AJ121" s="286">
        <f t="shared" si="121"/>
        <v>0</v>
      </c>
      <c r="AK121" s="286">
        <f t="shared" si="121"/>
        <v>0</v>
      </c>
      <c r="AL121" s="292"/>
      <c r="AM121" s="292"/>
      <c r="AN121" s="286">
        <f t="shared" si="122"/>
        <v>-183.16802238721868</v>
      </c>
      <c r="AO121" s="286">
        <f t="shared" si="118"/>
        <v>0</v>
      </c>
      <c r="AP121" s="286">
        <f t="shared" si="118"/>
        <v>-167.30468210249995</v>
      </c>
      <c r="AQ121" s="286">
        <f t="shared" si="118"/>
        <v>0</v>
      </c>
      <c r="AR121" s="286">
        <f t="shared" si="118"/>
        <v>0</v>
      </c>
      <c r="AS121" s="292"/>
      <c r="AT121" s="292"/>
      <c r="AU121" s="286">
        <f t="shared" si="123"/>
        <v>-821.22115300312464</v>
      </c>
      <c r="AV121" s="286">
        <f t="shared" si="119"/>
        <v>0</v>
      </c>
      <c r="AW121" s="286">
        <f t="shared" si="119"/>
        <v>0</v>
      </c>
      <c r="AX121" s="286">
        <f t="shared" si="119"/>
        <v>0</v>
      </c>
      <c r="AY121" s="286">
        <f t="shared" si="119"/>
        <v>0</v>
      </c>
      <c r="AZ121" s="292"/>
      <c r="BA121" s="292"/>
      <c r="BB121" s="286">
        <f t="shared" si="124"/>
        <v>0</v>
      </c>
      <c r="BC121" s="286">
        <f t="shared" si="120"/>
        <v>0</v>
      </c>
      <c r="BD121" s="286">
        <f t="shared" si="120"/>
        <v>0</v>
      </c>
      <c r="BE121" s="286">
        <f t="shared" si="120"/>
        <v>0</v>
      </c>
      <c r="BF121" s="286">
        <f t="shared" si="120"/>
        <v>0</v>
      </c>
      <c r="BG121" s="292"/>
      <c r="BH121" s="292"/>
      <c r="BI121" s="286">
        <f t="shared" si="125"/>
        <v>0</v>
      </c>
      <c r="BJ121" s="286">
        <f t="shared" si="125"/>
        <v>-204.0301001249999</v>
      </c>
      <c r="BK121" s="286">
        <v>0</v>
      </c>
      <c r="BL121" s="286">
        <v>0</v>
      </c>
      <c r="BM121" s="286"/>
    </row>
    <row r="122" spans="1:65" s="293" customFormat="1" ht="12.75" customHeight="1">
      <c r="A122" s="88" t="s">
        <v>1036</v>
      </c>
      <c r="B122" s="86"/>
      <c r="C122" s="86"/>
      <c r="D122" s="86"/>
      <c r="E122" s="86"/>
      <c r="F122" s="86"/>
      <c r="G122" s="87"/>
      <c r="H122" s="86"/>
      <c r="I122" s="86"/>
      <c r="J122" s="86"/>
      <c r="K122" s="86"/>
      <c r="L122" s="86"/>
      <c r="M122" s="87"/>
      <c r="N122" s="86"/>
      <c r="O122" s="86"/>
      <c r="P122" s="86"/>
      <c r="Q122" s="86"/>
      <c r="R122" s="86"/>
      <c r="S122" s="87"/>
      <c r="T122" s="86"/>
      <c r="U122" s="86"/>
      <c r="V122" s="86"/>
      <c r="W122" s="86"/>
      <c r="X122" s="86"/>
      <c r="Y122" s="87"/>
      <c r="Z122" s="86"/>
      <c r="AA122" s="86"/>
      <c r="AB122" s="86"/>
      <c r="AC122" s="86"/>
      <c r="AD122" s="86"/>
      <c r="AE122" s="87"/>
      <c r="AF122" s="86"/>
      <c r="AG122" s="86"/>
      <c r="AH122" s="207"/>
      <c r="AI122" s="286">
        <f>AL93*1.005</f>
        <v>-3060.4515018749989</v>
      </c>
      <c r="AJ122" s="286"/>
      <c r="AK122" s="286"/>
      <c r="AL122" s="292"/>
      <c r="AM122" s="292"/>
      <c r="AN122" s="286"/>
      <c r="AO122" s="286"/>
      <c r="AP122" s="286"/>
      <c r="AQ122" s="286"/>
      <c r="AR122" s="286"/>
      <c r="AS122" s="292"/>
      <c r="AT122" s="292"/>
      <c r="AU122" s="286"/>
      <c r="AV122" s="286"/>
      <c r="AW122" s="286"/>
      <c r="AX122" s="286"/>
      <c r="AY122" s="286"/>
      <c r="AZ122" s="292"/>
      <c r="BA122" s="292"/>
      <c r="BB122" s="286"/>
      <c r="BC122" s="286"/>
      <c r="BD122" s="286"/>
      <c r="BE122" s="286"/>
      <c r="BF122" s="286"/>
      <c r="BG122" s="292"/>
      <c r="BH122" s="292"/>
      <c r="BI122" s="286"/>
      <c r="BJ122" s="286"/>
      <c r="BK122" s="286"/>
      <c r="BL122" s="286"/>
      <c r="BM122" s="286"/>
    </row>
    <row r="123" spans="1:65" s="293" customFormat="1" ht="12.75" customHeight="1">
      <c r="A123" s="88" t="s">
        <v>988</v>
      </c>
      <c r="B123" s="86"/>
      <c r="C123" s="86"/>
      <c r="D123" s="86"/>
      <c r="E123" s="86"/>
      <c r="F123" s="86"/>
      <c r="G123" s="87"/>
      <c r="H123" s="86"/>
      <c r="I123" s="86"/>
      <c r="J123" s="86"/>
      <c r="K123" s="86"/>
      <c r="L123" s="86"/>
      <c r="M123" s="87"/>
      <c r="N123" s="86"/>
      <c r="O123" s="86"/>
      <c r="P123" s="86"/>
      <c r="Q123" s="86"/>
      <c r="R123" s="86"/>
      <c r="S123" s="87"/>
      <c r="T123" s="86"/>
      <c r="U123" s="86"/>
      <c r="V123" s="86"/>
      <c r="W123" s="86"/>
      <c r="X123" s="86"/>
      <c r="Y123" s="87"/>
      <c r="Z123" s="86"/>
      <c r="AA123" s="86"/>
      <c r="AB123" s="86"/>
      <c r="AC123" s="86"/>
      <c r="AD123" s="86"/>
      <c r="AE123" s="87"/>
      <c r="AF123" s="86"/>
      <c r="AG123" s="86"/>
      <c r="AH123" s="207"/>
      <c r="AI123" s="286">
        <f t="shared" ref="AI123:AK128" si="126">AL96*1.005</f>
        <v>0</v>
      </c>
      <c r="AJ123" s="286">
        <f t="shared" si="126"/>
        <v>0</v>
      </c>
      <c r="AK123" s="286">
        <f t="shared" si="126"/>
        <v>0</v>
      </c>
      <c r="AL123" s="292"/>
      <c r="AM123" s="292"/>
      <c r="AN123" s="286">
        <f t="shared" ref="AN123:AR128" si="127">AQ96*1.005</f>
        <v>-612.09030037499974</v>
      </c>
      <c r="AO123" s="286">
        <f t="shared" si="127"/>
        <v>0</v>
      </c>
      <c r="AP123" s="286">
        <f t="shared" si="127"/>
        <v>0</v>
      </c>
      <c r="AQ123" s="286">
        <f t="shared" si="127"/>
        <v>0</v>
      </c>
      <c r="AR123" s="286">
        <f t="shared" si="127"/>
        <v>0</v>
      </c>
      <c r="AS123" s="292"/>
      <c r="AT123" s="292"/>
      <c r="AU123" s="286">
        <f t="shared" ref="AU123:AY128" si="128">AX96*1.005</f>
        <v>0</v>
      </c>
      <c r="AV123" s="286">
        <f t="shared" si="128"/>
        <v>-75.582950591306215</v>
      </c>
      <c r="AW123" s="286">
        <f t="shared" si="128"/>
        <v>0</v>
      </c>
      <c r="AX123" s="286">
        <f t="shared" si="128"/>
        <v>0</v>
      </c>
      <c r="AY123" s="286">
        <f t="shared" si="128"/>
        <v>0</v>
      </c>
      <c r="AZ123" s="292"/>
      <c r="BA123" s="292"/>
      <c r="BB123" s="286">
        <f t="shared" ref="BB123:BF128" si="129">BE96*1.005</f>
        <v>0</v>
      </c>
      <c r="BC123" s="286">
        <f t="shared" si="129"/>
        <v>0</v>
      </c>
      <c r="BD123" s="286">
        <f t="shared" si="129"/>
        <v>0</v>
      </c>
      <c r="BE123" s="286">
        <f t="shared" si="129"/>
        <v>0</v>
      </c>
      <c r="BF123" s="286">
        <f t="shared" si="129"/>
        <v>0</v>
      </c>
      <c r="BG123" s="292"/>
      <c r="BH123" s="292"/>
      <c r="BI123" s="286">
        <f t="shared" ref="BI123:BJ128" si="130">AJ96*1.005</f>
        <v>0</v>
      </c>
      <c r="BJ123" s="286">
        <f t="shared" si="130"/>
        <v>0</v>
      </c>
      <c r="BK123" s="286">
        <v>0</v>
      </c>
      <c r="BL123" s="286">
        <v>0</v>
      </c>
      <c r="BM123" s="286"/>
    </row>
    <row r="124" spans="1:65" s="293" customFormat="1" ht="12.75" customHeight="1">
      <c r="A124" s="88" t="s">
        <v>271</v>
      </c>
      <c r="B124" s="86"/>
      <c r="C124" s="86"/>
      <c r="D124" s="86"/>
      <c r="E124" s="86"/>
      <c r="F124" s="86"/>
      <c r="G124" s="87"/>
      <c r="H124" s="86"/>
      <c r="I124" s="86"/>
      <c r="J124" s="86"/>
      <c r="K124" s="86"/>
      <c r="L124" s="86"/>
      <c r="M124" s="87"/>
      <c r="N124" s="86"/>
      <c r="O124" s="86"/>
      <c r="P124" s="86"/>
      <c r="Q124" s="86"/>
      <c r="R124" s="86"/>
      <c r="S124" s="87"/>
      <c r="T124" s="86"/>
      <c r="U124" s="86"/>
      <c r="V124" s="86"/>
      <c r="W124" s="86"/>
      <c r="X124" s="86"/>
      <c r="Y124" s="87"/>
      <c r="Z124" s="86"/>
      <c r="AA124" s="86"/>
      <c r="AB124" s="86"/>
      <c r="AC124" s="86"/>
      <c r="AD124" s="86"/>
      <c r="AE124" s="87"/>
      <c r="AF124" s="86"/>
      <c r="AG124" s="86"/>
      <c r="AH124" s="207"/>
      <c r="AI124" s="286">
        <f t="shared" si="126"/>
        <v>0</v>
      </c>
      <c r="AJ124" s="286">
        <f t="shared" si="126"/>
        <v>0</v>
      </c>
      <c r="AK124" s="286">
        <f t="shared" si="126"/>
        <v>0</v>
      </c>
      <c r="AL124" s="292"/>
      <c r="AM124" s="292"/>
      <c r="AN124" s="286">
        <f t="shared" si="127"/>
        <v>0</v>
      </c>
      <c r="AO124" s="286">
        <f t="shared" si="127"/>
        <v>0</v>
      </c>
      <c r="AP124" s="286">
        <f t="shared" si="127"/>
        <v>0</v>
      </c>
      <c r="AQ124" s="286">
        <f t="shared" si="127"/>
        <v>0</v>
      </c>
      <c r="AR124" s="286">
        <f t="shared" si="127"/>
        <v>0</v>
      </c>
      <c r="AS124" s="292"/>
      <c r="AT124" s="292"/>
      <c r="AU124" s="286">
        <f t="shared" si="128"/>
        <v>0</v>
      </c>
      <c r="AV124" s="286">
        <f t="shared" si="128"/>
        <v>0</v>
      </c>
      <c r="AW124" s="286">
        <f t="shared" si="128"/>
        <v>0</v>
      </c>
      <c r="AX124" s="286">
        <f t="shared" si="128"/>
        <v>0</v>
      </c>
      <c r="AY124" s="286">
        <f t="shared" si="128"/>
        <v>0</v>
      </c>
      <c r="AZ124" s="292"/>
      <c r="BA124" s="292"/>
      <c r="BB124" s="286">
        <f t="shared" si="129"/>
        <v>-2550.3762515624985</v>
      </c>
      <c r="BC124" s="286">
        <f t="shared" si="129"/>
        <v>0</v>
      </c>
      <c r="BD124" s="286">
        <f t="shared" si="129"/>
        <v>0</v>
      </c>
      <c r="BE124" s="286">
        <f t="shared" si="129"/>
        <v>-3170.637957447505</v>
      </c>
      <c r="BF124" s="286">
        <f t="shared" si="129"/>
        <v>0</v>
      </c>
      <c r="BG124" s="292"/>
      <c r="BH124" s="292"/>
      <c r="BI124" s="286">
        <f t="shared" si="130"/>
        <v>0</v>
      </c>
      <c r="BJ124" s="286">
        <f t="shared" si="130"/>
        <v>0</v>
      </c>
      <c r="BK124" s="286">
        <v>0</v>
      </c>
      <c r="BL124" s="286">
        <v>0</v>
      </c>
      <c r="BM124" s="286"/>
    </row>
    <row r="125" spans="1:65" s="293" customFormat="1" ht="12.75" customHeight="1">
      <c r="A125" s="88" t="s">
        <v>1025</v>
      </c>
      <c r="B125" s="88"/>
      <c r="C125" s="88"/>
      <c r="D125" s="88"/>
      <c r="E125" s="88"/>
      <c r="F125" s="88"/>
      <c r="G125" s="89"/>
      <c r="H125" s="88"/>
      <c r="I125" s="88"/>
      <c r="J125" s="88"/>
      <c r="K125" s="88"/>
      <c r="L125" s="350"/>
      <c r="M125" s="89"/>
      <c r="N125" s="88"/>
      <c r="O125" s="88"/>
      <c r="P125" s="88"/>
      <c r="Q125" s="88"/>
      <c r="R125" s="88"/>
      <c r="S125" s="89"/>
      <c r="T125" s="88"/>
      <c r="U125" s="88"/>
      <c r="V125" s="88"/>
      <c r="W125" s="88"/>
      <c r="X125" s="88"/>
      <c r="Y125" s="89"/>
      <c r="Z125" s="88"/>
      <c r="AA125" s="88"/>
      <c r="AB125" s="88"/>
      <c r="AC125" s="88"/>
      <c r="AD125" s="88"/>
      <c r="AE125" s="89"/>
      <c r="AF125" s="88"/>
      <c r="AG125" s="88"/>
      <c r="AH125" s="207"/>
      <c r="AI125" s="286">
        <f t="shared" si="126"/>
        <v>240.94934674261864</v>
      </c>
      <c r="AJ125" s="286">
        <f t="shared" si="126"/>
        <v>2471.3961998041113</v>
      </c>
      <c r="AK125" s="286">
        <f t="shared" si="126"/>
        <v>1449.1237861378117</v>
      </c>
      <c r="AL125" s="292"/>
      <c r="AM125" s="292"/>
      <c r="AN125" s="286">
        <f t="shared" si="127"/>
        <v>4895.8450735694605</v>
      </c>
      <c r="AO125" s="286">
        <f t="shared" si="127"/>
        <v>502.40371854779983</v>
      </c>
      <c r="AP125" s="286">
        <f t="shared" si="127"/>
        <v>1537.4382149769183</v>
      </c>
      <c r="AQ125" s="286">
        <f t="shared" si="127"/>
        <v>2777.0026852763426</v>
      </c>
      <c r="AR125" s="286">
        <f t="shared" si="127"/>
        <v>1586.3442299768803</v>
      </c>
      <c r="AS125" s="292"/>
      <c r="AT125" s="292"/>
      <c r="AU125" s="286">
        <f t="shared" si="128"/>
        <v>4841.7975000463475</v>
      </c>
      <c r="AV125" s="286">
        <f t="shared" si="128"/>
        <v>364.93843858858116</v>
      </c>
      <c r="AW125" s="286">
        <f t="shared" si="128"/>
        <v>1649.6037625206368</v>
      </c>
      <c r="AX125" s="286">
        <f t="shared" si="128"/>
        <v>0</v>
      </c>
      <c r="AY125" s="286">
        <f t="shared" si="128"/>
        <v>0</v>
      </c>
      <c r="AZ125" s="292"/>
      <c r="BA125" s="292"/>
      <c r="BB125" s="286">
        <f t="shared" si="129"/>
        <v>5260.6100865729368</v>
      </c>
      <c r="BC125" s="286">
        <f t="shared" si="129"/>
        <v>0</v>
      </c>
      <c r="BD125" s="286">
        <f t="shared" si="129"/>
        <v>1745.6917381745056</v>
      </c>
      <c r="BE125" s="286">
        <f t="shared" si="129"/>
        <v>893.75385359756206</v>
      </c>
      <c r="BF125" s="286">
        <f t="shared" si="129"/>
        <v>1278.4832118982683</v>
      </c>
      <c r="BG125" s="292"/>
      <c r="BH125" s="292"/>
      <c r="BI125" s="286">
        <f t="shared" si="130"/>
        <v>1553.5463913817869</v>
      </c>
      <c r="BJ125" s="286">
        <f t="shared" si="130"/>
        <v>1650.9911672014871</v>
      </c>
      <c r="BK125" s="286">
        <v>0</v>
      </c>
      <c r="BL125" s="286">
        <v>0</v>
      </c>
      <c r="BM125" s="286"/>
    </row>
    <row r="126" spans="1:65" s="293" customFormat="1" ht="12.75" customHeight="1">
      <c r="A126" s="88" t="s">
        <v>977</v>
      </c>
      <c r="B126" s="88"/>
      <c r="C126" s="88"/>
      <c r="D126" s="88"/>
      <c r="E126" s="88"/>
      <c r="F126" s="88"/>
      <c r="G126" s="89"/>
      <c r="H126" s="88"/>
      <c r="I126" s="88"/>
      <c r="J126" s="88"/>
      <c r="K126" s="88"/>
      <c r="L126" s="351"/>
      <c r="M126" s="89"/>
      <c r="N126" s="88"/>
      <c r="O126" s="88"/>
      <c r="P126" s="88"/>
      <c r="Q126" s="88"/>
      <c r="R126" s="88"/>
      <c r="S126" s="89"/>
      <c r="T126" s="88"/>
      <c r="U126" s="88"/>
      <c r="V126" s="88"/>
      <c r="W126" s="88"/>
      <c r="X126" s="88"/>
      <c r="Y126" s="89"/>
      <c r="Z126" s="88"/>
      <c r="AA126" s="88"/>
      <c r="AB126" s="88"/>
      <c r="AC126" s="88"/>
      <c r="AD126" s="88"/>
      <c r="AE126" s="89"/>
      <c r="AF126" s="88"/>
      <c r="AG126" s="88"/>
      <c r="AH126" s="207"/>
      <c r="AI126" s="286">
        <f t="shared" si="126"/>
        <v>0</v>
      </c>
      <c r="AJ126" s="286">
        <f t="shared" si="126"/>
        <v>0</v>
      </c>
      <c r="AK126" s="286">
        <f t="shared" si="126"/>
        <v>0</v>
      </c>
      <c r="AL126" s="292"/>
      <c r="AM126" s="292"/>
      <c r="AN126" s="286">
        <f t="shared" si="127"/>
        <v>0</v>
      </c>
      <c r="AO126" s="286">
        <f t="shared" si="127"/>
        <v>-2181.0817703362491</v>
      </c>
      <c r="AP126" s="286">
        <f t="shared" si="127"/>
        <v>0</v>
      </c>
      <c r="AQ126" s="286">
        <f t="shared" si="127"/>
        <v>0</v>
      </c>
      <c r="AR126" s="286">
        <f t="shared" si="127"/>
        <v>0</v>
      </c>
      <c r="AS126" s="292"/>
      <c r="AT126" s="292"/>
      <c r="AU126" s="286">
        <f t="shared" si="128"/>
        <v>0</v>
      </c>
      <c r="AV126" s="286">
        <f t="shared" si="128"/>
        <v>0</v>
      </c>
      <c r="AW126" s="286">
        <f t="shared" si="128"/>
        <v>0</v>
      </c>
      <c r="AX126" s="286">
        <f t="shared" si="128"/>
        <v>0</v>
      </c>
      <c r="AY126" s="286">
        <f t="shared" si="128"/>
        <v>0</v>
      </c>
      <c r="AZ126" s="292"/>
      <c r="BA126" s="292"/>
      <c r="BB126" s="286">
        <f t="shared" si="129"/>
        <v>0</v>
      </c>
      <c r="BC126" s="286">
        <f t="shared" si="129"/>
        <v>0</v>
      </c>
      <c r="BD126" s="286">
        <f t="shared" si="129"/>
        <v>0</v>
      </c>
      <c r="BE126" s="286">
        <f t="shared" si="129"/>
        <v>0</v>
      </c>
      <c r="BF126" s="286">
        <f t="shared" si="129"/>
        <v>0</v>
      </c>
      <c r="BG126" s="292"/>
      <c r="BH126" s="292"/>
      <c r="BI126" s="286">
        <f t="shared" si="130"/>
        <v>0</v>
      </c>
      <c r="BJ126" s="286">
        <f t="shared" si="130"/>
        <v>0</v>
      </c>
      <c r="BK126" s="286">
        <v>0</v>
      </c>
      <c r="BL126" s="286">
        <v>0</v>
      </c>
      <c r="BM126" s="286"/>
    </row>
    <row r="127" spans="1:65" s="293" customFormat="1" ht="12.75" customHeight="1">
      <c r="A127" s="88" t="s">
        <v>1026</v>
      </c>
      <c r="B127" s="88"/>
      <c r="C127" s="88"/>
      <c r="D127" s="88"/>
      <c r="E127" s="88"/>
      <c r="F127" s="88"/>
      <c r="G127" s="89"/>
      <c r="H127" s="88"/>
      <c r="I127" s="88"/>
      <c r="J127" s="88"/>
      <c r="K127" s="88"/>
      <c r="L127" s="351"/>
      <c r="M127" s="89"/>
      <c r="N127" s="88"/>
      <c r="O127" s="88"/>
      <c r="P127" s="88"/>
      <c r="Q127" s="88"/>
      <c r="R127" s="88"/>
      <c r="S127" s="89"/>
      <c r="T127" s="88"/>
      <c r="U127" s="88"/>
      <c r="V127" s="88"/>
      <c r="W127" s="88"/>
      <c r="X127" s="88"/>
      <c r="Y127" s="89"/>
      <c r="Z127" s="88"/>
      <c r="AA127" s="88"/>
      <c r="AB127" s="88"/>
      <c r="AC127" s="88"/>
      <c r="AD127" s="88"/>
      <c r="AE127" s="89"/>
      <c r="AF127" s="88"/>
      <c r="AG127" s="88"/>
      <c r="AH127" s="207"/>
      <c r="AI127" s="286">
        <f t="shared" si="126"/>
        <v>0</v>
      </c>
      <c r="AJ127" s="286">
        <f t="shared" si="126"/>
        <v>0</v>
      </c>
      <c r="AK127" s="286">
        <f t="shared" si="126"/>
        <v>0</v>
      </c>
      <c r="AL127" s="292"/>
      <c r="AM127" s="292"/>
      <c r="AN127" s="286">
        <f t="shared" si="127"/>
        <v>0</v>
      </c>
      <c r="AO127" s="286">
        <f t="shared" si="127"/>
        <v>0</v>
      </c>
      <c r="AP127" s="286">
        <f t="shared" si="127"/>
        <v>0</v>
      </c>
      <c r="AQ127" s="286">
        <f t="shared" si="127"/>
        <v>0</v>
      </c>
      <c r="AR127" s="286">
        <f t="shared" si="127"/>
        <v>0</v>
      </c>
      <c r="AS127" s="292"/>
      <c r="AT127" s="292"/>
      <c r="AU127" s="286">
        <f t="shared" si="128"/>
        <v>-76.511287546874968</v>
      </c>
      <c r="AV127" s="286">
        <f t="shared" si="128"/>
        <v>0</v>
      </c>
      <c r="AW127" s="286">
        <f t="shared" si="128"/>
        <v>0</v>
      </c>
      <c r="AX127" s="286">
        <f t="shared" si="128"/>
        <v>0</v>
      </c>
      <c r="AY127" s="286">
        <f t="shared" si="128"/>
        <v>0</v>
      </c>
      <c r="AZ127" s="292"/>
      <c r="BA127" s="292"/>
      <c r="BB127" s="286">
        <f t="shared" si="129"/>
        <v>-70.604616148256213</v>
      </c>
      <c r="BC127" s="286">
        <f t="shared" si="129"/>
        <v>0</v>
      </c>
      <c r="BD127" s="286">
        <f t="shared" si="129"/>
        <v>0</v>
      </c>
      <c r="BE127" s="286">
        <f t="shared" si="129"/>
        <v>0</v>
      </c>
      <c r="BF127" s="286">
        <f t="shared" si="129"/>
        <v>0</v>
      </c>
      <c r="BG127" s="292"/>
      <c r="BH127" s="292"/>
      <c r="BI127" s="286">
        <f t="shared" si="130"/>
        <v>-50.548457305968732</v>
      </c>
      <c r="BJ127" s="286">
        <f t="shared" si="130"/>
        <v>0</v>
      </c>
      <c r="BK127" s="286">
        <v>0</v>
      </c>
      <c r="BL127" s="286">
        <v>0</v>
      </c>
      <c r="BM127" s="286"/>
    </row>
    <row r="128" spans="1:65" s="293" customFormat="1" ht="12.75" customHeight="1">
      <c r="A128" s="88" t="s">
        <v>1027</v>
      </c>
      <c r="B128" s="88"/>
      <c r="C128" s="88"/>
      <c r="D128" s="88"/>
      <c r="E128" s="88"/>
      <c r="F128" s="88"/>
      <c r="G128" s="89"/>
      <c r="H128" s="88"/>
      <c r="I128" s="88"/>
      <c r="J128" s="88"/>
      <c r="K128" s="88"/>
      <c r="L128" s="351"/>
      <c r="M128" s="89"/>
      <c r="N128" s="88"/>
      <c r="O128" s="88"/>
      <c r="P128" s="88"/>
      <c r="Q128" s="88"/>
      <c r="R128" s="88"/>
      <c r="S128" s="89"/>
      <c r="T128" s="88"/>
      <c r="U128" s="88"/>
      <c r="V128" s="88"/>
      <c r="W128" s="88"/>
      <c r="X128" s="88"/>
      <c r="Y128" s="89"/>
      <c r="Z128" s="88"/>
      <c r="AA128" s="88"/>
      <c r="AB128" s="88"/>
      <c r="AC128" s="88"/>
      <c r="AD128" s="88"/>
      <c r="AE128" s="89"/>
      <c r="AF128" s="88"/>
      <c r="AG128" s="88"/>
      <c r="AH128" s="207"/>
      <c r="AI128" s="286">
        <f t="shared" si="126"/>
        <v>0</v>
      </c>
      <c r="AJ128" s="286">
        <f t="shared" si="126"/>
        <v>0</v>
      </c>
      <c r="AK128" s="286">
        <f t="shared" si="126"/>
        <v>0</v>
      </c>
      <c r="AL128" s="292"/>
      <c r="AM128" s="292"/>
      <c r="AN128" s="286">
        <f t="shared" si="127"/>
        <v>0</v>
      </c>
      <c r="AO128" s="286">
        <f t="shared" si="127"/>
        <v>0</v>
      </c>
      <c r="AP128" s="286">
        <f t="shared" si="127"/>
        <v>0</v>
      </c>
      <c r="AQ128" s="286">
        <f t="shared" si="127"/>
        <v>0</v>
      </c>
      <c r="AR128" s="286">
        <f t="shared" si="127"/>
        <v>0</v>
      </c>
      <c r="AS128" s="292"/>
      <c r="AT128" s="292"/>
      <c r="AU128" s="286">
        <f t="shared" si="128"/>
        <v>0</v>
      </c>
      <c r="AV128" s="286">
        <f t="shared" si="128"/>
        <v>0</v>
      </c>
      <c r="AW128" s="286">
        <f t="shared" si="128"/>
        <v>0</v>
      </c>
      <c r="AX128" s="286">
        <f t="shared" si="128"/>
        <v>0</v>
      </c>
      <c r="AY128" s="286">
        <f t="shared" si="128"/>
        <v>0</v>
      </c>
      <c r="AZ128" s="292"/>
      <c r="BA128" s="292"/>
      <c r="BB128" s="286">
        <f t="shared" si="129"/>
        <v>20.40301001249999</v>
      </c>
      <c r="BC128" s="286">
        <f t="shared" si="129"/>
        <v>0</v>
      </c>
      <c r="BD128" s="286">
        <f t="shared" si="129"/>
        <v>0</v>
      </c>
      <c r="BE128" s="286">
        <f t="shared" si="129"/>
        <v>0</v>
      </c>
      <c r="BF128" s="286">
        <f t="shared" si="129"/>
        <v>0</v>
      </c>
      <c r="BG128" s="292"/>
      <c r="BH128" s="292"/>
      <c r="BI128" s="286">
        <f t="shared" si="130"/>
        <v>0</v>
      </c>
      <c r="BJ128" s="286">
        <f t="shared" si="130"/>
        <v>0</v>
      </c>
      <c r="BK128" s="286">
        <v>0</v>
      </c>
      <c r="BL128" s="286">
        <v>0</v>
      </c>
      <c r="BM128" s="286"/>
    </row>
    <row r="129" spans="1:65" ht="13.5" customHeight="1" thickBot="1">
      <c r="A129" s="97" t="s">
        <v>204</v>
      </c>
      <c r="B129" s="98">
        <f>SUM(B112:B128)</f>
        <v>1051689.24</v>
      </c>
      <c r="C129" s="98">
        <f>SUM(C112:C128)</f>
        <v>1596892.23</v>
      </c>
      <c r="D129" s="98">
        <f>SUM(D112:D128)</f>
        <v>1336078.1400000001</v>
      </c>
      <c r="E129" s="98">
        <f>SUM(E112:E128)</f>
        <v>864897.47000000067</v>
      </c>
      <c r="F129" s="98">
        <f>SUM(F112:F128)</f>
        <v>8753630.6400000006</v>
      </c>
      <c r="G129" s="99"/>
      <c r="H129" s="98">
        <f>SUM(H112:H128)</f>
        <v>8753630.6400000006</v>
      </c>
      <c r="I129" s="98">
        <f>SUM(I112:I128)</f>
        <v>8753630.6400000006</v>
      </c>
      <c r="J129" s="98">
        <f>SUM(J112:J128)</f>
        <v>8753630.6400000006</v>
      </c>
      <c r="K129" s="98">
        <f>SUM(K112:K128)</f>
        <v>8753630.6400000006</v>
      </c>
      <c r="L129" s="98">
        <f>SUM(L112:L128)</f>
        <v>8753630.6400000006</v>
      </c>
      <c r="M129" s="99"/>
      <c r="N129" s="98">
        <f>SUM(N112:N128)</f>
        <v>8753630.6400000006</v>
      </c>
      <c r="O129" s="98">
        <f>SUM(O112:O128)</f>
        <v>8753630.6400000006</v>
      </c>
      <c r="P129" s="98">
        <f>SUM(P112:P128)</f>
        <v>8753630.6400000006</v>
      </c>
      <c r="Q129" s="98">
        <f>SUM(Q112:Q128)</f>
        <v>8753630.6400000006</v>
      </c>
      <c r="R129" s="98">
        <f>SUM(R112:R128)</f>
        <v>8753630.6400000006</v>
      </c>
      <c r="S129" s="99"/>
      <c r="T129" s="98">
        <f>SUM(T112:T128)</f>
        <v>8753630.6400000006</v>
      </c>
      <c r="U129" s="98">
        <f>SUM(U112:U128)</f>
        <v>8753630.6400000006</v>
      </c>
      <c r="V129" s="98">
        <f>SUM(V112:V128)</f>
        <v>8753630.6400000006</v>
      </c>
      <c r="W129" s="98">
        <f>SUM(W112:W128)</f>
        <v>8753630.6400000006</v>
      </c>
      <c r="X129" s="98">
        <f>SUM(X112:X128)</f>
        <v>8753630.6400000006</v>
      </c>
      <c r="Y129" s="99"/>
      <c r="Z129" s="98">
        <f>SUM(Z112:Z128)</f>
        <v>8753630.6400000006</v>
      </c>
      <c r="AA129" s="98">
        <f>SUM(AA112:AA128)</f>
        <v>8753630.6400000006</v>
      </c>
      <c r="AB129" s="98">
        <f>SUM(AB112:AB128)</f>
        <v>8753630.6400000006</v>
      </c>
      <c r="AC129" s="98">
        <f>SUM(AC112:AC128)</f>
        <v>8753630.6400000006</v>
      </c>
      <c r="AD129" s="98">
        <f>SUM(AD112:AD128)</f>
        <v>8753630.6400000006</v>
      </c>
      <c r="AE129" s="99"/>
      <c r="AF129" s="98">
        <f t="shared" ref="AF129:BL129" si="131">SUM(AF112:AF128)</f>
        <v>8753630.6400000006</v>
      </c>
      <c r="AG129" s="98">
        <f t="shared" si="131"/>
        <v>8753630.6400000006</v>
      </c>
      <c r="AH129" s="98">
        <f t="shared" si="131"/>
        <v>50190.98128140621</v>
      </c>
      <c r="AI129" s="98">
        <f t="shared" si="131"/>
        <v>44225.88586361667</v>
      </c>
      <c r="AJ129" s="98">
        <f t="shared" si="131"/>
        <v>42914.594611618304</v>
      </c>
      <c r="AK129" s="98">
        <f t="shared" si="131"/>
        <v>44363.718397756114</v>
      </c>
      <c r="AL129" s="98">
        <f t="shared" si="131"/>
        <v>44363.718397756114</v>
      </c>
      <c r="AM129" s="98">
        <f t="shared" si="131"/>
        <v>44363.718397756114</v>
      </c>
      <c r="AN129" s="98">
        <f t="shared" si="131"/>
        <v>46516.072729994761</v>
      </c>
      <c r="AO129" s="98">
        <f t="shared" si="131"/>
        <v>44520.668552277268</v>
      </c>
      <c r="AP129" s="98">
        <f t="shared" si="131"/>
        <v>42028.022617545139</v>
      </c>
      <c r="AQ129" s="98">
        <f t="shared" si="131"/>
        <v>44117.933537640529</v>
      </c>
      <c r="AR129" s="98">
        <f t="shared" si="131"/>
        <v>45656.514321178147</v>
      </c>
      <c r="AS129" s="98">
        <f t="shared" si="131"/>
        <v>45656.514321178147</v>
      </c>
      <c r="AT129" s="98">
        <f t="shared" si="131"/>
        <v>45656.514321178147</v>
      </c>
      <c r="AU129" s="98">
        <f t="shared" si="131"/>
        <v>47716.779667725372</v>
      </c>
      <c r="AV129" s="98">
        <f t="shared" si="131"/>
        <v>47859.355901692717</v>
      </c>
      <c r="AW129" s="98">
        <f t="shared" si="131"/>
        <v>49107.295807602277</v>
      </c>
      <c r="AX129" s="98">
        <f t="shared" si="131"/>
        <v>49107.295807602277</v>
      </c>
      <c r="AY129" s="98">
        <f t="shared" si="131"/>
        <v>49107.295807602277</v>
      </c>
      <c r="AZ129" s="98">
        <f t="shared" si="131"/>
        <v>49107.295807602277</v>
      </c>
      <c r="BA129" s="98">
        <f t="shared" si="131"/>
        <v>49107.295807602277</v>
      </c>
      <c r="BB129" s="98">
        <f t="shared" si="131"/>
        <v>50669.350254159275</v>
      </c>
      <c r="BC129" s="98">
        <f t="shared" si="131"/>
        <v>50669.350254159275</v>
      </c>
      <c r="BD129" s="98">
        <f t="shared" si="131"/>
        <v>49373.014408500072</v>
      </c>
      <c r="BE129" s="98">
        <f t="shared" si="131"/>
        <v>46548.880770094853</v>
      </c>
      <c r="BF129" s="98">
        <f t="shared" si="131"/>
        <v>45762.324331102958</v>
      </c>
      <c r="BG129" s="98">
        <f t="shared" si="131"/>
        <v>45762.324331102958</v>
      </c>
      <c r="BH129" s="98">
        <f t="shared" si="131"/>
        <v>45762.324331102958</v>
      </c>
      <c r="BI129" s="98">
        <f t="shared" si="131"/>
        <v>45492.004851447353</v>
      </c>
      <c r="BJ129" s="98">
        <f t="shared" si="131"/>
        <v>46859.098335829913</v>
      </c>
      <c r="BK129" s="98">
        <f t="shared" si="131"/>
        <v>46859.098335829913</v>
      </c>
      <c r="BL129" s="98">
        <f t="shared" si="131"/>
        <v>46859.098335829913</v>
      </c>
      <c r="BM129" s="98"/>
    </row>
    <row r="130" spans="1:65" ht="15" customHeight="1" thickTop="1"/>
    <row r="133" spans="1:65" s="208" customFormat="1" ht="19.5">
      <c r="A133" s="5" t="s">
        <v>1018</v>
      </c>
      <c r="B133" s="209"/>
      <c r="C133" s="209"/>
      <c r="D133" s="209"/>
      <c r="E133" s="209"/>
      <c r="F133" s="209"/>
      <c r="G133" s="210"/>
      <c r="H133" s="209"/>
      <c r="I133" s="209"/>
      <c r="J133" s="209"/>
      <c r="K133" s="209"/>
      <c r="L133" s="209"/>
      <c r="M133" s="210"/>
      <c r="N133" s="209"/>
      <c r="O133" s="209"/>
      <c r="P133" s="209"/>
      <c r="Q133" s="209"/>
      <c r="R133" s="209"/>
      <c r="S133" s="210"/>
      <c r="T133" s="209"/>
      <c r="U133" s="209"/>
      <c r="V133" s="209"/>
      <c r="W133" s="209"/>
      <c r="X133" s="209"/>
      <c r="Y133" s="210"/>
      <c r="Z133" s="209"/>
      <c r="AA133" s="209"/>
      <c r="AB133" s="209"/>
      <c r="AC133" s="209"/>
      <c r="AD133" s="209"/>
      <c r="AE133" s="210"/>
      <c r="AF133" s="209"/>
      <c r="AG133" s="209"/>
      <c r="AH133" s="209"/>
      <c r="AI133" s="209"/>
      <c r="AJ133" s="209"/>
      <c r="AK133" s="209"/>
      <c r="AL133" s="209"/>
      <c r="AM133" s="209"/>
      <c r="AN133" s="209"/>
      <c r="AO133" s="209"/>
      <c r="AP133" s="209"/>
      <c r="AQ133" s="209"/>
      <c r="AR133" s="209"/>
      <c r="AS133" s="209"/>
      <c r="AT133" s="209"/>
      <c r="AU133" s="209"/>
      <c r="AV133" s="209"/>
      <c r="AW133" s="209"/>
      <c r="AX133" s="209"/>
      <c r="AY133" s="209"/>
      <c r="AZ133" s="209"/>
      <c r="BA133" s="209"/>
      <c r="BB133" s="209"/>
      <c r="BC133" s="209"/>
      <c r="BD133" s="209"/>
      <c r="BE133" s="209"/>
      <c r="BF133" s="209"/>
      <c r="BG133" s="209"/>
      <c r="BH133" s="209"/>
      <c r="BI133" s="209"/>
      <c r="BJ133" s="209"/>
      <c r="BK133" s="209"/>
      <c r="BL133" s="209"/>
      <c r="BM133" s="209"/>
    </row>
    <row r="134" spans="1:65" s="208" customFormat="1" ht="19.5">
      <c r="A134" s="5" t="s">
        <v>1032</v>
      </c>
      <c r="B134" s="209"/>
      <c r="C134" s="209"/>
      <c r="D134" s="209"/>
      <c r="E134" s="209"/>
      <c r="F134" s="209"/>
      <c r="G134" s="210"/>
      <c r="H134" s="209"/>
      <c r="I134" s="209"/>
      <c r="J134" s="209"/>
      <c r="K134" s="209"/>
      <c r="L134" s="209"/>
      <c r="M134" s="210"/>
      <c r="N134" s="209"/>
      <c r="O134" s="209"/>
      <c r="P134" s="209"/>
      <c r="Q134" s="209"/>
      <c r="R134" s="209"/>
      <c r="S134" s="210"/>
      <c r="T134" s="209"/>
      <c r="U134" s="209"/>
      <c r="V134" s="209"/>
      <c r="W134" s="209"/>
      <c r="X134" s="209"/>
      <c r="Y134" s="210"/>
      <c r="Z134" s="209"/>
      <c r="AA134" s="209"/>
      <c r="AB134" s="209"/>
      <c r="AC134" s="209"/>
      <c r="AD134" s="209"/>
      <c r="AE134" s="210"/>
      <c r="AF134" s="209"/>
      <c r="AG134" s="209"/>
      <c r="AH134" s="209"/>
      <c r="AI134" s="209"/>
      <c r="AJ134" s="209"/>
      <c r="AK134" s="209"/>
      <c r="AL134" s="209"/>
      <c r="AM134" s="209"/>
      <c r="AN134" s="209"/>
      <c r="AO134" s="209"/>
      <c r="AP134" s="209"/>
      <c r="AQ134" s="209"/>
      <c r="AR134" s="209"/>
      <c r="AS134" s="209"/>
      <c r="AT134" s="209"/>
      <c r="AU134" s="209"/>
      <c r="AV134" s="209"/>
      <c r="AW134" s="209"/>
      <c r="AX134" s="209"/>
      <c r="AY134" s="209"/>
      <c r="AZ134" s="209"/>
      <c r="BA134" s="209"/>
      <c r="BB134" s="209"/>
      <c r="BC134" s="209"/>
      <c r="BD134" s="209"/>
      <c r="BE134" s="209"/>
      <c r="BF134" s="209"/>
      <c r="BG134" s="209"/>
      <c r="BH134" s="209"/>
      <c r="BI134" s="209"/>
      <c r="BJ134" s="209"/>
      <c r="BK134" s="209"/>
      <c r="BL134" s="209"/>
      <c r="BM134" s="209"/>
    </row>
    <row r="135" spans="1:65" s="208" customFormat="1" ht="13.5" customHeight="1">
      <c r="A135" s="209"/>
      <c r="B135" s="209"/>
      <c r="C135" s="209"/>
      <c r="D135" s="209"/>
      <c r="E135" s="209"/>
      <c r="F135" s="209"/>
      <c r="G135" s="210"/>
      <c r="H135" s="209"/>
      <c r="I135" s="209"/>
      <c r="J135" s="209"/>
      <c r="K135" s="209"/>
      <c r="L135" s="209"/>
      <c r="M135" s="210"/>
      <c r="N135" s="209"/>
      <c r="O135" s="209"/>
      <c r="P135" s="209"/>
      <c r="Q135" s="209"/>
      <c r="R135" s="209"/>
      <c r="S135" s="210"/>
      <c r="T135" s="209"/>
      <c r="U135" s="209"/>
      <c r="V135" s="209"/>
      <c r="W135" s="209"/>
      <c r="X135" s="209"/>
      <c r="Y135" s="210"/>
      <c r="Z135" s="209"/>
      <c r="AA135" s="209"/>
      <c r="AB135" s="209"/>
      <c r="AC135" s="209"/>
      <c r="AD135" s="209"/>
      <c r="AE135" s="210"/>
      <c r="AF135" s="209"/>
      <c r="AG135" s="209"/>
      <c r="AH135" s="209"/>
      <c r="AI135" s="209"/>
      <c r="AJ135" s="209"/>
      <c r="AK135" s="209"/>
      <c r="AL135" s="209"/>
      <c r="AM135" s="209"/>
      <c r="AN135" s="209"/>
      <c r="AO135" s="209"/>
      <c r="AP135" s="209"/>
      <c r="AQ135" s="209"/>
      <c r="AR135" s="209"/>
      <c r="AS135" s="209"/>
      <c r="AT135" s="209"/>
      <c r="AU135" s="209"/>
      <c r="AV135" s="209"/>
      <c r="AW135" s="209"/>
      <c r="AX135" s="209"/>
      <c r="AY135" s="209"/>
      <c r="AZ135" s="209"/>
      <c r="BA135" s="209"/>
      <c r="BB135" s="209"/>
      <c r="BC135" s="209"/>
      <c r="BD135" s="209"/>
      <c r="BE135" s="209"/>
      <c r="BF135" s="209"/>
      <c r="BG135" s="209"/>
      <c r="BH135" s="209"/>
      <c r="BI135" s="209"/>
      <c r="BJ135" s="209"/>
      <c r="BK135" s="209"/>
      <c r="BL135" s="209"/>
      <c r="BM135" s="209"/>
    </row>
    <row r="136" spans="1:65" ht="12.75" customHeight="1">
      <c r="A136" s="82"/>
      <c r="B136" s="83">
        <f t="shared" ref="B136:F136" si="132">+B137</f>
        <v>41813</v>
      </c>
      <c r="C136" s="83">
        <f t="shared" si="132"/>
        <v>41814</v>
      </c>
      <c r="D136" s="83">
        <f t="shared" si="132"/>
        <v>41815</v>
      </c>
      <c r="E136" s="83">
        <f t="shared" si="132"/>
        <v>41816</v>
      </c>
      <c r="F136" s="83">
        <f t="shared" si="132"/>
        <v>41817</v>
      </c>
      <c r="G136" s="84"/>
      <c r="H136" s="83">
        <f t="shared" ref="H136:L136" si="133">+H137</f>
        <v>41820</v>
      </c>
      <c r="I136" s="83">
        <f t="shared" si="133"/>
        <v>41821</v>
      </c>
      <c r="J136" s="83">
        <f t="shared" si="133"/>
        <v>41822</v>
      </c>
      <c r="K136" s="83">
        <f t="shared" si="133"/>
        <v>41823</v>
      </c>
      <c r="L136" s="83">
        <f t="shared" si="133"/>
        <v>41824</v>
      </c>
      <c r="M136" s="84"/>
      <c r="N136" s="83">
        <f t="shared" ref="N136:R136" si="134">+N137</f>
        <v>41827</v>
      </c>
      <c r="O136" s="83">
        <f t="shared" si="134"/>
        <v>41828</v>
      </c>
      <c r="P136" s="83">
        <f t="shared" si="134"/>
        <v>41829</v>
      </c>
      <c r="Q136" s="83">
        <f t="shared" si="134"/>
        <v>41830</v>
      </c>
      <c r="R136" s="83">
        <f t="shared" si="134"/>
        <v>41831</v>
      </c>
      <c r="S136" s="84"/>
      <c r="T136" s="83">
        <f t="shared" ref="T136:X136" si="135">+T137</f>
        <v>41834</v>
      </c>
      <c r="U136" s="83">
        <f t="shared" si="135"/>
        <v>41835</v>
      </c>
      <c r="V136" s="83">
        <f t="shared" si="135"/>
        <v>41836</v>
      </c>
      <c r="W136" s="83">
        <f t="shared" si="135"/>
        <v>41837</v>
      </c>
      <c r="X136" s="83">
        <f t="shared" si="135"/>
        <v>41838</v>
      </c>
      <c r="Y136" s="84"/>
      <c r="Z136" s="83">
        <f t="shared" ref="Z136:AD136" si="136">+Z137</f>
        <v>41841</v>
      </c>
      <c r="AA136" s="83">
        <f t="shared" si="136"/>
        <v>41842</v>
      </c>
      <c r="AB136" s="83">
        <f t="shared" si="136"/>
        <v>41843</v>
      </c>
      <c r="AC136" s="83">
        <f t="shared" si="136"/>
        <v>41844</v>
      </c>
      <c r="AD136" s="83">
        <f t="shared" si="136"/>
        <v>41845</v>
      </c>
      <c r="AE136" s="84"/>
      <c r="AF136" s="83">
        <f t="shared" ref="AF136:AG136" si="137">+AF137</f>
        <v>41848</v>
      </c>
      <c r="AG136" s="83">
        <f t="shared" si="137"/>
        <v>41849</v>
      </c>
      <c r="AH136" s="83" t="s">
        <v>181</v>
      </c>
      <c r="AI136" s="273" t="s">
        <v>178</v>
      </c>
      <c r="AJ136" s="273" t="s">
        <v>173</v>
      </c>
      <c r="AK136" s="273" t="s">
        <v>174</v>
      </c>
      <c r="AL136" s="273" t="s">
        <v>175</v>
      </c>
      <c r="AM136" s="273" t="s">
        <v>1010</v>
      </c>
      <c r="AN136" s="273" t="s">
        <v>176</v>
      </c>
      <c r="AO136" s="273" t="s">
        <v>177</v>
      </c>
      <c r="AP136" s="273" t="s">
        <v>178</v>
      </c>
      <c r="AQ136" s="273" t="s">
        <v>173</v>
      </c>
      <c r="AR136" s="273" t="s">
        <v>174</v>
      </c>
      <c r="AS136" s="273" t="s">
        <v>175</v>
      </c>
      <c r="AT136" s="273" t="s">
        <v>1010</v>
      </c>
      <c r="AU136" s="273" t="s">
        <v>176</v>
      </c>
      <c r="AV136" s="273" t="s">
        <v>177</v>
      </c>
      <c r="AW136" s="273" t="s">
        <v>178</v>
      </c>
      <c r="AX136" s="273" t="s">
        <v>173</v>
      </c>
      <c r="AY136" s="273" t="s">
        <v>174</v>
      </c>
      <c r="AZ136" s="273" t="s">
        <v>175</v>
      </c>
      <c r="BA136" s="273" t="s">
        <v>1010</v>
      </c>
      <c r="BB136" s="273" t="s">
        <v>176</v>
      </c>
      <c r="BC136" s="273" t="s">
        <v>177</v>
      </c>
      <c r="BD136" s="273" t="s">
        <v>178</v>
      </c>
      <c r="BE136" s="273" t="s">
        <v>173</v>
      </c>
      <c r="BF136" s="273" t="s">
        <v>174</v>
      </c>
      <c r="BG136" s="273" t="s">
        <v>175</v>
      </c>
      <c r="BH136" s="273" t="s">
        <v>1010</v>
      </c>
      <c r="BI136" s="273" t="s">
        <v>176</v>
      </c>
      <c r="BJ136" s="273" t="s">
        <v>177</v>
      </c>
      <c r="BK136" s="273" t="s">
        <v>178</v>
      </c>
      <c r="BL136" s="273" t="s">
        <v>173</v>
      </c>
      <c r="BM136" s="273" t="s">
        <v>174</v>
      </c>
    </row>
    <row r="137" spans="1:65" ht="12.75" customHeight="1">
      <c r="A137" s="85" t="s">
        <v>182</v>
      </c>
      <c r="B137" s="85">
        <v>41813</v>
      </c>
      <c r="C137" s="85">
        <f t="shared" ref="C137:F137" si="138">+B137+1</f>
        <v>41814</v>
      </c>
      <c r="D137" s="85">
        <f t="shared" si="138"/>
        <v>41815</v>
      </c>
      <c r="E137" s="85">
        <f t="shared" si="138"/>
        <v>41816</v>
      </c>
      <c r="F137" s="85">
        <f t="shared" si="138"/>
        <v>41817</v>
      </c>
      <c r="G137" s="85" t="s">
        <v>183</v>
      </c>
      <c r="H137" s="85">
        <v>41820</v>
      </c>
      <c r="I137" s="85">
        <f t="shared" ref="I137:L137" si="139">+H137+1</f>
        <v>41821</v>
      </c>
      <c r="J137" s="85">
        <f t="shared" si="139"/>
        <v>41822</v>
      </c>
      <c r="K137" s="85">
        <f t="shared" si="139"/>
        <v>41823</v>
      </c>
      <c r="L137" s="85">
        <f t="shared" si="139"/>
        <v>41824</v>
      </c>
      <c r="M137" s="85" t="s">
        <v>183</v>
      </c>
      <c r="N137" s="85">
        <v>41827</v>
      </c>
      <c r="O137" s="85">
        <f t="shared" ref="O137:R137" si="140">+N137+1</f>
        <v>41828</v>
      </c>
      <c r="P137" s="85">
        <f t="shared" si="140"/>
        <v>41829</v>
      </c>
      <c r="Q137" s="85">
        <f t="shared" si="140"/>
        <v>41830</v>
      </c>
      <c r="R137" s="85">
        <f t="shared" si="140"/>
        <v>41831</v>
      </c>
      <c r="S137" s="85" t="s">
        <v>183</v>
      </c>
      <c r="T137" s="85">
        <v>41834</v>
      </c>
      <c r="U137" s="85">
        <f t="shared" ref="U137:X137" si="141">+T137+1</f>
        <v>41835</v>
      </c>
      <c r="V137" s="85">
        <f t="shared" si="141"/>
        <v>41836</v>
      </c>
      <c r="W137" s="85">
        <f t="shared" si="141"/>
        <v>41837</v>
      </c>
      <c r="X137" s="85">
        <f t="shared" si="141"/>
        <v>41838</v>
      </c>
      <c r="Y137" s="85" t="s">
        <v>183</v>
      </c>
      <c r="Z137" s="85">
        <v>41841</v>
      </c>
      <c r="AA137" s="85">
        <f t="shared" ref="AA137:AD137" si="142">+Z137+1</f>
        <v>41842</v>
      </c>
      <c r="AB137" s="85">
        <f t="shared" si="142"/>
        <v>41843</v>
      </c>
      <c r="AC137" s="85">
        <f t="shared" si="142"/>
        <v>41844</v>
      </c>
      <c r="AD137" s="85">
        <f t="shared" si="142"/>
        <v>41845</v>
      </c>
      <c r="AE137" s="85" t="s">
        <v>183</v>
      </c>
      <c r="AF137" s="85">
        <f>+AD137+3</f>
        <v>41848</v>
      </c>
      <c r="AG137" s="85">
        <f>+AF137+1</f>
        <v>41849</v>
      </c>
      <c r="AH137" s="85"/>
      <c r="AI137" s="85">
        <v>43070</v>
      </c>
      <c r="AJ137" s="85">
        <f>AI137+1</f>
        <v>43071</v>
      </c>
      <c r="AK137" s="85">
        <f t="shared" ref="AK137:BF137" si="143">AJ137+1</f>
        <v>43072</v>
      </c>
      <c r="AL137" s="85">
        <f t="shared" si="143"/>
        <v>43073</v>
      </c>
      <c r="AM137" s="85">
        <f t="shared" si="143"/>
        <v>43074</v>
      </c>
      <c r="AN137" s="85">
        <f t="shared" si="143"/>
        <v>43075</v>
      </c>
      <c r="AO137" s="85">
        <f t="shared" si="143"/>
        <v>43076</v>
      </c>
      <c r="AP137" s="85">
        <f t="shared" si="143"/>
        <v>43077</v>
      </c>
      <c r="AQ137" s="85">
        <f t="shared" si="143"/>
        <v>43078</v>
      </c>
      <c r="AR137" s="85">
        <f t="shared" si="143"/>
        <v>43079</v>
      </c>
      <c r="AS137" s="85">
        <f t="shared" si="143"/>
        <v>43080</v>
      </c>
      <c r="AT137" s="85">
        <f t="shared" si="143"/>
        <v>43081</v>
      </c>
      <c r="AU137" s="85">
        <f t="shared" si="143"/>
        <v>43082</v>
      </c>
      <c r="AV137" s="85">
        <f t="shared" si="143"/>
        <v>43083</v>
      </c>
      <c r="AW137" s="85">
        <f t="shared" si="143"/>
        <v>43084</v>
      </c>
      <c r="AX137" s="85">
        <f t="shared" si="143"/>
        <v>43085</v>
      </c>
      <c r="AY137" s="85">
        <f t="shared" si="143"/>
        <v>43086</v>
      </c>
      <c r="AZ137" s="85">
        <f t="shared" si="143"/>
        <v>43087</v>
      </c>
      <c r="BA137" s="85">
        <f t="shared" si="143"/>
        <v>43088</v>
      </c>
      <c r="BB137" s="85">
        <f t="shared" si="143"/>
        <v>43089</v>
      </c>
      <c r="BC137" s="85">
        <f t="shared" si="143"/>
        <v>43090</v>
      </c>
      <c r="BD137" s="85">
        <f t="shared" si="143"/>
        <v>43091</v>
      </c>
      <c r="BE137" s="85">
        <f t="shared" si="143"/>
        <v>43092</v>
      </c>
      <c r="BF137" s="85">
        <f t="shared" si="143"/>
        <v>43093</v>
      </c>
      <c r="BG137" s="85">
        <f>BF137+1</f>
        <v>43094</v>
      </c>
      <c r="BH137" s="85">
        <f t="shared" ref="BH137:BK137" si="144">BG137+1</f>
        <v>43095</v>
      </c>
      <c r="BI137" s="85">
        <f t="shared" si="144"/>
        <v>43096</v>
      </c>
      <c r="BJ137" s="85">
        <f t="shared" si="144"/>
        <v>43097</v>
      </c>
      <c r="BK137" s="85">
        <f t="shared" si="144"/>
        <v>43098</v>
      </c>
      <c r="BL137" s="85">
        <f>BK137+1</f>
        <v>43099</v>
      </c>
      <c r="BM137" s="85">
        <f>BL137+1</f>
        <v>43100</v>
      </c>
    </row>
    <row r="138" spans="1:65" ht="12.75" customHeight="1">
      <c r="A138" s="86" t="s">
        <v>184</v>
      </c>
      <c r="B138" s="86">
        <v>1051689.24</v>
      </c>
      <c r="C138" s="86">
        <v>1596892.23</v>
      </c>
      <c r="D138" s="86">
        <v>1336078.1400000001</v>
      </c>
      <c r="E138" s="86">
        <v>864897.47000000067</v>
      </c>
      <c r="F138" s="86">
        <v>8753630.6400000006</v>
      </c>
      <c r="G138" s="87"/>
      <c r="H138" s="86">
        <f>+F154</f>
        <v>8753630.6400000006</v>
      </c>
      <c r="I138" s="86">
        <f t="shared" ref="I138:L138" si="145">+H154</f>
        <v>8753630.6400000006</v>
      </c>
      <c r="J138" s="86">
        <f t="shared" si="145"/>
        <v>8753630.6400000006</v>
      </c>
      <c r="K138" s="86">
        <f t="shared" si="145"/>
        <v>8753630.6400000006</v>
      </c>
      <c r="L138" s="86">
        <f t="shared" si="145"/>
        <v>8753630.6400000006</v>
      </c>
      <c r="M138" s="87"/>
      <c r="N138" s="86">
        <f>+L154</f>
        <v>8753630.6400000006</v>
      </c>
      <c r="O138" s="86">
        <f t="shared" ref="O138:R138" si="146">+N154</f>
        <v>8753630.6400000006</v>
      </c>
      <c r="P138" s="86">
        <f t="shared" si="146"/>
        <v>8753630.6400000006</v>
      </c>
      <c r="Q138" s="86">
        <f t="shared" si="146"/>
        <v>8753630.6400000006</v>
      </c>
      <c r="R138" s="86">
        <f t="shared" si="146"/>
        <v>8753630.6400000006</v>
      </c>
      <c r="S138" s="87"/>
      <c r="T138" s="86">
        <f>+R154</f>
        <v>8753630.6400000006</v>
      </c>
      <c r="U138" s="86">
        <f t="shared" ref="U138:X138" si="147">+T154</f>
        <v>8753630.6400000006</v>
      </c>
      <c r="V138" s="86">
        <f t="shared" si="147"/>
        <v>8753630.6400000006</v>
      </c>
      <c r="W138" s="86">
        <f t="shared" si="147"/>
        <v>8753630.6400000006</v>
      </c>
      <c r="X138" s="86">
        <f t="shared" si="147"/>
        <v>8753630.6400000006</v>
      </c>
      <c r="Y138" s="87"/>
      <c r="Z138" s="86">
        <f>+X154</f>
        <v>8753630.6400000006</v>
      </c>
      <c r="AA138" s="86">
        <f t="shared" ref="AA138:AD138" si="148">+Z154</f>
        <v>8753630.6400000006</v>
      </c>
      <c r="AB138" s="86">
        <f t="shared" si="148"/>
        <v>8753630.6400000006</v>
      </c>
      <c r="AC138" s="86">
        <f t="shared" si="148"/>
        <v>8753630.6400000006</v>
      </c>
      <c r="AD138" s="86">
        <f t="shared" si="148"/>
        <v>8753630.6400000006</v>
      </c>
      <c r="AE138" s="87"/>
      <c r="AF138" s="86">
        <f>+AD154</f>
        <v>8753630.6400000006</v>
      </c>
      <c r="AG138" s="86">
        <f>+AF154</f>
        <v>8753630.6400000006</v>
      </c>
      <c r="AH138" s="206">
        <f>BL129</f>
        <v>46859.098335829913</v>
      </c>
      <c r="AI138" s="206">
        <f>AH154</f>
        <v>46859.098335829913</v>
      </c>
      <c r="AJ138" s="206">
        <f t="shared" ref="AJ138:BM138" si="149">AI154</f>
        <v>48315.467740898413</v>
      </c>
      <c r="AK138" s="206">
        <f t="shared" si="149"/>
        <v>48315.467740898413</v>
      </c>
      <c r="AL138" s="206">
        <f t="shared" si="149"/>
        <v>48315.467740898413</v>
      </c>
      <c r="AM138" s="206">
        <f t="shared" si="149"/>
        <v>50478.583844798268</v>
      </c>
      <c r="AN138" s="206">
        <f t="shared" si="149"/>
        <v>48473.202646192192</v>
      </c>
      <c r="AO138" s="206">
        <f t="shared" si="149"/>
        <v>45968.093481786404</v>
      </c>
      <c r="AP138" s="206">
        <f t="shared" si="149"/>
        <v>48068.453956482277</v>
      </c>
      <c r="AQ138" s="206">
        <f t="shared" si="149"/>
        <v>49614.727643937586</v>
      </c>
      <c r="AR138" s="206">
        <f t="shared" si="149"/>
        <v>49614.727643937586</v>
      </c>
      <c r="AS138" s="206">
        <f t="shared" si="149"/>
        <v>49614.727643937586</v>
      </c>
      <c r="AT138" s="206">
        <f t="shared" si="149"/>
        <v>51685.294317217544</v>
      </c>
      <c r="AU138" s="206">
        <f t="shared" si="149"/>
        <v>51828.583432354731</v>
      </c>
      <c r="AV138" s="206">
        <f t="shared" si="149"/>
        <v>53082.763037793833</v>
      </c>
      <c r="AW138" s="206">
        <f t="shared" si="149"/>
        <v>53082.763037793833</v>
      </c>
      <c r="AX138" s="206">
        <f t="shared" si="149"/>
        <v>53082.763037793833</v>
      </c>
      <c r="AY138" s="206">
        <f t="shared" si="149"/>
        <v>53082.763037793833</v>
      </c>
      <c r="AZ138" s="206">
        <f t="shared" si="149"/>
        <v>53082.763037793833</v>
      </c>
      <c r="BA138" s="206">
        <f t="shared" si="149"/>
        <v>54652.627756583621</v>
      </c>
      <c r="BB138" s="206">
        <f t="shared" si="149"/>
        <v>54652.627756583621</v>
      </c>
      <c r="BC138" s="206">
        <f t="shared" si="149"/>
        <v>53349.810231696123</v>
      </c>
      <c r="BD138" s="206">
        <f t="shared" si="149"/>
        <v>50511.555925098874</v>
      </c>
      <c r="BE138" s="206">
        <f t="shared" si="149"/>
        <v>49721.066703912024</v>
      </c>
      <c r="BF138" s="206">
        <f t="shared" si="149"/>
        <v>49721.066703912024</v>
      </c>
      <c r="BG138" s="206">
        <f t="shared" si="149"/>
        <v>49721.066703912024</v>
      </c>
      <c r="BH138" s="206">
        <f t="shared" si="149"/>
        <v>49449.395626858131</v>
      </c>
      <c r="BI138" s="206">
        <f t="shared" si="149"/>
        <v>50823.324578662607</v>
      </c>
      <c r="BJ138" s="206">
        <f t="shared" si="149"/>
        <v>47904.157443168493</v>
      </c>
      <c r="BK138" s="206">
        <f t="shared" si="149"/>
        <v>46586.309734910137</v>
      </c>
      <c r="BL138" s="206">
        <f t="shared" si="149"/>
        <v>46586.309734910137</v>
      </c>
      <c r="BM138" s="206">
        <f t="shared" si="149"/>
        <v>46586.309734910137</v>
      </c>
    </row>
    <row r="139" spans="1:65" s="278" customFormat="1" ht="12.75" customHeight="1">
      <c r="A139" s="274" t="s">
        <v>1021</v>
      </c>
      <c r="B139" s="274"/>
      <c r="C139" s="274"/>
      <c r="D139" s="274"/>
      <c r="E139" s="274"/>
      <c r="F139" s="274"/>
      <c r="G139" s="275"/>
      <c r="H139" s="274"/>
      <c r="I139" s="274"/>
      <c r="J139" s="274"/>
      <c r="K139" s="274"/>
      <c r="L139" s="274"/>
      <c r="M139" s="275"/>
      <c r="N139" s="274"/>
      <c r="O139" s="274"/>
      <c r="P139" s="274"/>
      <c r="Q139" s="274"/>
      <c r="R139" s="274"/>
      <c r="S139" s="275"/>
      <c r="T139" s="274"/>
      <c r="U139" s="274"/>
      <c r="V139" s="274"/>
      <c r="W139" s="274"/>
      <c r="X139" s="274"/>
      <c r="Y139" s="275"/>
      <c r="Z139" s="274"/>
      <c r="AA139" s="274"/>
      <c r="AB139" s="274"/>
      <c r="AC139" s="274"/>
      <c r="AD139" s="274"/>
      <c r="AE139" s="275"/>
      <c r="AF139" s="274"/>
      <c r="AG139" s="274"/>
      <c r="AH139" s="284"/>
      <c r="AI139" s="290"/>
      <c r="AJ139" s="294"/>
      <c r="AK139" s="294"/>
      <c r="AL139" s="290"/>
      <c r="AM139" s="290"/>
      <c r="AN139" s="284"/>
      <c r="AO139" s="290"/>
      <c r="AP139" s="290"/>
      <c r="AQ139" s="294"/>
      <c r="AR139" s="294"/>
      <c r="AS139" s="290"/>
      <c r="AT139" s="290"/>
      <c r="AU139" s="284"/>
      <c r="AV139" s="290"/>
      <c r="AW139" s="290"/>
      <c r="AX139" s="294"/>
      <c r="AY139" s="294"/>
      <c r="AZ139" s="290"/>
      <c r="BA139" s="290"/>
      <c r="BB139" s="284"/>
      <c r="BC139" s="290"/>
      <c r="BD139" s="290"/>
      <c r="BE139" s="294"/>
      <c r="BF139" s="294"/>
      <c r="BG139" s="290"/>
      <c r="BH139" s="290"/>
      <c r="BI139" s="284"/>
      <c r="BJ139" s="290"/>
      <c r="BK139" s="290"/>
      <c r="BL139" s="294"/>
      <c r="BM139" s="294"/>
    </row>
    <row r="140" spans="1:65" s="293" customFormat="1" ht="12.75" customHeight="1">
      <c r="A140" s="88" t="s">
        <v>971</v>
      </c>
      <c r="B140" s="86"/>
      <c r="C140" s="86"/>
      <c r="D140" s="86"/>
      <c r="E140" s="86"/>
      <c r="F140" s="86"/>
      <c r="G140" s="87"/>
      <c r="H140" s="86"/>
      <c r="I140" s="86"/>
      <c r="J140" s="86"/>
      <c r="K140" s="86"/>
      <c r="L140" s="86"/>
      <c r="M140" s="87"/>
      <c r="N140" s="86"/>
      <c r="O140" s="86"/>
      <c r="P140" s="86"/>
      <c r="Q140" s="86"/>
      <c r="R140" s="86"/>
      <c r="S140" s="87"/>
      <c r="T140" s="86"/>
      <c r="U140" s="86"/>
      <c r="V140" s="86"/>
      <c r="W140" s="86"/>
      <c r="X140" s="86"/>
      <c r="Y140" s="87"/>
      <c r="Z140" s="86"/>
      <c r="AA140" s="86"/>
      <c r="AB140" s="86"/>
      <c r="AC140" s="86"/>
      <c r="AD140" s="86"/>
      <c r="AE140" s="87"/>
      <c r="AF140" s="86"/>
      <c r="AG140" s="86"/>
      <c r="AH140" s="207"/>
      <c r="AI140" s="286">
        <f t="shared" ref="AI140:AI147" si="150">AK114*1.005</f>
        <v>0</v>
      </c>
      <c r="AJ140" s="292"/>
      <c r="AK140" s="292"/>
      <c r="AL140" s="286">
        <f t="shared" ref="AL140:AP147" si="151">AN114*1.005</f>
        <v>0</v>
      </c>
      <c r="AM140" s="286">
        <f t="shared" si="151"/>
        <v>0</v>
      </c>
      <c r="AN140" s="286">
        <f t="shared" si="151"/>
        <v>0</v>
      </c>
      <c r="AO140" s="286">
        <f t="shared" si="151"/>
        <v>0</v>
      </c>
      <c r="AP140" s="286">
        <f t="shared" si="151"/>
        <v>0</v>
      </c>
      <c r="AQ140" s="292"/>
      <c r="AR140" s="292"/>
      <c r="AS140" s="286">
        <f t="shared" ref="AS140:AW147" si="152">AU114*1.005</f>
        <v>0</v>
      </c>
      <c r="AT140" s="286">
        <f t="shared" si="152"/>
        <v>0</v>
      </c>
      <c r="AU140" s="286">
        <f t="shared" si="152"/>
        <v>0</v>
      </c>
      <c r="AV140" s="286">
        <f t="shared" si="152"/>
        <v>0</v>
      </c>
      <c r="AW140" s="286">
        <f t="shared" si="152"/>
        <v>0</v>
      </c>
      <c r="AX140" s="292"/>
      <c r="AY140" s="292"/>
      <c r="AZ140" s="286">
        <f t="shared" ref="AZ140:BD147" si="153">BB114*1.005</f>
        <v>-20.505025062562488</v>
      </c>
      <c r="BA140" s="286">
        <f t="shared" si="153"/>
        <v>0</v>
      </c>
      <c r="BB140" s="286">
        <f t="shared" si="153"/>
        <v>0</v>
      </c>
      <c r="BC140" s="286">
        <f t="shared" si="153"/>
        <v>-549.98578222805122</v>
      </c>
      <c r="BD140" s="286">
        <f t="shared" si="153"/>
        <v>0</v>
      </c>
      <c r="BE140" s="292"/>
      <c r="BF140" s="292"/>
      <c r="BG140" s="286">
        <f t="shared" ref="BG140:BH147" si="154">BI114*1.005</f>
        <v>0</v>
      </c>
      <c r="BH140" s="286">
        <f t="shared" si="154"/>
        <v>0</v>
      </c>
      <c r="BI140" s="286">
        <f t="shared" ref="BI140:BJ147" si="155">AI114*1.005</f>
        <v>0</v>
      </c>
      <c r="BJ140" s="286">
        <f t="shared" si="155"/>
        <v>0</v>
      </c>
      <c r="BK140" s="286">
        <v>0</v>
      </c>
      <c r="BL140" s="292"/>
      <c r="BM140" s="292"/>
    </row>
    <row r="141" spans="1:65" s="293" customFormat="1" ht="12.75" customHeight="1">
      <c r="A141" s="88" t="s">
        <v>308</v>
      </c>
      <c r="B141" s="86"/>
      <c r="C141" s="86"/>
      <c r="D141" s="86"/>
      <c r="E141" s="86"/>
      <c r="F141" s="86"/>
      <c r="G141" s="87"/>
      <c r="H141" s="86"/>
      <c r="I141" s="86"/>
      <c r="J141" s="86"/>
      <c r="K141" s="86"/>
      <c r="L141" s="86"/>
      <c r="M141" s="87"/>
      <c r="N141" s="86"/>
      <c r="O141" s="86"/>
      <c r="P141" s="86"/>
      <c r="Q141" s="86"/>
      <c r="R141" s="86"/>
      <c r="S141" s="87"/>
      <c r="T141" s="86"/>
      <c r="U141" s="86"/>
      <c r="V141" s="86"/>
      <c r="W141" s="86"/>
      <c r="X141" s="86"/>
      <c r="Y141" s="87"/>
      <c r="Z141" s="86"/>
      <c r="AA141" s="86"/>
      <c r="AB141" s="86"/>
      <c r="AC141" s="86"/>
      <c r="AD141" s="86"/>
      <c r="AE141" s="87"/>
      <c r="AF141" s="86"/>
      <c r="AG141" s="86"/>
      <c r="AH141" s="207"/>
      <c r="AI141" s="286">
        <f t="shared" si="150"/>
        <v>0</v>
      </c>
      <c r="AJ141" s="292"/>
      <c r="AK141" s="292"/>
      <c r="AL141" s="286">
        <f t="shared" si="151"/>
        <v>-827.58281152502218</v>
      </c>
      <c r="AM141" s="286">
        <f t="shared" si="151"/>
        <v>0</v>
      </c>
      <c r="AN141" s="286">
        <f t="shared" si="151"/>
        <v>-495.1963552608841</v>
      </c>
      <c r="AO141" s="286">
        <f t="shared" si="151"/>
        <v>0</v>
      </c>
      <c r="AP141" s="286">
        <f t="shared" si="151"/>
        <v>-48.002263671458785</v>
      </c>
      <c r="AQ141" s="292"/>
      <c r="AR141" s="292"/>
      <c r="AS141" s="286">
        <f t="shared" si="152"/>
        <v>-1128.6683470311586</v>
      </c>
      <c r="AT141" s="286">
        <f t="shared" si="152"/>
        <v>0</v>
      </c>
      <c r="AU141" s="286">
        <f t="shared" si="152"/>
        <v>0</v>
      </c>
      <c r="AV141" s="286">
        <f t="shared" si="152"/>
        <v>0</v>
      </c>
      <c r="AW141" s="286">
        <f t="shared" si="152"/>
        <v>0</v>
      </c>
      <c r="AX141" s="292"/>
      <c r="AY141" s="292"/>
      <c r="AZ141" s="286">
        <f t="shared" si="153"/>
        <v>-430.8618391270943</v>
      </c>
      <c r="BA141" s="286">
        <f t="shared" si="153"/>
        <v>0</v>
      </c>
      <c r="BB141" s="286">
        <f t="shared" si="153"/>
        <v>-1341.7975775314328</v>
      </c>
      <c r="BC141" s="286">
        <f t="shared" si="153"/>
        <v>0</v>
      </c>
      <c r="BD141" s="286">
        <f t="shared" si="153"/>
        <v>0</v>
      </c>
      <c r="BE141" s="292"/>
      <c r="BF141" s="292"/>
      <c r="BG141" s="286">
        <f t="shared" si="154"/>
        <v>-1344.0736353133773</v>
      </c>
      <c r="BH141" s="286">
        <f t="shared" si="154"/>
        <v>0</v>
      </c>
      <c r="BI141" s="286">
        <f t="shared" si="155"/>
        <v>0</v>
      </c>
      <c r="BJ141" s="286">
        <f t="shared" si="155"/>
        <v>0</v>
      </c>
      <c r="BK141" s="286">
        <v>0</v>
      </c>
      <c r="BL141" s="292"/>
      <c r="BM141" s="292"/>
    </row>
    <row r="142" spans="1:65" s="293" customFormat="1" ht="12.75" customHeight="1">
      <c r="A142" s="88" t="s">
        <v>307</v>
      </c>
      <c r="B142" s="86"/>
      <c r="C142" s="86"/>
      <c r="D142" s="86"/>
      <c r="E142" s="86"/>
      <c r="F142" s="86"/>
      <c r="G142" s="87"/>
      <c r="H142" s="86"/>
      <c r="I142" s="86"/>
      <c r="J142" s="86"/>
      <c r="K142" s="86"/>
      <c r="L142" s="86"/>
      <c r="M142" s="87"/>
      <c r="N142" s="86"/>
      <c r="O142" s="86"/>
      <c r="P142" s="86"/>
      <c r="Q142" s="86"/>
      <c r="R142" s="86"/>
      <c r="S142" s="87"/>
      <c r="T142" s="86"/>
      <c r="U142" s="86"/>
      <c r="V142" s="86"/>
      <c r="W142" s="86"/>
      <c r="X142" s="86"/>
      <c r="Y142" s="87"/>
      <c r="Z142" s="86"/>
      <c r="AA142" s="86"/>
      <c r="AB142" s="86"/>
      <c r="AC142" s="86"/>
      <c r="AD142" s="86"/>
      <c r="AE142" s="87"/>
      <c r="AF142" s="86"/>
      <c r="AG142" s="86"/>
      <c r="AH142" s="207"/>
      <c r="AI142" s="286">
        <f t="shared" si="150"/>
        <v>0</v>
      </c>
      <c r="AJ142" s="292"/>
      <c r="AK142" s="292"/>
      <c r="AL142" s="286">
        <f t="shared" si="151"/>
        <v>-1102.4219149510782</v>
      </c>
      <c r="AM142" s="286">
        <f t="shared" si="151"/>
        <v>-318.30975655868889</v>
      </c>
      <c r="AN142" s="286">
        <f t="shared" si="151"/>
        <v>-3386.8970096836965</v>
      </c>
      <c r="AO142" s="286">
        <f t="shared" si="151"/>
        <v>-690.52722400685434</v>
      </c>
      <c r="AP142" s="286">
        <f t="shared" si="151"/>
        <v>0</v>
      </c>
      <c r="AQ142" s="292"/>
      <c r="AR142" s="292"/>
      <c r="AS142" s="286">
        <f t="shared" si="152"/>
        <v>-764.55036448270494</v>
      </c>
      <c r="AT142" s="286">
        <f t="shared" si="152"/>
        <v>-147.51315030007453</v>
      </c>
      <c r="AU142" s="286">
        <f t="shared" si="152"/>
        <v>-403.6721758941365</v>
      </c>
      <c r="AV142" s="286">
        <f t="shared" si="152"/>
        <v>0</v>
      </c>
      <c r="AW142" s="286">
        <f t="shared" si="152"/>
        <v>0</v>
      </c>
      <c r="AX142" s="292"/>
      <c r="AY142" s="292"/>
      <c r="AZ142" s="286">
        <f t="shared" si="153"/>
        <v>-652.10080703961228</v>
      </c>
      <c r="BA142" s="286">
        <f t="shared" si="153"/>
        <v>0</v>
      </c>
      <c r="BB142" s="286">
        <f t="shared" si="153"/>
        <v>-335.45195751099106</v>
      </c>
      <c r="BC142" s="286">
        <f t="shared" si="153"/>
        <v>0</v>
      </c>
      <c r="BD142" s="286">
        <f t="shared" si="153"/>
        <v>-653.34136105589744</v>
      </c>
      <c r="BE142" s="292"/>
      <c r="BF142" s="292"/>
      <c r="BG142" s="286">
        <f t="shared" si="154"/>
        <v>-438.11036548671012</v>
      </c>
      <c r="BH142" s="286">
        <f t="shared" si="154"/>
        <v>-80.266920607400863</v>
      </c>
      <c r="BI142" s="286">
        <f t="shared" si="155"/>
        <v>-85.567469586073287</v>
      </c>
      <c r="BJ142" s="286">
        <f t="shared" si="155"/>
        <v>-3801.6008890614917</v>
      </c>
      <c r="BK142" s="286">
        <v>0</v>
      </c>
      <c r="BL142" s="292"/>
      <c r="BM142" s="292"/>
    </row>
    <row r="143" spans="1:65" s="293" customFormat="1" ht="12.75" customHeight="1">
      <c r="A143" s="88" t="s">
        <v>1022</v>
      </c>
      <c r="B143" s="86"/>
      <c r="C143" s="86"/>
      <c r="D143" s="86"/>
      <c r="E143" s="86"/>
      <c r="F143" s="86"/>
      <c r="G143" s="87"/>
      <c r="H143" s="86"/>
      <c r="I143" s="86"/>
      <c r="J143" s="86"/>
      <c r="K143" s="86"/>
      <c r="L143" s="86"/>
      <c r="M143" s="87"/>
      <c r="N143" s="86"/>
      <c r="O143" s="86"/>
      <c r="P143" s="86"/>
      <c r="Q143" s="86"/>
      <c r="R143" s="86"/>
      <c r="S143" s="87"/>
      <c r="T143" s="86"/>
      <c r="U143" s="86"/>
      <c r="V143" s="86"/>
      <c r="W143" s="86"/>
      <c r="X143" s="86"/>
      <c r="Y143" s="87"/>
      <c r="Z143" s="86"/>
      <c r="AA143" s="86"/>
      <c r="AB143" s="86"/>
      <c r="AC143" s="86"/>
      <c r="AD143" s="86"/>
      <c r="AE143" s="87"/>
      <c r="AF143" s="86"/>
      <c r="AG143" s="86"/>
      <c r="AH143" s="207"/>
      <c r="AI143" s="286">
        <f t="shared" si="150"/>
        <v>0</v>
      </c>
      <c r="AJ143" s="292"/>
      <c r="AK143" s="292"/>
      <c r="AL143" s="286">
        <f t="shared" si="151"/>
        <v>0</v>
      </c>
      <c r="AM143" s="286">
        <f t="shared" si="151"/>
        <v>0</v>
      </c>
      <c r="AN143" s="286">
        <f t="shared" si="151"/>
        <v>0</v>
      </c>
      <c r="AO143" s="286">
        <f t="shared" si="151"/>
        <v>0</v>
      </c>
      <c r="AP143" s="286">
        <f t="shared" si="151"/>
        <v>0</v>
      </c>
      <c r="AQ143" s="292"/>
      <c r="AR143" s="292"/>
      <c r="AS143" s="286">
        <f t="shared" si="152"/>
        <v>0</v>
      </c>
      <c r="AT143" s="286">
        <f t="shared" si="152"/>
        <v>0</v>
      </c>
      <c r="AU143" s="286">
        <f t="shared" si="152"/>
        <v>0</v>
      </c>
      <c r="AV143" s="286">
        <f t="shared" si="152"/>
        <v>0</v>
      </c>
      <c r="AW143" s="286">
        <f t="shared" si="152"/>
        <v>0</v>
      </c>
      <c r="AX143" s="292"/>
      <c r="AY143" s="292"/>
      <c r="AZ143" s="286">
        <f t="shared" si="153"/>
        <v>0</v>
      </c>
      <c r="BA143" s="286">
        <f t="shared" si="153"/>
        <v>0</v>
      </c>
      <c r="BB143" s="286">
        <f t="shared" si="153"/>
        <v>-1379.9881867104555</v>
      </c>
      <c r="BC143" s="286">
        <f t="shared" si="153"/>
        <v>0</v>
      </c>
      <c r="BD143" s="286">
        <f t="shared" si="153"/>
        <v>0</v>
      </c>
      <c r="BE143" s="292"/>
      <c r="BF143" s="292"/>
      <c r="BG143" s="286">
        <f t="shared" si="154"/>
        <v>0</v>
      </c>
      <c r="BH143" s="286">
        <f t="shared" si="154"/>
        <v>0</v>
      </c>
      <c r="BI143" s="286">
        <f t="shared" si="155"/>
        <v>0</v>
      </c>
      <c r="BJ143" s="286">
        <f t="shared" si="155"/>
        <v>0</v>
      </c>
      <c r="BK143" s="286">
        <v>0</v>
      </c>
      <c r="BL143" s="292"/>
      <c r="BM143" s="292"/>
    </row>
    <row r="144" spans="1:65" s="293" customFormat="1" ht="12.75" customHeight="1">
      <c r="A144" s="88" t="s">
        <v>994</v>
      </c>
      <c r="B144" s="86"/>
      <c r="C144" s="86"/>
      <c r="D144" s="86"/>
      <c r="E144" s="86"/>
      <c r="F144" s="86"/>
      <c r="G144" s="87"/>
      <c r="H144" s="86"/>
      <c r="I144" s="86"/>
      <c r="J144" s="86"/>
      <c r="K144" s="86"/>
      <c r="L144" s="86"/>
      <c r="M144" s="87"/>
      <c r="N144" s="86"/>
      <c r="O144" s="86"/>
      <c r="P144" s="86"/>
      <c r="Q144" s="86"/>
      <c r="R144" s="86"/>
      <c r="S144" s="87"/>
      <c r="T144" s="86"/>
      <c r="U144" s="86"/>
      <c r="V144" s="86"/>
      <c r="W144" s="86"/>
      <c r="X144" s="86"/>
      <c r="Y144" s="87"/>
      <c r="Z144" s="86"/>
      <c r="AA144" s="86"/>
      <c r="AB144" s="86"/>
      <c r="AC144" s="86"/>
      <c r="AD144" s="86"/>
      <c r="AE144" s="87"/>
      <c r="AF144" s="86"/>
      <c r="AG144" s="86"/>
      <c r="AH144" s="207"/>
      <c r="AI144" s="286">
        <f t="shared" si="150"/>
        <v>0</v>
      </c>
      <c r="AJ144" s="292"/>
      <c r="AK144" s="292"/>
      <c r="AL144" s="286">
        <f t="shared" si="151"/>
        <v>0</v>
      </c>
      <c r="AM144" s="286">
        <f t="shared" si="151"/>
        <v>0</v>
      </c>
      <c r="AN144" s="286">
        <f t="shared" si="151"/>
        <v>0</v>
      </c>
      <c r="AO144" s="286">
        <f t="shared" si="151"/>
        <v>0</v>
      </c>
      <c r="AP144" s="286">
        <f t="shared" si="151"/>
        <v>0</v>
      </c>
      <c r="AQ144" s="292"/>
      <c r="AR144" s="292"/>
      <c r="AS144" s="286">
        <f t="shared" si="152"/>
        <v>0</v>
      </c>
      <c r="AT144" s="286">
        <f t="shared" si="152"/>
        <v>0</v>
      </c>
      <c r="AU144" s="286">
        <f t="shared" si="152"/>
        <v>0</v>
      </c>
      <c r="AV144" s="286">
        <f t="shared" si="152"/>
        <v>0</v>
      </c>
      <c r="AW144" s="286">
        <f t="shared" si="152"/>
        <v>0</v>
      </c>
      <c r="AX144" s="292"/>
      <c r="AY144" s="292"/>
      <c r="AZ144" s="286">
        <f t="shared" si="153"/>
        <v>0</v>
      </c>
      <c r="BA144" s="286">
        <f t="shared" si="153"/>
        <v>0</v>
      </c>
      <c r="BB144" s="286">
        <f t="shared" si="153"/>
        <v>0</v>
      </c>
      <c r="BC144" s="286">
        <f t="shared" si="153"/>
        <v>0</v>
      </c>
      <c r="BD144" s="286">
        <f t="shared" si="153"/>
        <v>-1422.0234880887087</v>
      </c>
      <c r="BE144" s="292"/>
      <c r="BF144" s="292"/>
      <c r="BG144" s="286">
        <f t="shared" si="154"/>
        <v>0</v>
      </c>
      <c r="BH144" s="286">
        <f t="shared" si="154"/>
        <v>0</v>
      </c>
      <c r="BI144" s="286">
        <f t="shared" si="155"/>
        <v>0</v>
      </c>
      <c r="BJ144" s="286">
        <f t="shared" si="155"/>
        <v>0</v>
      </c>
      <c r="BK144" s="286">
        <v>0</v>
      </c>
      <c r="BL144" s="292"/>
      <c r="BM144" s="292"/>
    </row>
    <row r="145" spans="1:66" s="293" customFormat="1" ht="12.75" customHeight="1">
      <c r="A145" s="88" t="s">
        <v>973</v>
      </c>
      <c r="B145" s="86"/>
      <c r="C145" s="86"/>
      <c r="D145" s="86"/>
      <c r="E145" s="86"/>
      <c r="F145" s="86"/>
      <c r="G145" s="87"/>
      <c r="H145" s="86"/>
      <c r="I145" s="86"/>
      <c r="J145" s="86"/>
      <c r="K145" s="86"/>
      <c r="L145" s="86"/>
      <c r="M145" s="87"/>
      <c r="N145" s="86"/>
      <c r="O145" s="86"/>
      <c r="P145" s="86"/>
      <c r="Q145" s="86"/>
      <c r="R145" s="86"/>
      <c r="S145" s="87"/>
      <c r="T145" s="86"/>
      <c r="U145" s="86"/>
      <c r="V145" s="86"/>
      <c r="W145" s="86"/>
      <c r="X145" s="86"/>
      <c r="Y145" s="87"/>
      <c r="Z145" s="86"/>
      <c r="AA145" s="86"/>
      <c r="AB145" s="86"/>
      <c r="AC145" s="86"/>
      <c r="AD145" s="86"/>
      <c r="AE145" s="87"/>
      <c r="AF145" s="86"/>
      <c r="AG145" s="86"/>
      <c r="AH145" s="207"/>
      <c r="AI145" s="286">
        <f t="shared" si="150"/>
        <v>0</v>
      </c>
      <c r="AJ145" s="292"/>
      <c r="AK145" s="292"/>
      <c r="AL145" s="286">
        <f t="shared" si="151"/>
        <v>0</v>
      </c>
      <c r="AM145" s="286">
        <f t="shared" si="151"/>
        <v>0</v>
      </c>
      <c r="AN145" s="286">
        <f t="shared" si="151"/>
        <v>0</v>
      </c>
      <c r="AO145" s="286">
        <f t="shared" si="151"/>
        <v>0</v>
      </c>
      <c r="AP145" s="286">
        <f t="shared" si="151"/>
        <v>0</v>
      </c>
      <c r="AQ145" s="292"/>
      <c r="AR145" s="292"/>
      <c r="AS145" s="286">
        <f t="shared" si="152"/>
        <v>0</v>
      </c>
      <c r="AT145" s="286">
        <f t="shared" si="152"/>
        <v>0</v>
      </c>
      <c r="AU145" s="286">
        <f t="shared" si="152"/>
        <v>0</v>
      </c>
      <c r="AV145" s="286">
        <f t="shared" si="152"/>
        <v>0</v>
      </c>
      <c r="AW145" s="286">
        <f t="shared" si="152"/>
        <v>0</v>
      </c>
      <c r="AX145" s="292"/>
      <c r="AY145" s="292"/>
      <c r="AZ145" s="286">
        <f t="shared" si="153"/>
        <v>0</v>
      </c>
      <c r="BA145" s="286">
        <f t="shared" si="153"/>
        <v>0</v>
      </c>
      <c r="BB145" s="286">
        <f t="shared" si="153"/>
        <v>0</v>
      </c>
      <c r="BC145" s="286">
        <f t="shared" si="153"/>
        <v>0</v>
      </c>
      <c r="BD145" s="286">
        <f t="shared" si="153"/>
        <v>0</v>
      </c>
      <c r="BE145" s="292"/>
      <c r="BF145" s="292"/>
      <c r="BG145" s="286">
        <f t="shared" si="154"/>
        <v>0</v>
      </c>
      <c r="BH145" s="286">
        <f t="shared" si="154"/>
        <v>0</v>
      </c>
      <c r="BI145" s="286">
        <f t="shared" si="155"/>
        <v>-3075.7537593843736</v>
      </c>
      <c r="BJ145" s="286">
        <f t="shared" si="155"/>
        <v>0</v>
      </c>
      <c r="BK145" s="286">
        <v>0</v>
      </c>
      <c r="BL145" s="292"/>
      <c r="BM145" s="292"/>
    </row>
    <row r="146" spans="1:66" s="293" customFormat="1" ht="12.75" customHeight="1">
      <c r="A146" s="88" t="s">
        <v>1023</v>
      </c>
      <c r="B146" s="86"/>
      <c r="C146" s="86"/>
      <c r="D146" s="86"/>
      <c r="E146" s="86"/>
      <c r="F146" s="86"/>
      <c r="G146" s="87"/>
      <c r="H146" s="86"/>
      <c r="I146" s="86"/>
      <c r="J146" s="86"/>
      <c r="K146" s="86"/>
      <c r="L146" s="86"/>
      <c r="M146" s="87"/>
      <c r="N146" s="86"/>
      <c r="O146" s="86"/>
      <c r="P146" s="86"/>
      <c r="Q146" s="86"/>
      <c r="R146" s="86"/>
      <c r="S146" s="87"/>
      <c r="T146" s="86"/>
      <c r="U146" s="86"/>
      <c r="V146" s="86"/>
      <c r="W146" s="86"/>
      <c r="X146" s="86"/>
      <c r="Y146" s="87"/>
      <c r="Z146" s="86"/>
      <c r="AA146" s="86"/>
      <c r="AB146" s="86"/>
      <c r="AC146" s="86"/>
      <c r="AD146" s="86"/>
      <c r="AE146" s="87"/>
      <c r="AF146" s="86"/>
      <c r="AG146" s="86"/>
      <c r="AH146" s="207"/>
      <c r="AI146" s="286">
        <f t="shared" si="150"/>
        <v>0</v>
      </c>
      <c r="AJ146" s="292"/>
      <c r="AK146" s="292"/>
      <c r="AL146" s="286">
        <f t="shared" si="151"/>
        <v>-27.968854185335239</v>
      </c>
      <c r="AM146" s="286">
        <f t="shared" si="151"/>
        <v>0</v>
      </c>
      <c r="AN146" s="286">
        <f t="shared" si="151"/>
        <v>0</v>
      </c>
      <c r="AO146" s="286">
        <f t="shared" si="151"/>
        <v>0</v>
      </c>
      <c r="AP146" s="286">
        <f t="shared" si="151"/>
        <v>0</v>
      </c>
      <c r="AQ146" s="292"/>
      <c r="AR146" s="292"/>
      <c r="AS146" s="286">
        <f t="shared" si="152"/>
        <v>0</v>
      </c>
      <c r="AT146" s="286">
        <f t="shared" si="152"/>
        <v>0</v>
      </c>
      <c r="AU146" s="286">
        <f t="shared" si="152"/>
        <v>0</v>
      </c>
      <c r="AV146" s="286">
        <f t="shared" si="152"/>
        <v>0</v>
      </c>
      <c r="AW146" s="286">
        <f t="shared" si="152"/>
        <v>0</v>
      </c>
      <c r="AX146" s="292"/>
      <c r="AY146" s="292"/>
      <c r="AZ146" s="286">
        <f t="shared" si="153"/>
        <v>0</v>
      </c>
      <c r="BA146" s="286">
        <f t="shared" si="153"/>
        <v>0</v>
      </c>
      <c r="BB146" s="286">
        <f t="shared" si="153"/>
        <v>0</v>
      </c>
      <c r="BC146" s="286">
        <f t="shared" si="153"/>
        <v>0</v>
      </c>
      <c r="BD146" s="286">
        <f t="shared" si="153"/>
        <v>0</v>
      </c>
      <c r="BE146" s="292"/>
      <c r="BF146" s="292"/>
      <c r="BG146" s="286">
        <f t="shared" si="154"/>
        <v>0</v>
      </c>
      <c r="BH146" s="286">
        <f t="shared" si="154"/>
        <v>0</v>
      </c>
      <c r="BI146" s="286">
        <f t="shared" si="155"/>
        <v>0</v>
      </c>
      <c r="BJ146" s="286">
        <f t="shared" si="155"/>
        <v>0</v>
      </c>
      <c r="BK146" s="286">
        <v>0</v>
      </c>
      <c r="BL146" s="292"/>
      <c r="BM146" s="292"/>
    </row>
    <row r="147" spans="1:66" s="293" customFormat="1" ht="12.75" customHeight="1">
      <c r="A147" s="88" t="s">
        <v>1024</v>
      </c>
      <c r="B147" s="86"/>
      <c r="C147" s="86"/>
      <c r="D147" s="86"/>
      <c r="E147" s="86"/>
      <c r="F147" s="86"/>
      <c r="G147" s="87"/>
      <c r="H147" s="86"/>
      <c r="I147" s="86"/>
      <c r="J147" s="86"/>
      <c r="K147" s="86"/>
      <c r="L147" s="86"/>
      <c r="M147" s="87"/>
      <c r="N147" s="86"/>
      <c r="O147" s="86"/>
      <c r="P147" s="86"/>
      <c r="Q147" s="86"/>
      <c r="R147" s="86"/>
      <c r="S147" s="87"/>
      <c r="T147" s="86"/>
      <c r="U147" s="86"/>
      <c r="V147" s="86"/>
      <c r="W147" s="86"/>
      <c r="X147" s="86"/>
      <c r="Y147" s="87"/>
      <c r="Z147" s="86"/>
      <c r="AA147" s="86"/>
      <c r="AB147" s="86"/>
      <c r="AC147" s="86"/>
      <c r="AD147" s="86"/>
      <c r="AE147" s="87"/>
      <c r="AF147" s="86"/>
      <c r="AG147" s="86"/>
      <c r="AH147" s="207"/>
      <c r="AI147" s="286">
        <f t="shared" si="150"/>
        <v>0</v>
      </c>
      <c r="AJ147" s="292"/>
      <c r="AK147" s="292"/>
      <c r="AL147" s="286">
        <f t="shared" si="151"/>
        <v>-184.08386249915475</v>
      </c>
      <c r="AM147" s="286">
        <f t="shared" si="151"/>
        <v>0</v>
      </c>
      <c r="AN147" s="286">
        <f t="shared" si="151"/>
        <v>-168.14120551301244</v>
      </c>
      <c r="AO147" s="286">
        <f t="shared" si="151"/>
        <v>0</v>
      </c>
      <c r="AP147" s="286">
        <f t="shared" si="151"/>
        <v>0</v>
      </c>
      <c r="AQ147" s="292"/>
      <c r="AR147" s="292"/>
      <c r="AS147" s="286">
        <f t="shared" si="152"/>
        <v>-825.32725876814015</v>
      </c>
      <c r="AT147" s="286">
        <f t="shared" si="152"/>
        <v>0</v>
      </c>
      <c r="AU147" s="286">
        <f t="shared" si="152"/>
        <v>0</v>
      </c>
      <c r="AV147" s="286">
        <f t="shared" si="152"/>
        <v>0</v>
      </c>
      <c r="AW147" s="286">
        <f t="shared" si="152"/>
        <v>0</v>
      </c>
      <c r="AX147" s="292"/>
      <c r="AY147" s="292"/>
      <c r="AZ147" s="286">
        <f t="shared" si="153"/>
        <v>0</v>
      </c>
      <c r="BA147" s="286">
        <f t="shared" si="153"/>
        <v>0</v>
      </c>
      <c r="BB147" s="286">
        <f t="shared" si="153"/>
        <v>0</v>
      </c>
      <c r="BC147" s="286">
        <f t="shared" si="153"/>
        <v>0</v>
      </c>
      <c r="BD147" s="286">
        <f t="shared" si="153"/>
        <v>0</v>
      </c>
      <c r="BE147" s="292"/>
      <c r="BF147" s="292"/>
      <c r="BG147" s="286">
        <f t="shared" si="154"/>
        <v>0</v>
      </c>
      <c r="BH147" s="286">
        <f t="shared" si="154"/>
        <v>-205.05025062562487</v>
      </c>
      <c r="BI147" s="286">
        <f t="shared" si="155"/>
        <v>0</v>
      </c>
      <c r="BJ147" s="286">
        <f t="shared" si="155"/>
        <v>0</v>
      </c>
      <c r="BK147" s="286">
        <v>0</v>
      </c>
      <c r="BL147" s="292"/>
      <c r="BM147" s="292"/>
    </row>
    <row r="148" spans="1:66" s="293" customFormat="1" ht="12.75" customHeight="1">
      <c r="A148" s="88" t="s">
        <v>988</v>
      </c>
      <c r="B148" s="86"/>
      <c r="C148" s="86"/>
      <c r="D148" s="86"/>
      <c r="E148" s="86"/>
      <c r="F148" s="86"/>
      <c r="G148" s="87"/>
      <c r="H148" s="86"/>
      <c r="I148" s="86"/>
      <c r="J148" s="86"/>
      <c r="K148" s="86"/>
      <c r="L148" s="86"/>
      <c r="M148" s="87"/>
      <c r="N148" s="86"/>
      <c r="O148" s="86"/>
      <c r="P148" s="86"/>
      <c r="Q148" s="86"/>
      <c r="R148" s="86"/>
      <c r="S148" s="87"/>
      <c r="T148" s="86"/>
      <c r="U148" s="86"/>
      <c r="V148" s="86"/>
      <c r="W148" s="86"/>
      <c r="X148" s="86"/>
      <c r="Y148" s="87"/>
      <c r="Z148" s="86"/>
      <c r="AA148" s="86"/>
      <c r="AB148" s="86"/>
      <c r="AC148" s="86"/>
      <c r="AD148" s="86"/>
      <c r="AE148" s="87"/>
      <c r="AF148" s="86"/>
      <c r="AG148" s="86"/>
      <c r="AH148" s="207"/>
      <c r="AI148" s="286">
        <f t="shared" ref="AI148:AI153" si="156">AK123*1.005</f>
        <v>0</v>
      </c>
      <c r="AJ148" s="292"/>
      <c r="AK148" s="292"/>
      <c r="AL148" s="286">
        <f t="shared" ref="AL148:AL153" si="157">AN123*1.005</f>
        <v>-615.15075187687466</v>
      </c>
      <c r="AM148" s="286">
        <f t="shared" ref="AM148:AP153" si="158">AO123*1.005</f>
        <v>0</v>
      </c>
      <c r="AN148" s="286">
        <f t="shared" si="158"/>
        <v>0</v>
      </c>
      <c r="AO148" s="286">
        <f t="shared" si="158"/>
        <v>0</v>
      </c>
      <c r="AP148" s="286">
        <f t="shared" si="158"/>
        <v>0</v>
      </c>
      <c r="AQ148" s="292"/>
      <c r="AR148" s="292"/>
      <c r="AS148" s="286">
        <f t="shared" ref="AS148:AS153" si="159">AU123*1.005</f>
        <v>0</v>
      </c>
      <c r="AT148" s="286">
        <f t="shared" ref="AT148:AW153" si="160">AV123*1.005</f>
        <v>-75.960865344262743</v>
      </c>
      <c r="AU148" s="286">
        <f t="shared" si="160"/>
        <v>0</v>
      </c>
      <c r="AV148" s="286">
        <f t="shared" si="160"/>
        <v>0</v>
      </c>
      <c r="AW148" s="286">
        <f t="shared" si="160"/>
        <v>0</v>
      </c>
      <c r="AX148" s="292"/>
      <c r="AY148" s="292"/>
      <c r="AZ148" s="286">
        <f t="shared" ref="AZ148:AZ153" si="161">BB123*1.005</f>
        <v>0</v>
      </c>
      <c r="BA148" s="286">
        <f t="shared" ref="BA148:BD153" si="162">BC123*1.005</f>
        <v>0</v>
      </c>
      <c r="BB148" s="286">
        <f t="shared" si="162"/>
        <v>0</v>
      </c>
      <c r="BC148" s="286">
        <f t="shared" si="162"/>
        <v>0</v>
      </c>
      <c r="BD148" s="286">
        <f t="shared" si="162"/>
        <v>0</v>
      </c>
      <c r="BE148" s="292"/>
      <c r="BF148" s="292"/>
      <c r="BG148" s="286">
        <f t="shared" ref="BG148:BH153" si="163">BI123*1.005</f>
        <v>0</v>
      </c>
      <c r="BH148" s="286">
        <f t="shared" si="163"/>
        <v>0</v>
      </c>
      <c r="BI148" s="286">
        <f t="shared" ref="BI148:BJ153" si="164">AI123*1.005</f>
        <v>0</v>
      </c>
      <c r="BJ148" s="286">
        <f t="shared" si="164"/>
        <v>0</v>
      </c>
      <c r="BK148" s="286">
        <v>0</v>
      </c>
      <c r="BL148" s="292"/>
      <c r="BM148" s="292"/>
    </row>
    <row r="149" spans="1:66" s="293" customFormat="1" ht="12.75" customHeight="1">
      <c r="A149" s="88" t="s">
        <v>271</v>
      </c>
      <c r="B149" s="86"/>
      <c r="C149" s="86"/>
      <c r="D149" s="86"/>
      <c r="E149" s="86"/>
      <c r="F149" s="86"/>
      <c r="G149" s="87"/>
      <c r="H149" s="86"/>
      <c r="I149" s="86"/>
      <c r="J149" s="86"/>
      <c r="K149" s="86"/>
      <c r="L149" s="86"/>
      <c r="M149" s="87"/>
      <c r="N149" s="86"/>
      <c r="O149" s="86"/>
      <c r="P149" s="86"/>
      <c r="Q149" s="86"/>
      <c r="R149" s="86"/>
      <c r="S149" s="87"/>
      <c r="T149" s="86"/>
      <c r="U149" s="86"/>
      <c r="V149" s="86"/>
      <c r="W149" s="86"/>
      <c r="X149" s="86"/>
      <c r="Y149" s="87"/>
      <c r="Z149" s="86"/>
      <c r="AA149" s="86"/>
      <c r="AB149" s="86"/>
      <c r="AC149" s="86"/>
      <c r="AD149" s="86"/>
      <c r="AE149" s="87"/>
      <c r="AF149" s="86"/>
      <c r="AG149" s="86"/>
      <c r="AH149" s="207"/>
      <c r="AI149" s="286">
        <f t="shared" si="156"/>
        <v>0</v>
      </c>
      <c r="AJ149" s="292"/>
      <c r="AK149" s="292"/>
      <c r="AL149" s="286">
        <f t="shared" si="157"/>
        <v>0</v>
      </c>
      <c r="AM149" s="286">
        <f t="shared" si="158"/>
        <v>0</v>
      </c>
      <c r="AN149" s="286">
        <f t="shared" si="158"/>
        <v>0</v>
      </c>
      <c r="AO149" s="286">
        <f t="shared" si="158"/>
        <v>0</v>
      </c>
      <c r="AP149" s="286">
        <f t="shared" si="158"/>
        <v>0</v>
      </c>
      <c r="AQ149" s="292"/>
      <c r="AR149" s="292"/>
      <c r="AS149" s="286">
        <f t="shared" si="159"/>
        <v>0</v>
      </c>
      <c r="AT149" s="286">
        <f t="shared" si="160"/>
        <v>0</v>
      </c>
      <c r="AU149" s="286">
        <f t="shared" si="160"/>
        <v>0</v>
      </c>
      <c r="AV149" s="286">
        <f t="shared" si="160"/>
        <v>0</v>
      </c>
      <c r="AW149" s="286">
        <f t="shared" si="160"/>
        <v>0</v>
      </c>
      <c r="AX149" s="292"/>
      <c r="AY149" s="292"/>
      <c r="AZ149" s="286">
        <f t="shared" si="161"/>
        <v>-2563.1281328203108</v>
      </c>
      <c r="BA149" s="286">
        <f t="shared" si="162"/>
        <v>0</v>
      </c>
      <c r="BB149" s="286">
        <f t="shared" si="162"/>
        <v>0</v>
      </c>
      <c r="BC149" s="286">
        <f t="shared" si="162"/>
        <v>-3186.4911472347421</v>
      </c>
      <c r="BD149" s="286">
        <f t="shared" si="162"/>
        <v>0</v>
      </c>
      <c r="BE149" s="292"/>
      <c r="BF149" s="292"/>
      <c r="BG149" s="286">
        <f t="shared" si="163"/>
        <v>0</v>
      </c>
      <c r="BH149" s="286">
        <f t="shared" si="163"/>
        <v>0</v>
      </c>
      <c r="BI149" s="286">
        <f t="shared" si="164"/>
        <v>0</v>
      </c>
      <c r="BJ149" s="286">
        <f t="shared" si="164"/>
        <v>0</v>
      </c>
      <c r="BK149" s="286">
        <v>0</v>
      </c>
      <c r="BL149" s="292"/>
      <c r="BM149" s="292"/>
    </row>
    <row r="150" spans="1:66" s="293" customFormat="1" ht="12.75" customHeight="1">
      <c r="A150" s="88" t="s">
        <v>1025</v>
      </c>
      <c r="B150" s="88"/>
      <c r="C150" s="88"/>
      <c r="D150" s="88"/>
      <c r="E150" s="88"/>
      <c r="F150" s="88"/>
      <c r="G150" s="89"/>
      <c r="H150" s="88"/>
      <c r="I150" s="88"/>
      <c r="J150" s="88"/>
      <c r="K150" s="88"/>
      <c r="L150" s="350"/>
      <c r="M150" s="89"/>
      <c r="N150" s="88"/>
      <c r="O150" s="88"/>
      <c r="P150" s="88"/>
      <c r="Q150" s="88"/>
      <c r="R150" s="88"/>
      <c r="S150" s="89"/>
      <c r="T150" s="88"/>
      <c r="U150" s="88"/>
      <c r="V150" s="88"/>
      <c r="W150" s="88"/>
      <c r="X150" s="88"/>
      <c r="Y150" s="89"/>
      <c r="Z150" s="88"/>
      <c r="AA150" s="88"/>
      <c r="AB150" s="88"/>
      <c r="AC150" s="88"/>
      <c r="AD150" s="88"/>
      <c r="AE150" s="89"/>
      <c r="AF150" s="88"/>
      <c r="AG150" s="88"/>
      <c r="AH150" s="207"/>
      <c r="AI150" s="286">
        <f t="shared" si="156"/>
        <v>1456.3694050685006</v>
      </c>
      <c r="AJ150" s="292"/>
      <c r="AK150" s="292"/>
      <c r="AL150" s="286">
        <f t="shared" si="157"/>
        <v>4920.3242989373075</v>
      </c>
      <c r="AM150" s="286">
        <f t="shared" si="158"/>
        <v>504.91573714053879</v>
      </c>
      <c r="AN150" s="286">
        <f t="shared" si="158"/>
        <v>1545.1254060518027</v>
      </c>
      <c r="AO150" s="286">
        <f t="shared" si="158"/>
        <v>2790.8876987027238</v>
      </c>
      <c r="AP150" s="286">
        <f t="shared" si="158"/>
        <v>1594.2759511267645</v>
      </c>
      <c r="AQ150" s="292"/>
      <c r="AR150" s="292"/>
      <c r="AS150" s="286">
        <f t="shared" si="159"/>
        <v>4866.0064875465787</v>
      </c>
      <c r="AT150" s="286">
        <f t="shared" si="160"/>
        <v>366.76313078152401</v>
      </c>
      <c r="AU150" s="286">
        <f t="shared" si="160"/>
        <v>1657.8517813332398</v>
      </c>
      <c r="AV150" s="286">
        <f t="shared" si="160"/>
        <v>0</v>
      </c>
      <c r="AW150" s="286">
        <f t="shared" si="160"/>
        <v>0</v>
      </c>
      <c r="AX150" s="292"/>
      <c r="AY150" s="292"/>
      <c r="AZ150" s="286">
        <f t="shared" si="161"/>
        <v>5286.9131370058012</v>
      </c>
      <c r="BA150" s="286">
        <f t="shared" si="162"/>
        <v>0</v>
      </c>
      <c r="BB150" s="286">
        <f t="shared" si="162"/>
        <v>1754.4201968653779</v>
      </c>
      <c r="BC150" s="286">
        <f t="shared" si="162"/>
        <v>898.22262286554974</v>
      </c>
      <c r="BD150" s="286">
        <f t="shared" si="162"/>
        <v>1284.8756279577594</v>
      </c>
      <c r="BE150" s="292"/>
      <c r="BF150" s="292"/>
      <c r="BG150" s="286">
        <f t="shared" si="163"/>
        <v>1561.3141233386957</v>
      </c>
      <c r="BH150" s="286">
        <f t="shared" si="163"/>
        <v>1659.2461230374943</v>
      </c>
      <c r="BI150" s="286">
        <f t="shared" si="164"/>
        <v>242.15409347633172</v>
      </c>
      <c r="BJ150" s="286">
        <f t="shared" si="164"/>
        <v>2483.7531808031317</v>
      </c>
      <c r="BK150" s="286">
        <v>0</v>
      </c>
      <c r="BL150" s="292"/>
      <c r="BM150" s="292"/>
    </row>
    <row r="151" spans="1:66" s="293" customFormat="1" ht="12.75" customHeight="1">
      <c r="A151" s="88" t="s">
        <v>977</v>
      </c>
      <c r="B151" s="88"/>
      <c r="C151" s="88"/>
      <c r="D151" s="88"/>
      <c r="E151" s="88"/>
      <c r="F151" s="88"/>
      <c r="G151" s="89"/>
      <c r="H151" s="88"/>
      <c r="I151" s="88"/>
      <c r="J151" s="88"/>
      <c r="K151" s="88"/>
      <c r="L151" s="351"/>
      <c r="M151" s="89"/>
      <c r="N151" s="88"/>
      <c r="O151" s="88"/>
      <c r="P151" s="88"/>
      <c r="Q151" s="88"/>
      <c r="R151" s="88"/>
      <c r="S151" s="89"/>
      <c r="T151" s="88"/>
      <c r="U151" s="88"/>
      <c r="V151" s="88"/>
      <c r="W151" s="88"/>
      <c r="X151" s="88"/>
      <c r="Y151" s="89"/>
      <c r="Z151" s="88"/>
      <c r="AA151" s="88"/>
      <c r="AB151" s="88"/>
      <c r="AC151" s="88"/>
      <c r="AD151" s="88"/>
      <c r="AE151" s="89"/>
      <c r="AF151" s="88"/>
      <c r="AG151" s="88"/>
      <c r="AH151" s="207"/>
      <c r="AI151" s="286">
        <f t="shared" si="156"/>
        <v>0</v>
      </c>
      <c r="AJ151" s="292"/>
      <c r="AK151" s="292"/>
      <c r="AL151" s="286">
        <f t="shared" si="157"/>
        <v>0</v>
      </c>
      <c r="AM151" s="286">
        <f t="shared" si="158"/>
        <v>-2191.98717918793</v>
      </c>
      <c r="AN151" s="286">
        <f t="shared" si="158"/>
        <v>0</v>
      </c>
      <c r="AO151" s="286">
        <f t="shared" si="158"/>
        <v>0</v>
      </c>
      <c r="AP151" s="286">
        <f t="shared" si="158"/>
        <v>0</v>
      </c>
      <c r="AQ151" s="292"/>
      <c r="AR151" s="292"/>
      <c r="AS151" s="286">
        <f t="shared" si="159"/>
        <v>0</v>
      </c>
      <c r="AT151" s="286">
        <f t="shared" si="160"/>
        <v>0</v>
      </c>
      <c r="AU151" s="286">
        <f t="shared" si="160"/>
        <v>0</v>
      </c>
      <c r="AV151" s="286">
        <f t="shared" si="160"/>
        <v>0</v>
      </c>
      <c r="AW151" s="286">
        <f t="shared" si="160"/>
        <v>0</v>
      </c>
      <c r="AX151" s="292"/>
      <c r="AY151" s="292"/>
      <c r="AZ151" s="286">
        <f t="shared" si="161"/>
        <v>0</v>
      </c>
      <c r="BA151" s="286">
        <f t="shared" si="162"/>
        <v>0</v>
      </c>
      <c r="BB151" s="286">
        <f t="shared" si="162"/>
        <v>0</v>
      </c>
      <c r="BC151" s="286">
        <f t="shared" si="162"/>
        <v>0</v>
      </c>
      <c r="BD151" s="286">
        <f t="shared" si="162"/>
        <v>0</v>
      </c>
      <c r="BE151" s="292"/>
      <c r="BF151" s="292"/>
      <c r="BG151" s="286">
        <f t="shared" si="163"/>
        <v>0</v>
      </c>
      <c r="BH151" s="286">
        <f t="shared" si="163"/>
        <v>0</v>
      </c>
      <c r="BI151" s="286">
        <f t="shared" si="164"/>
        <v>0</v>
      </c>
      <c r="BJ151" s="286">
        <f t="shared" si="164"/>
        <v>0</v>
      </c>
      <c r="BK151" s="286">
        <v>0</v>
      </c>
      <c r="BL151" s="292"/>
      <c r="BM151" s="292"/>
    </row>
    <row r="152" spans="1:66" s="293" customFormat="1" ht="12.75" customHeight="1">
      <c r="A152" s="88" t="s">
        <v>1026</v>
      </c>
      <c r="B152" s="88"/>
      <c r="C152" s="88"/>
      <c r="D152" s="88"/>
      <c r="E152" s="88"/>
      <c r="F152" s="88"/>
      <c r="G152" s="89"/>
      <c r="H152" s="88"/>
      <c r="I152" s="88"/>
      <c r="J152" s="88"/>
      <c r="K152" s="88"/>
      <c r="L152" s="351"/>
      <c r="M152" s="89"/>
      <c r="N152" s="88"/>
      <c r="O152" s="88"/>
      <c r="P152" s="88"/>
      <c r="Q152" s="88"/>
      <c r="R152" s="88"/>
      <c r="S152" s="89"/>
      <c r="T152" s="88"/>
      <c r="U152" s="88"/>
      <c r="V152" s="88"/>
      <c r="W152" s="88"/>
      <c r="X152" s="88"/>
      <c r="Y152" s="89"/>
      <c r="Z152" s="88"/>
      <c r="AA152" s="88"/>
      <c r="AB152" s="88"/>
      <c r="AC152" s="88"/>
      <c r="AD152" s="88"/>
      <c r="AE152" s="89"/>
      <c r="AF152" s="88"/>
      <c r="AG152" s="88"/>
      <c r="AH152" s="207"/>
      <c r="AI152" s="286">
        <f t="shared" si="156"/>
        <v>0</v>
      </c>
      <c r="AJ152" s="292"/>
      <c r="AK152" s="292"/>
      <c r="AL152" s="286">
        <f t="shared" si="157"/>
        <v>0</v>
      </c>
      <c r="AM152" s="286">
        <f t="shared" si="158"/>
        <v>0</v>
      </c>
      <c r="AN152" s="286">
        <f t="shared" si="158"/>
        <v>0</v>
      </c>
      <c r="AO152" s="286">
        <f t="shared" si="158"/>
        <v>0</v>
      </c>
      <c r="AP152" s="286">
        <f t="shared" si="158"/>
        <v>0</v>
      </c>
      <c r="AQ152" s="292"/>
      <c r="AR152" s="292"/>
      <c r="AS152" s="286">
        <f t="shared" si="159"/>
        <v>-76.893843984609333</v>
      </c>
      <c r="AT152" s="286">
        <f t="shared" si="160"/>
        <v>0</v>
      </c>
      <c r="AU152" s="286">
        <f t="shared" si="160"/>
        <v>0</v>
      </c>
      <c r="AV152" s="286">
        <f t="shared" si="160"/>
        <v>0</v>
      </c>
      <c r="AW152" s="286">
        <f t="shared" si="160"/>
        <v>0</v>
      </c>
      <c r="AX152" s="292"/>
      <c r="AY152" s="292"/>
      <c r="AZ152" s="286">
        <f t="shared" si="161"/>
        <v>-70.957639228997493</v>
      </c>
      <c r="BA152" s="286">
        <f t="shared" si="162"/>
        <v>0</v>
      </c>
      <c r="BB152" s="286">
        <f t="shared" si="162"/>
        <v>0</v>
      </c>
      <c r="BC152" s="286">
        <f t="shared" si="162"/>
        <v>0</v>
      </c>
      <c r="BD152" s="286">
        <f t="shared" si="162"/>
        <v>0</v>
      </c>
      <c r="BE152" s="292"/>
      <c r="BF152" s="292"/>
      <c r="BG152" s="286">
        <f t="shared" si="163"/>
        <v>-50.80119959249857</v>
      </c>
      <c r="BH152" s="286">
        <f t="shared" si="163"/>
        <v>0</v>
      </c>
      <c r="BI152" s="286">
        <f t="shared" si="164"/>
        <v>0</v>
      </c>
      <c r="BJ152" s="286">
        <f t="shared" si="164"/>
        <v>0</v>
      </c>
      <c r="BK152" s="286">
        <v>0</v>
      </c>
      <c r="BL152" s="292"/>
      <c r="BM152" s="292"/>
    </row>
    <row r="153" spans="1:66" s="293" customFormat="1" ht="12.75" customHeight="1">
      <c r="A153" s="88" t="s">
        <v>1027</v>
      </c>
      <c r="B153" s="88"/>
      <c r="C153" s="88"/>
      <c r="D153" s="88"/>
      <c r="E153" s="88"/>
      <c r="F153" s="88"/>
      <c r="G153" s="89"/>
      <c r="H153" s="88"/>
      <c r="I153" s="88"/>
      <c r="J153" s="88"/>
      <c r="K153" s="88"/>
      <c r="L153" s="351"/>
      <c r="M153" s="89"/>
      <c r="N153" s="88"/>
      <c r="O153" s="88"/>
      <c r="P153" s="88"/>
      <c r="Q153" s="88"/>
      <c r="R153" s="88"/>
      <c r="S153" s="89"/>
      <c r="T153" s="88"/>
      <c r="U153" s="88"/>
      <c r="V153" s="88"/>
      <c r="W153" s="88"/>
      <c r="X153" s="88"/>
      <c r="Y153" s="89"/>
      <c r="Z153" s="88"/>
      <c r="AA153" s="88"/>
      <c r="AB153" s="88"/>
      <c r="AC153" s="88"/>
      <c r="AD153" s="88"/>
      <c r="AE153" s="89"/>
      <c r="AF153" s="88"/>
      <c r="AG153" s="88"/>
      <c r="AH153" s="207"/>
      <c r="AI153" s="286">
        <f t="shared" si="156"/>
        <v>0</v>
      </c>
      <c r="AJ153" s="292"/>
      <c r="AK153" s="292"/>
      <c r="AL153" s="286">
        <f t="shared" si="157"/>
        <v>0</v>
      </c>
      <c r="AM153" s="286">
        <f t="shared" si="158"/>
        <v>0</v>
      </c>
      <c r="AN153" s="286">
        <f t="shared" si="158"/>
        <v>0</v>
      </c>
      <c r="AO153" s="286">
        <f t="shared" si="158"/>
        <v>0</v>
      </c>
      <c r="AP153" s="286">
        <f t="shared" si="158"/>
        <v>0</v>
      </c>
      <c r="AQ153" s="292"/>
      <c r="AR153" s="292"/>
      <c r="AS153" s="286">
        <f t="shared" si="159"/>
        <v>0</v>
      </c>
      <c r="AT153" s="286">
        <f t="shared" si="160"/>
        <v>0</v>
      </c>
      <c r="AU153" s="286">
        <f t="shared" si="160"/>
        <v>0</v>
      </c>
      <c r="AV153" s="286">
        <f t="shared" si="160"/>
        <v>0</v>
      </c>
      <c r="AW153" s="286">
        <f t="shared" si="160"/>
        <v>0</v>
      </c>
      <c r="AX153" s="292"/>
      <c r="AY153" s="292"/>
      <c r="AZ153" s="286">
        <f t="shared" si="161"/>
        <v>20.505025062562488</v>
      </c>
      <c r="BA153" s="286">
        <f t="shared" si="162"/>
        <v>0</v>
      </c>
      <c r="BB153" s="286">
        <f t="shared" si="162"/>
        <v>0</v>
      </c>
      <c r="BC153" s="286">
        <f t="shared" si="162"/>
        <v>0</v>
      </c>
      <c r="BD153" s="286">
        <f t="shared" si="162"/>
        <v>0</v>
      </c>
      <c r="BE153" s="292"/>
      <c r="BF153" s="292"/>
      <c r="BG153" s="286">
        <f t="shared" si="163"/>
        <v>0</v>
      </c>
      <c r="BH153" s="286">
        <f t="shared" si="163"/>
        <v>0</v>
      </c>
      <c r="BI153" s="286">
        <f t="shared" si="164"/>
        <v>0</v>
      </c>
      <c r="BJ153" s="286">
        <f t="shared" si="164"/>
        <v>0</v>
      </c>
      <c r="BK153" s="286">
        <v>0</v>
      </c>
      <c r="BL153" s="292"/>
      <c r="BM153" s="292"/>
    </row>
    <row r="154" spans="1:66" ht="13.5" customHeight="1" thickBot="1">
      <c r="A154" s="97" t="s">
        <v>204</v>
      </c>
      <c r="B154" s="98">
        <f>SUM(B138:B153)</f>
        <v>1051689.24</v>
      </c>
      <c r="C154" s="98">
        <f>SUM(C138:C153)</f>
        <v>1596892.23</v>
      </c>
      <c r="D154" s="98">
        <f>SUM(D138:D153)</f>
        <v>1336078.1400000001</v>
      </c>
      <c r="E154" s="98">
        <f>SUM(E138:E153)</f>
        <v>864897.47000000067</v>
      </c>
      <c r="F154" s="98">
        <f>SUM(F138:F153)</f>
        <v>8753630.6400000006</v>
      </c>
      <c r="G154" s="99"/>
      <c r="H154" s="98">
        <f>SUM(H138:H153)</f>
        <v>8753630.6400000006</v>
      </c>
      <c r="I154" s="98">
        <f>SUM(I138:I153)</f>
        <v>8753630.6400000006</v>
      </c>
      <c r="J154" s="98">
        <f>SUM(J138:J153)</f>
        <v>8753630.6400000006</v>
      </c>
      <c r="K154" s="98">
        <f>SUM(K138:K153)</f>
        <v>8753630.6400000006</v>
      </c>
      <c r="L154" s="98">
        <f>SUM(L138:L153)</f>
        <v>8753630.6400000006</v>
      </c>
      <c r="M154" s="99"/>
      <c r="N154" s="98">
        <f>SUM(N138:N153)</f>
        <v>8753630.6400000006</v>
      </c>
      <c r="O154" s="98">
        <f>SUM(O138:O153)</f>
        <v>8753630.6400000006</v>
      </c>
      <c r="P154" s="98">
        <f>SUM(P138:P153)</f>
        <v>8753630.6400000006</v>
      </c>
      <c r="Q154" s="98">
        <f>SUM(Q138:Q153)</f>
        <v>8753630.6400000006</v>
      </c>
      <c r="R154" s="98">
        <f>SUM(R138:R153)</f>
        <v>8753630.6400000006</v>
      </c>
      <c r="S154" s="99"/>
      <c r="T154" s="98">
        <f>SUM(T138:T153)</f>
        <v>8753630.6400000006</v>
      </c>
      <c r="U154" s="98">
        <f>SUM(U138:U153)</f>
        <v>8753630.6400000006</v>
      </c>
      <c r="V154" s="98">
        <f>SUM(V138:V153)</f>
        <v>8753630.6400000006</v>
      </c>
      <c r="W154" s="98">
        <f>SUM(W138:W153)</f>
        <v>8753630.6400000006</v>
      </c>
      <c r="X154" s="98">
        <f>SUM(X138:X153)</f>
        <v>8753630.6400000006</v>
      </c>
      <c r="Y154" s="99"/>
      <c r="Z154" s="98">
        <f>SUM(Z138:Z153)</f>
        <v>8753630.6400000006</v>
      </c>
      <c r="AA154" s="98">
        <f>SUM(AA138:AA153)</f>
        <v>8753630.6400000006</v>
      </c>
      <c r="AB154" s="98">
        <f>SUM(AB138:AB153)</f>
        <v>8753630.6400000006</v>
      </c>
      <c r="AC154" s="98">
        <f>SUM(AC138:AC153)</f>
        <v>8753630.6400000006</v>
      </c>
      <c r="AD154" s="98">
        <f>SUM(AD138:AD153)</f>
        <v>8753630.6400000006</v>
      </c>
      <c r="AE154" s="99"/>
      <c r="AF154" s="98">
        <f t="shared" ref="AF154:BL154" si="165">SUM(AF138:AF153)</f>
        <v>8753630.6400000006</v>
      </c>
      <c r="AG154" s="98">
        <f t="shared" si="165"/>
        <v>8753630.6400000006</v>
      </c>
      <c r="AH154" s="98">
        <f t="shared" si="165"/>
        <v>46859.098335829913</v>
      </c>
      <c r="AI154" s="98">
        <f t="shared" si="165"/>
        <v>48315.467740898413</v>
      </c>
      <c r="AJ154" s="98">
        <f t="shared" si="165"/>
        <v>48315.467740898413</v>
      </c>
      <c r="AK154" s="98">
        <f t="shared" si="165"/>
        <v>48315.467740898413</v>
      </c>
      <c r="AL154" s="98">
        <f t="shared" si="165"/>
        <v>50478.583844798268</v>
      </c>
      <c r="AM154" s="98">
        <f t="shared" si="165"/>
        <v>48473.202646192192</v>
      </c>
      <c r="AN154" s="98">
        <f t="shared" si="165"/>
        <v>45968.093481786404</v>
      </c>
      <c r="AO154" s="98">
        <f t="shared" si="165"/>
        <v>48068.453956482277</v>
      </c>
      <c r="AP154" s="98">
        <f t="shared" si="165"/>
        <v>49614.727643937586</v>
      </c>
      <c r="AQ154" s="98">
        <f t="shared" si="165"/>
        <v>49614.727643937586</v>
      </c>
      <c r="AR154" s="98">
        <f t="shared" si="165"/>
        <v>49614.727643937586</v>
      </c>
      <c r="AS154" s="98">
        <f t="shared" si="165"/>
        <v>51685.294317217544</v>
      </c>
      <c r="AT154" s="98">
        <f t="shared" si="165"/>
        <v>51828.583432354731</v>
      </c>
      <c r="AU154" s="98">
        <f t="shared" si="165"/>
        <v>53082.763037793833</v>
      </c>
      <c r="AV154" s="98">
        <f t="shared" si="165"/>
        <v>53082.763037793833</v>
      </c>
      <c r="AW154" s="98">
        <f t="shared" si="165"/>
        <v>53082.763037793833</v>
      </c>
      <c r="AX154" s="98">
        <f t="shared" si="165"/>
        <v>53082.763037793833</v>
      </c>
      <c r="AY154" s="98">
        <f t="shared" si="165"/>
        <v>53082.763037793833</v>
      </c>
      <c r="AZ154" s="98">
        <f t="shared" si="165"/>
        <v>54652.627756583621</v>
      </c>
      <c r="BA154" s="98">
        <f t="shared" si="165"/>
        <v>54652.627756583621</v>
      </c>
      <c r="BB154" s="98">
        <f t="shared" si="165"/>
        <v>53349.810231696123</v>
      </c>
      <c r="BC154" s="98">
        <f t="shared" si="165"/>
        <v>50511.555925098874</v>
      </c>
      <c r="BD154" s="98">
        <f t="shared" si="165"/>
        <v>49721.066703912024</v>
      </c>
      <c r="BE154" s="98">
        <f t="shared" si="165"/>
        <v>49721.066703912024</v>
      </c>
      <c r="BF154" s="98">
        <f t="shared" si="165"/>
        <v>49721.066703912024</v>
      </c>
      <c r="BG154" s="98">
        <f t="shared" si="165"/>
        <v>49449.395626858131</v>
      </c>
      <c r="BH154" s="98">
        <f t="shared" si="165"/>
        <v>50823.324578662607</v>
      </c>
      <c r="BI154" s="98">
        <f t="shared" si="165"/>
        <v>47904.157443168493</v>
      </c>
      <c r="BJ154" s="98">
        <f t="shared" si="165"/>
        <v>46586.309734910137</v>
      </c>
      <c r="BK154" s="98">
        <f t="shared" si="165"/>
        <v>46586.309734910137</v>
      </c>
      <c r="BL154" s="98">
        <f t="shared" si="165"/>
        <v>46586.309734910137</v>
      </c>
      <c r="BM154" s="98"/>
      <c r="BN154" s="288"/>
    </row>
    <row r="155" spans="1:66" ht="15" customHeight="1" thickTop="1">
      <c r="BN155" s="295"/>
    </row>
  </sheetData>
  <mergeCells count="6">
    <mergeCell ref="L99:L102"/>
    <mergeCell ref="L125:L128"/>
    <mergeCell ref="L150:L153"/>
    <mergeCell ref="L19:L22"/>
    <mergeCell ref="L44:L47"/>
    <mergeCell ref="L71:L74"/>
  </mergeCell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31"/>
  <sheetViews>
    <sheetView topLeftCell="A13" workbookViewId="0">
      <selection activeCell="C22" sqref="C22"/>
    </sheetView>
  </sheetViews>
  <sheetFormatPr defaultColWidth="9.140625" defaultRowHeight="15"/>
  <cols>
    <col min="1" max="1" width="27.5703125" style="304" customWidth="1"/>
    <col min="2" max="2" width="21.7109375" style="304" customWidth="1"/>
    <col min="3" max="6" width="9.140625" style="304"/>
    <col min="7" max="7" width="45.5703125" style="304" bestFit="1" customWidth="1"/>
    <col min="8" max="8" width="9.5703125" style="304" bestFit="1" customWidth="1"/>
    <col min="9" max="10" width="9.140625" style="304"/>
    <col min="11" max="11" width="22.7109375" style="304" customWidth="1"/>
    <col min="12" max="12" width="16.5703125" style="304" customWidth="1"/>
    <col min="13" max="14" width="9.140625" style="304"/>
    <col min="15" max="15" width="20.85546875" style="304" customWidth="1"/>
    <col min="16" max="16" width="16.140625" style="304" customWidth="1"/>
    <col min="17" max="18" width="9.140625" style="304"/>
    <col min="19" max="19" width="32.140625" style="304" customWidth="1"/>
    <col min="20" max="20" width="17" style="304" customWidth="1"/>
    <col min="21" max="21" width="9.140625" style="304"/>
    <col min="22" max="22" width="21.85546875" style="304" customWidth="1"/>
    <col min="23" max="23" width="19.85546875" style="304" customWidth="1"/>
    <col min="24" max="25" width="9.140625" style="304"/>
    <col min="26" max="26" width="30.140625" style="304" customWidth="1"/>
    <col min="27" max="27" width="20.140625" style="304" customWidth="1"/>
    <col min="28" max="16384" width="9.140625" style="304"/>
  </cols>
  <sheetData>
    <row r="1" spans="1:27" ht="18">
      <c r="A1" s="355" t="s">
        <v>1040</v>
      </c>
      <c r="B1" s="353"/>
      <c r="G1" s="355" t="s">
        <v>1040</v>
      </c>
      <c r="H1" s="353"/>
      <c r="K1" s="355" t="s">
        <v>1040</v>
      </c>
      <c r="L1" s="353"/>
      <c r="O1" s="355" t="s">
        <v>1040</v>
      </c>
      <c r="P1" s="353"/>
      <c r="S1" s="355" t="s">
        <v>1040</v>
      </c>
      <c r="T1" s="353"/>
      <c r="V1" s="355" t="s">
        <v>1040</v>
      </c>
      <c r="W1" s="353"/>
      <c r="Z1" s="355" t="s">
        <v>1040</v>
      </c>
      <c r="AA1" s="353"/>
    </row>
    <row r="2" spans="1:27" ht="18">
      <c r="A2" s="355" t="s">
        <v>1041</v>
      </c>
      <c r="B2" s="353"/>
      <c r="G2" s="355" t="s">
        <v>1041</v>
      </c>
      <c r="H2" s="353"/>
      <c r="K2" s="355" t="s">
        <v>1041</v>
      </c>
      <c r="L2" s="353"/>
      <c r="O2" s="355" t="s">
        <v>1041</v>
      </c>
      <c r="P2" s="353"/>
      <c r="S2" s="355" t="s">
        <v>1041</v>
      </c>
      <c r="T2" s="353"/>
      <c r="V2" s="355" t="s">
        <v>1041</v>
      </c>
      <c r="W2" s="353"/>
      <c r="Z2" s="355" t="s">
        <v>1041</v>
      </c>
      <c r="AA2" s="353"/>
    </row>
    <row r="3" spans="1:27">
      <c r="A3" s="352" t="s">
        <v>1042</v>
      </c>
      <c r="B3" s="353"/>
      <c r="G3" s="352" t="s">
        <v>1059</v>
      </c>
      <c r="H3" s="353"/>
      <c r="K3" s="352" t="s">
        <v>1065</v>
      </c>
      <c r="L3" s="353"/>
      <c r="O3" s="352" t="s">
        <v>1067</v>
      </c>
      <c r="P3" s="353"/>
      <c r="S3" s="352" t="s">
        <v>1070</v>
      </c>
      <c r="T3" s="353"/>
      <c r="V3" s="352" t="s">
        <v>1073</v>
      </c>
      <c r="W3" s="353"/>
      <c r="Z3" s="352" t="s">
        <v>299</v>
      </c>
      <c r="AA3" s="353"/>
    </row>
    <row r="5" spans="1:27">
      <c r="A5" s="305"/>
      <c r="B5" s="314" t="s">
        <v>131</v>
      </c>
      <c r="G5" s="305"/>
      <c r="H5" s="314" t="s">
        <v>131</v>
      </c>
      <c r="K5" s="305"/>
      <c r="L5" s="314" t="s">
        <v>131</v>
      </c>
      <c r="O5" s="305"/>
      <c r="P5" s="314" t="s">
        <v>131</v>
      </c>
      <c r="S5" s="305"/>
      <c r="T5" s="314" t="s">
        <v>131</v>
      </c>
      <c r="V5" s="305"/>
      <c r="W5" s="314" t="s">
        <v>131</v>
      </c>
      <c r="Z5" s="305"/>
      <c r="AA5" s="314" t="s">
        <v>131</v>
      </c>
    </row>
    <row r="6" spans="1:27">
      <c r="A6" s="315" t="s">
        <v>83</v>
      </c>
      <c r="B6" s="316"/>
      <c r="G6" s="315" t="s">
        <v>83</v>
      </c>
      <c r="H6" s="316"/>
      <c r="K6" s="315" t="s">
        <v>83</v>
      </c>
      <c r="L6" s="316"/>
      <c r="O6" s="315" t="s">
        <v>83</v>
      </c>
      <c r="P6" s="316"/>
      <c r="S6" s="315" t="s">
        <v>83</v>
      </c>
      <c r="T6" s="316"/>
      <c r="V6" s="315" t="s">
        <v>83</v>
      </c>
      <c r="W6" s="316"/>
      <c r="Z6" s="315" t="s">
        <v>83</v>
      </c>
      <c r="AA6" s="316"/>
    </row>
    <row r="7" spans="1:27">
      <c r="A7" s="315" t="s">
        <v>1043</v>
      </c>
      <c r="B7" s="317">
        <f>44607.2</f>
        <v>44607.199999999997</v>
      </c>
      <c r="G7" s="315" t="s">
        <v>1043</v>
      </c>
      <c r="H7" s="317">
        <f>42832.11</f>
        <v>42832.11</v>
      </c>
      <c r="K7" s="315" t="s">
        <v>1043</v>
      </c>
      <c r="L7" s="317">
        <f>45208.91</f>
        <v>45208.91</v>
      </c>
      <c r="O7" s="315" t="s">
        <v>1043</v>
      </c>
      <c r="P7" s="317">
        <f>41897.93</f>
        <v>41897.93</v>
      </c>
      <c r="S7" s="315" t="s">
        <v>1043</v>
      </c>
      <c r="T7" s="317">
        <f>47248.87</f>
        <v>47248.87</v>
      </c>
      <c r="V7" s="315" t="s">
        <v>1074</v>
      </c>
      <c r="W7" s="317">
        <f>20</f>
        <v>20</v>
      </c>
      <c r="Z7" s="315" t="s">
        <v>1074</v>
      </c>
      <c r="AA7" s="317">
        <f>20</f>
        <v>20</v>
      </c>
    </row>
    <row r="8" spans="1:27">
      <c r="A8" s="315" t="s">
        <v>1044</v>
      </c>
      <c r="B8" s="318">
        <f>B7</f>
        <v>44607.199999999997</v>
      </c>
      <c r="G8" s="315" t="s">
        <v>1044</v>
      </c>
      <c r="H8" s="318">
        <f>H7</f>
        <v>42832.11</v>
      </c>
      <c r="K8" s="315" t="s">
        <v>1044</v>
      </c>
      <c r="L8" s="318">
        <f>L7</f>
        <v>45208.91</v>
      </c>
      <c r="O8" s="315" t="s">
        <v>1044</v>
      </c>
      <c r="P8" s="318">
        <f>P7</f>
        <v>41897.93</v>
      </c>
      <c r="S8" s="315" t="s">
        <v>1044</v>
      </c>
      <c r="T8" s="318">
        <f>T7</f>
        <v>47248.87</v>
      </c>
      <c r="V8" s="315" t="s">
        <v>1043</v>
      </c>
      <c r="W8" s="317">
        <f>24908.64</f>
        <v>24908.639999999999</v>
      </c>
      <c r="Z8" s="315" t="s">
        <v>1043</v>
      </c>
      <c r="AA8" s="317">
        <f>36500.3</f>
        <v>36500.300000000003</v>
      </c>
    </row>
    <row r="9" spans="1:27">
      <c r="A9" s="315" t="s">
        <v>1045</v>
      </c>
      <c r="B9" s="316"/>
      <c r="G9" s="315" t="s">
        <v>1045</v>
      </c>
      <c r="H9" s="316"/>
      <c r="K9" s="315" t="s">
        <v>1045</v>
      </c>
      <c r="L9" s="316"/>
      <c r="O9" s="315" t="s">
        <v>1045</v>
      </c>
      <c r="P9" s="316"/>
      <c r="S9" s="315" t="s">
        <v>1045</v>
      </c>
      <c r="T9" s="316"/>
      <c r="V9" s="315" t="s">
        <v>1044</v>
      </c>
      <c r="W9" s="318">
        <f>(W7)+(W8)</f>
        <v>24928.639999999999</v>
      </c>
      <c r="Z9" s="315" t="s">
        <v>1044</v>
      </c>
      <c r="AA9" s="318">
        <f>(AA7)+(AA8)</f>
        <v>36520.300000000003</v>
      </c>
    </row>
    <row r="10" spans="1:27" ht="23.25">
      <c r="A10" s="315" t="s">
        <v>1046</v>
      </c>
      <c r="B10" s="317">
        <f>9262.91</f>
        <v>9262.91</v>
      </c>
      <c r="G10" s="315" t="s">
        <v>1046</v>
      </c>
      <c r="H10" s="317">
        <f>7691.15</f>
        <v>7691.15</v>
      </c>
      <c r="K10" s="315" t="s">
        <v>1046</v>
      </c>
      <c r="L10" s="317">
        <f>7730.97</f>
        <v>7730.97</v>
      </c>
      <c r="O10" s="315" t="s">
        <v>1046</v>
      </c>
      <c r="P10" s="317">
        <f>7470.95</f>
        <v>7470.95</v>
      </c>
      <c r="S10" s="315" t="s">
        <v>1046</v>
      </c>
      <c r="T10" s="317">
        <f>8552.3</f>
        <v>8552.2999999999993</v>
      </c>
      <c r="V10" s="315" t="s">
        <v>1045</v>
      </c>
      <c r="W10" s="316"/>
      <c r="Z10" s="315" t="s">
        <v>1045</v>
      </c>
      <c r="AA10" s="316"/>
    </row>
    <row r="11" spans="1:27" ht="23.25">
      <c r="A11" s="315" t="s">
        <v>1047</v>
      </c>
      <c r="B11" s="317">
        <f>9972.83</f>
        <v>9972.83</v>
      </c>
      <c r="G11" s="315" t="s">
        <v>1047</v>
      </c>
      <c r="H11" s="317">
        <f>14709.44</f>
        <v>14709.44</v>
      </c>
      <c r="K11" s="315" t="s">
        <v>1047</v>
      </c>
      <c r="L11" s="317">
        <f>5663.69</f>
        <v>5663.69</v>
      </c>
      <c r="O11" s="315" t="s">
        <v>1047</v>
      </c>
      <c r="P11" s="317">
        <f>16785.76</f>
        <v>16785.759999999998</v>
      </c>
      <c r="S11" s="315" t="s">
        <v>1048</v>
      </c>
      <c r="T11" s="318">
        <f>T10</f>
        <v>8552.2999999999993</v>
      </c>
      <c r="V11" s="315" t="s">
        <v>1046</v>
      </c>
      <c r="W11" s="317">
        <f>4130.2</f>
        <v>4130.2</v>
      </c>
      <c r="Z11" s="315" t="s">
        <v>1046</v>
      </c>
      <c r="AA11" s="317">
        <f>5431.04</f>
        <v>5431.04</v>
      </c>
    </row>
    <row r="12" spans="1:27">
      <c r="A12" s="315" t="s">
        <v>1048</v>
      </c>
      <c r="B12" s="318">
        <f>(B10)+(B11)</f>
        <v>19235.739999999998</v>
      </c>
      <c r="G12" s="315" t="s">
        <v>1048</v>
      </c>
      <c r="H12" s="318">
        <f>(H10)+(H11)</f>
        <v>22400.59</v>
      </c>
      <c r="K12" s="315" t="s">
        <v>1048</v>
      </c>
      <c r="L12" s="318">
        <f>(L10)+(L11)</f>
        <v>13394.66</v>
      </c>
      <c r="O12" s="315" t="s">
        <v>1048</v>
      </c>
      <c r="P12" s="318">
        <f>(P10)+(P11)</f>
        <v>24256.71</v>
      </c>
      <c r="S12" s="315" t="s">
        <v>87</v>
      </c>
      <c r="T12" s="318">
        <f>(T8)-(T11)</f>
        <v>38696.570000000007</v>
      </c>
      <c r="V12" s="315" t="s">
        <v>1047</v>
      </c>
      <c r="W12" s="317">
        <f>15496.71</f>
        <v>15496.71</v>
      </c>
      <c r="Z12" s="315" t="s">
        <v>1047</v>
      </c>
      <c r="AA12" s="317">
        <f>12999.65</f>
        <v>12999.65</v>
      </c>
    </row>
    <row r="13" spans="1:27">
      <c r="A13" s="315" t="s">
        <v>87</v>
      </c>
      <c r="B13" s="318">
        <f>(B8)-(B12)</f>
        <v>25371.46</v>
      </c>
      <c r="G13" s="315" t="s">
        <v>87</v>
      </c>
      <c r="H13" s="318">
        <f>(H8)-(H12)</f>
        <v>20431.52</v>
      </c>
      <c r="K13" s="315" t="s">
        <v>87</v>
      </c>
      <c r="L13" s="318">
        <f>(L8)-(L12)</f>
        <v>31814.250000000004</v>
      </c>
      <c r="O13" s="315" t="s">
        <v>87</v>
      </c>
      <c r="P13" s="318">
        <f>(P8)-(P12)</f>
        <v>17641.22</v>
      </c>
      <c r="S13" s="315" t="s">
        <v>968</v>
      </c>
      <c r="T13" s="316"/>
      <c r="V13" s="315" t="s">
        <v>1048</v>
      </c>
      <c r="W13" s="318">
        <f>(W11)+(W12)</f>
        <v>19626.91</v>
      </c>
      <c r="Z13" s="315" t="s">
        <v>1048</v>
      </c>
      <c r="AA13" s="318">
        <f>(AA11)+(AA12)</f>
        <v>18430.689999999999</v>
      </c>
    </row>
    <row r="14" spans="1:27">
      <c r="A14" s="315" t="s">
        <v>968</v>
      </c>
      <c r="B14" s="316"/>
      <c r="G14" s="315" t="s">
        <v>968</v>
      </c>
      <c r="H14" s="316"/>
      <c r="K14" s="315" t="s">
        <v>968</v>
      </c>
      <c r="L14" s="316"/>
      <c r="O14" s="315" t="s">
        <v>968</v>
      </c>
      <c r="P14" s="316"/>
      <c r="S14" s="315" t="s">
        <v>1049</v>
      </c>
      <c r="T14" s="317">
        <f>985.79</f>
        <v>985.79</v>
      </c>
      <c r="V14" s="315" t="s">
        <v>87</v>
      </c>
      <c r="W14" s="318">
        <f>(W9)-(W13)</f>
        <v>5301.73</v>
      </c>
      <c r="Z14" s="315" t="s">
        <v>87</v>
      </c>
      <c r="AA14" s="318">
        <f>(AA9)-(AA13)</f>
        <v>18089.610000000004</v>
      </c>
    </row>
    <row r="15" spans="1:27">
      <c r="A15" s="315" t="s">
        <v>1049</v>
      </c>
      <c r="B15" s="317">
        <f>1043.76</f>
        <v>1043.76</v>
      </c>
      <c r="G15" s="315" t="s">
        <v>1049</v>
      </c>
      <c r="H15" s="317">
        <f>922.59</f>
        <v>922.59</v>
      </c>
      <c r="K15" s="315" t="s">
        <v>1049</v>
      </c>
      <c r="L15" s="317">
        <f>920.61</f>
        <v>920.61</v>
      </c>
      <c r="O15" s="315" t="s">
        <v>1049</v>
      </c>
      <c r="P15" s="317">
        <f>1126.81</f>
        <v>1126.81</v>
      </c>
      <c r="S15" s="315" t="s">
        <v>1071</v>
      </c>
      <c r="T15" s="317">
        <f>180</f>
        <v>180</v>
      </c>
      <c r="V15" s="315" t="s">
        <v>968</v>
      </c>
      <c r="W15" s="316"/>
      <c r="Z15" s="315" t="s">
        <v>968</v>
      </c>
      <c r="AA15" s="316"/>
    </row>
    <row r="16" spans="1:27">
      <c r="A16" s="315" t="s">
        <v>1050</v>
      </c>
      <c r="B16" s="317">
        <f>510.35</f>
        <v>510.35</v>
      </c>
      <c r="G16" s="315" t="s">
        <v>1060</v>
      </c>
      <c r="H16" s="317">
        <f>2800</f>
        <v>2800</v>
      </c>
      <c r="K16" s="315" t="s">
        <v>1060</v>
      </c>
      <c r="L16" s="317">
        <f>1300</f>
        <v>1300</v>
      </c>
      <c r="O16" s="315" t="s">
        <v>1060</v>
      </c>
      <c r="P16" s="317">
        <f>2000</f>
        <v>2000</v>
      </c>
      <c r="S16" s="315" t="s">
        <v>1060</v>
      </c>
      <c r="T16" s="317">
        <f>1820</f>
        <v>1820</v>
      </c>
      <c r="V16" s="315" t="s">
        <v>1049</v>
      </c>
      <c r="W16" s="317">
        <f>942.83</f>
        <v>942.83</v>
      </c>
      <c r="Z16" s="315" t="s">
        <v>1049</v>
      </c>
      <c r="AA16" s="317">
        <f>556.44</f>
        <v>556.44000000000005</v>
      </c>
    </row>
    <row r="17" spans="1:27" ht="23.25">
      <c r="A17" s="315" t="s">
        <v>1051</v>
      </c>
      <c r="B17" s="317">
        <f>60.97</f>
        <v>60.97</v>
      </c>
      <c r="G17" s="315" t="s">
        <v>1050</v>
      </c>
      <c r="H17" s="317">
        <f>197</f>
        <v>197</v>
      </c>
      <c r="K17" s="315" t="s">
        <v>1061</v>
      </c>
      <c r="L17" s="317">
        <f>164.44</f>
        <v>164.44</v>
      </c>
      <c r="O17" s="315" t="s">
        <v>1068</v>
      </c>
      <c r="P17" s="317">
        <f>150</f>
        <v>150</v>
      </c>
      <c r="S17" s="315" t="s">
        <v>1051</v>
      </c>
      <c r="T17" s="317">
        <f>295.87</f>
        <v>295.87</v>
      </c>
      <c r="V17" s="315" t="s">
        <v>1060</v>
      </c>
      <c r="W17" s="317">
        <f>100</f>
        <v>100</v>
      </c>
      <c r="Z17" s="315" t="s">
        <v>1071</v>
      </c>
      <c r="AA17" s="317">
        <f>789</f>
        <v>789</v>
      </c>
    </row>
    <row r="18" spans="1:27" ht="23.25">
      <c r="A18" s="315" t="s">
        <v>1052</v>
      </c>
      <c r="B18" s="317">
        <f>2690.7</f>
        <v>2690.7</v>
      </c>
      <c r="G18" s="315" t="s">
        <v>1051</v>
      </c>
      <c r="H18" s="317">
        <f>133.82</f>
        <v>133.82</v>
      </c>
      <c r="K18" s="315" t="s">
        <v>1052</v>
      </c>
      <c r="L18" s="317">
        <f>157.92</f>
        <v>157.91999999999999</v>
      </c>
      <c r="O18" s="315" t="s">
        <v>1051</v>
      </c>
      <c r="P18" s="317">
        <f>265.11</f>
        <v>265.11</v>
      </c>
      <c r="S18" s="315" t="s">
        <v>1061</v>
      </c>
      <c r="T18" s="317">
        <f>386.34</f>
        <v>386.34</v>
      </c>
      <c r="V18" s="315" t="s">
        <v>1051</v>
      </c>
      <c r="W18" s="317">
        <f>112.27</f>
        <v>112.27</v>
      </c>
      <c r="Z18" s="315" t="s">
        <v>1060</v>
      </c>
      <c r="AA18" s="317">
        <f>1346</f>
        <v>1346</v>
      </c>
    </row>
    <row r="19" spans="1:27" ht="23.25">
      <c r="A19" s="315" t="s">
        <v>1053</v>
      </c>
      <c r="B19" s="317">
        <f>5616.2</f>
        <v>5616.2</v>
      </c>
      <c r="G19" s="315" t="s">
        <v>1061</v>
      </c>
      <c r="H19" s="317">
        <f>412.44</f>
        <v>412.44</v>
      </c>
      <c r="K19" s="315" t="s">
        <v>1053</v>
      </c>
      <c r="L19" s="317">
        <f>5618.03</f>
        <v>5618.03</v>
      </c>
      <c r="O19" s="315" t="s">
        <v>1061</v>
      </c>
      <c r="P19" s="317">
        <f>248.48</f>
        <v>248.48</v>
      </c>
      <c r="S19" s="315" t="s">
        <v>1062</v>
      </c>
      <c r="T19" s="317">
        <f>1000</f>
        <v>1000</v>
      </c>
      <c r="V19" s="315" t="s">
        <v>1062</v>
      </c>
      <c r="W19" s="317">
        <f>55.13</f>
        <v>55.13</v>
      </c>
      <c r="Z19" s="315" t="s">
        <v>1068</v>
      </c>
      <c r="AA19" s="317">
        <f>1387</f>
        <v>1387</v>
      </c>
    </row>
    <row r="20" spans="1:27" ht="34.5">
      <c r="A20" s="315" t="s">
        <v>1054</v>
      </c>
      <c r="B20" s="317">
        <f>260.84</f>
        <v>260.83999999999997</v>
      </c>
      <c r="G20" s="315" t="s">
        <v>1062</v>
      </c>
      <c r="H20" s="317">
        <f>129.37</f>
        <v>129.37</v>
      </c>
      <c r="K20" s="315" t="s">
        <v>1054</v>
      </c>
      <c r="L20" s="317">
        <f>154.45</f>
        <v>154.44999999999999</v>
      </c>
      <c r="O20" s="315" t="s">
        <v>1062</v>
      </c>
      <c r="P20" s="317">
        <f>1067.27</f>
        <v>1067.27</v>
      </c>
      <c r="S20" s="315" t="s">
        <v>1052</v>
      </c>
      <c r="T20" s="317">
        <f>279.04</f>
        <v>279.04000000000002</v>
      </c>
      <c r="V20" s="315" t="s">
        <v>1052</v>
      </c>
      <c r="W20" s="317">
        <f>576.13</f>
        <v>576.13</v>
      </c>
      <c r="Z20" s="315" t="s">
        <v>1051</v>
      </c>
      <c r="AA20" s="317">
        <f>27.28</f>
        <v>27.28</v>
      </c>
    </row>
    <row r="21" spans="1:27" ht="34.5">
      <c r="A21" s="315" t="s">
        <v>1055</v>
      </c>
      <c r="B21" s="317">
        <f>2310.78</f>
        <v>2310.7800000000002</v>
      </c>
      <c r="G21" s="315" t="s">
        <v>1052</v>
      </c>
      <c r="H21" s="317">
        <f>719.79</f>
        <v>719.79</v>
      </c>
      <c r="K21" s="315" t="s">
        <v>1055</v>
      </c>
      <c r="L21" s="317">
        <f>1760.48</f>
        <v>1760.48</v>
      </c>
      <c r="O21" s="315" t="s">
        <v>1052</v>
      </c>
      <c r="P21" s="317">
        <f>417.8</f>
        <v>417.8</v>
      </c>
      <c r="S21" s="315" t="s">
        <v>1053</v>
      </c>
      <c r="T21" s="317">
        <f>5609.12</f>
        <v>5609.12</v>
      </c>
      <c r="V21" s="315" t="s">
        <v>1053</v>
      </c>
      <c r="W21" s="317">
        <f>5610.34</f>
        <v>5610.34</v>
      </c>
      <c r="Z21" s="315" t="s">
        <v>1052</v>
      </c>
      <c r="AA21" s="317">
        <f>674.09</f>
        <v>674.09</v>
      </c>
    </row>
    <row r="22" spans="1:27" ht="34.5">
      <c r="A22" s="315" t="s">
        <v>1056</v>
      </c>
      <c r="B22" s="318">
        <f>((((((B15)+(B16))+(B17))+(B18))+(B19))+(B20))+(B21)</f>
        <v>12493.6</v>
      </c>
      <c r="G22" s="315" t="s">
        <v>1053</v>
      </c>
      <c r="H22" s="317">
        <f>5612.54</f>
        <v>5612.54</v>
      </c>
      <c r="K22" s="315" t="s">
        <v>1056</v>
      </c>
      <c r="L22" s="318">
        <f>((((((L15)+(L16))+(L17))+(L18))+(L19))+(L20))+(L21)</f>
        <v>10075.93</v>
      </c>
      <c r="O22" s="315" t="s">
        <v>1053</v>
      </c>
      <c r="P22" s="317">
        <f>5612.67</f>
        <v>5612.67</v>
      </c>
      <c r="S22" s="315" t="s">
        <v>1072</v>
      </c>
      <c r="T22" s="317">
        <f>23.75</f>
        <v>23.75</v>
      </c>
      <c r="V22" s="315" t="s">
        <v>1054</v>
      </c>
      <c r="W22" s="317">
        <f>300.87</f>
        <v>300.87</v>
      </c>
      <c r="Z22" s="315" t="s">
        <v>1053</v>
      </c>
      <c r="AA22" s="317">
        <f>5608.01</f>
        <v>5608.01</v>
      </c>
    </row>
    <row r="23" spans="1:27" ht="23.25">
      <c r="A23" s="315" t="s">
        <v>1057</v>
      </c>
      <c r="B23" s="318">
        <f>((((B8)+(0))-(B12))-(B22))-(0)</f>
        <v>12877.859999999999</v>
      </c>
      <c r="G23" s="315" t="s">
        <v>1063</v>
      </c>
      <c r="H23" s="317">
        <f>3310.86</f>
        <v>3310.86</v>
      </c>
      <c r="K23" s="315" t="s">
        <v>1057</v>
      </c>
      <c r="L23" s="318">
        <f>((((L8)+(0))-(L12))-(L22))-(0)</f>
        <v>21738.320000000003</v>
      </c>
      <c r="O23" s="315" t="s">
        <v>1063</v>
      </c>
      <c r="P23" s="317">
        <f>213.62</f>
        <v>213.62</v>
      </c>
      <c r="S23" s="315" t="s">
        <v>1063</v>
      </c>
      <c r="T23" s="317">
        <f>401.05</f>
        <v>401.05</v>
      </c>
      <c r="V23" s="315" t="s">
        <v>1055</v>
      </c>
      <c r="W23" s="317">
        <f>1291.78</f>
        <v>1291.78</v>
      </c>
      <c r="Z23" s="315" t="s">
        <v>1076</v>
      </c>
      <c r="AA23" s="317">
        <f>193.76</f>
        <v>193.76</v>
      </c>
    </row>
    <row r="24" spans="1:27" ht="34.5">
      <c r="A24" s="315"/>
      <c r="B24" s="316"/>
      <c r="G24" s="315" t="s">
        <v>1054</v>
      </c>
      <c r="H24" s="317">
        <f>214.07</f>
        <v>214.07</v>
      </c>
      <c r="K24" s="315"/>
      <c r="L24" s="316"/>
      <c r="O24" s="315" t="s">
        <v>1054</v>
      </c>
      <c r="P24" s="317">
        <f>230.79</f>
        <v>230.79</v>
      </c>
      <c r="S24" s="315" t="s">
        <v>1054</v>
      </c>
      <c r="T24" s="317">
        <f>379.52</f>
        <v>379.52</v>
      </c>
      <c r="V24" s="315" t="s">
        <v>1056</v>
      </c>
      <c r="W24" s="318">
        <f>(((((((W16)+(W17))+(W18))+(W19))+(W20))+(W21))+(W22))+(W23)</f>
        <v>8989.35</v>
      </c>
      <c r="Z24" s="315" t="s">
        <v>1055</v>
      </c>
      <c r="AA24" s="317">
        <f>232.68</f>
        <v>232.68</v>
      </c>
    </row>
    <row r="25" spans="1:27">
      <c r="G25" s="315" t="s">
        <v>1055</v>
      </c>
      <c r="H25" s="317">
        <f>373.28</f>
        <v>373.28</v>
      </c>
      <c r="O25" s="315" t="s">
        <v>1055</v>
      </c>
      <c r="P25" s="317">
        <f>949.93</f>
        <v>949.93</v>
      </c>
      <c r="S25" s="315" t="s">
        <v>1055</v>
      </c>
      <c r="T25" s="317">
        <f>1676.29</f>
        <v>1676.29</v>
      </c>
      <c r="V25" s="315" t="s">
        <v>1057</v>
      </c>
      <c r="W25" s="318">
        <f>((((W9)+(0))-(W13))-(W24))-(0)</f>
        <v>-3687.6200000000008</v>
      </c>
      <c r="Z25" s="315" t="s">
        <v>1077</v>
      </c>
      <c r="AA25" s="317">
        <f>283.92</f>
        <v>283.92</v>
      </c>
    </row>
    <row r="26" spans="1:27">
      <c r="G26" s="315" t="s">
        <v>1056</v>
      </c>
      <c r="H26" s="318">
        <f>((((((((((H15)+(H16))+(H17))+(H18))+(H19))+(H20))+(H21))+(H22))+(H23))+(H24))+(H25)</f>
        <v>14825.76</v>
      </c>
      <c r="O26" s="315" t="s">
        <v>1056</v>
      </c>
      <c r="P26" s="318">
        <f>((((((((((P15)+(P16))+(P17))+(P18))+(P19))+(P20))+(P21))+(P22))+(P23))+(P24))+(P25)</f>
        <v>12282.480000000001</v>
      </c>
      <c r="S26" s="315" t="s">
        <v>1056</v>
      </c>
      <c r="T26" s="318">
        <f>(((((((((((T14)+(T15))+(T16))+(T17))+(T18))+(T19))+(T20))+(T21))+(T22))+(T23))+(T24))+(T25)</f>
        <v>13036.77</v>
      </c>
      <c r="V26" s="315"/>
      <c r="W26" s="316"/>
      <c r="Z26" s="315" t="s">
        <v>1078</v>
      </c>
      <c r="AA26" s="317">
        <f>254.12</f>
        <v>254.12</v>
      </c>
    </row>
    <row r="27" spans="1:27">
      <c r="A27" s="354" t="s">
        <v>1058</v>
      </c>
      <c r="B27" s="353"/>
      <c r="G27" s="315" t="s">
        <v>1057</v>
      </c>
      <c r="H27" s="318">
        <f>((((H8)+(0))-(H12))-(H26))-(0)</f>
        <v>5605.76</v>
      </c>
      <c r="K27" s="354" t="s">
        <v>1066</v>
      </c>
      <c r="L27" s="353"/>
      <c r="O27" s="315" t="s">
        <v>1057</v>
      </c>
      <c r="P27" s="318">
        <f>((((P8)+(0))-(P12))-(P26))-(0)</f>
        <v>5358.74</v>
      </c>
      <c r="S27" s="315" t="s">
        <v>1057</v>
      </c>
      <c r="T27" s="318">
        <f>((((T8)+(0))-(T11))-(T26))-(0)</f>
        <v>25659.800000000007</v>
      </c>
      <c r="Z27" s="315" t="s">
        <v>1056</v>
      </c>
      <c r="AA27" s="318">
        <f>((((((((((AA16)+(AA17))+(AA18))+(AA19))+(AA20))+(AA21))+(AA22))+(AA23))+(AA24))+(AA25))+(AA26)</f>
        <v>11352.300000000001</v>
      </c>
    </row>
    <row r="28" spans="1:27">
      <c r="G28" s="315"/>
      <c r="H28" s="316"/>
      <c r="O28" s="315"/>
      <c r="P28" s="316"/>
      <c r="Z28" s="315" t="s">
        <v>1057</v>
      </c>
      <c r="AA28" s="318">
        <f>((((AA9)+(0))-(AA13))-(AA27))-(0)</f>
        <v>6737.3100000000031</v>
      </c>
    </row>
    <row r="29" spans="1:27">
      <c r="V29" s="354" t="s">
        <v>1075</v>
      </c>
      <c r="W29" s="353"/>
    </row>
    <row r="31" spans="1:27">
      <c r="G31" s="354" t="s">
        <v>1064</v>
      </c>
      <c r="H31" s="353"/>
      <c r="O31" s="354" t="s">
        <v>1069</v>
      </c>
      <c r="P31" s="353"/>
    </row>
  </sheetData>
  <mergeCells count="26">
    <mergeCell ref="Z1:AA1"/>
    <mergeCell ref="A2:B2"/>
    <mergeCell ref="G2:H2"/>
    <mergeCell ref="K2:L2"/>
    <mergeCell ref="O2:P2"/>
    <mergeCell ref="S2:T2"/>
    <mergeCell ref="V2:W2"/>
    <mergeCell ref="Z2:AA2"/>
    <mergeCell ref="A1:B1"/>
    <mergeCell ref="G1:H1"/>
    <mergeCell ref="K1:L1"/>
    <mergeCell ref="O1:P1"/>
    <mergeCell ref="S1:T1"/>
    <mergeCell ref="V1:W1"/>
    <mergeCell ref="Z3:AA3"/>
    <mergeCell ref="A27:B27"/>
    <mergeCell ref="K27:L27"/>
    <mergeCell ref="V29:W29"/>
    <mergeCell ref="G31:H31"/>
    <mergeCell ref="O31:P31"/>
    <mergeCell ref="A3:B3"/>
    <mergeCell ref="G3:H3"/>
    <mergeCell ref="K3:L3"/>
    <mergeCell ref="O3:P3"/>
    <mergeCell ref="S3:T3"/>
    <mergeCell ref="V3:W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I30"/>
  <sheetViews>
    <sheetView workbookViewId="0">
      <selection sqref="A1:C1"/>
    </sheetView>
  </sheetViews>
  <sheetFormatPr defaultColWidth="9.140625" defaultRowHeight="15"/>
  <cols>
    <col min="1" max="1" width="33.28515625" style="304" bestFit="1" customWidth="1"/>
    <col min="2" max="3" width="11.42578125" style="304" bestFit="1" customWidth="1"/>
    <col min="4" max="5" width="9.140625" style="304"/>
    <col min="6" max="6" width="33.28515625" style="304" bestFit="1" customWidth="1"/>
    <col min="7" max="8" width="15.85546875" style="304" bestFit="1" customWidth="1"/>
    <col min="9" max="11" width="9.140625" style="304"/>
    <col min="12" max="12" width="33.28515625" style="304" bestFit="1" customWidth="1"/>
    <col min="13" max="14" width="11.5703125" style="304" bestFit="1" customWidth="1"/>
    <col min="15" max="16" width="9.140625" style="304"/>
    <col min="17" max="17" width="27.140625" style="304" bestFit="1" customWidth="1"/>
    <col min="18" max="18" width="9.5703125" style="304" bestFit="1" customWidth="1"/>
    <col min="19" max="19" width="8.42578125" style="304" bestFit="1" customWidth="1"/>
    <col min="20" max="22" width="9.140625" style="304"/>
    <col min="23" max="23" width="40.85546875" style="304" customWidth="1"/>
    <col min="24" max="24" width="9.5703125" style="304" bestFit="1" customWidth="1"/>
    <col min="25" max="25" width="8.85546875" style="304" bestFit="1" customWidth="1"/>
    <col min="26" max="28" width="9.140625" style="304"/>
    <col min="29" max="29" width="40.5703125" style="304" customWidth="1"/>
    <col min="30" max="30" width="9.5703125" style="304" bestFit="1" customWidth="1"/>
    <col min="31" max="31" width="8.5703125" style="304" bestFit="1" customWidth="1"/>
    <col min="32" max="32" width="9.140625" style="304"/>
    <col min="33" max="33" width="40.7109375" style="304" customWidth="1"/>
    <col min="34" max="34" width="9.5703125" style="304" bestFit="1" customWidth="1"/>
    <col min="35" max="35" width="8" style="304" bestFit="1" customWidth="1"/>
    <col min="36" max="16384" width="9.140625" style="304"/>
  </cols>
  <sheetData>
    <row r="1" spans="1:35" ht="18">
      <c r="A1" s="355" t="s">
        <v>1040</v>
      </c>
      <c r="B1" s="353"/>
      <c r="C1" s="353"/>
      <c r="F1" s="355" t="s">
        <v>1040</v>
      </c>
      <c r="G1" s="353"/>
      <c r="H1" s="353"/>
      <c r="L1" s="355" t="s">
        <v>1040</v>
      </c>
      <c r="M1" s="353"/>
      <c r="N1" s="353"/>
      <c r="Q1" s="355" t="s">
        <v>1040</v>
      </c>
      <c r="R1" s="353"/>
      <c r="S1" s="353"/>
      <c r="W1" s="355" t="s">
        <v>1040</v>
      </c>
      <c r="X1" s="353"/>
      <c r="Y1" s="353"/>
      <c r="AC1" s="355" t="s">
        <v>1040</v>
      </c>
      <c r="AD1" s="353"/>
      <c r="AE1" s="353"/>
      <c r="AG1" s="355" t="s">
        <v>1040</v>
      </c>
      <c r="AH1" s="353"/>
      <c r="AI1" s="353"/>
    </row>
    <row r="2" spans="1:35" ht="18">
      <c r="A2" s="355" t="s">
        <v>1079</v>
      </c>
      <c r="B2" s="353"/>
      <c r="C2" s="353"/>
      <c r="F2" s="355" t="s">
        <v>1079</v>
      </c>
      <c r="G2" s="353"/>
      <c r="H2" s="353"/>
      <c r="L2" s="355" t="s">
        <v>1079</v>
      </c>
      <c r="M2" s="353"/>
      <c r="N2" s="353"/>
      <c r="Q2" s="355" t="s">
        <v>1079</v>
      </c>
      <c r="R2" s="353"/>
      <c r="S2" s="353"/>
      <c r="W2" s="355" t="s">
        <v>1079</v>
      </c>
      <c r="X2" s="353"/>
      <c r="Y2" s="353"/>
      <c r="AC2" s="355" t="s">
        <v>1079</v>
      </c>
      <c r="AD2" s="353"/>
      <c r="AE2" s="353"/>
      <c r="AG2" s="355" t="s">
        <v>1079</v>
      </c>
      <c r="AH2" s="353"/>
      <c r="AI2" s="353"/>
    </row>
    <row r="3" spans="1:35">
      <c r="A3" s="352" t="s">
        <v>1080</v>
      </c>
      <c r="B3" s="353"/>
      <c r="C3" s="353"/>
      <c r="F3" s="352" t="s">
        <v>1103</v>
      </c>
      <c r="G3" s="353"/>
      <c r="H3" s="353"/>
      <c r="L3" s="352" t="s">
        <v>1108</v>
      </c>
      <c r="M3" s="353"/>
      <c r="N3" s="353"/>
      <c r="Q3" s="352" t="s">
        <v>1112</v>
      </c>
      <c r="R3" s="353"/>
      <c r="S3" s="353"/>
      <c r="W3" s="352" t="s">
        <v>1116</v>
      </c>
      <c r="X3" s="353"/>
      <c r="Y3" s="353"/>
      <c r="AC3" s="352" t="s">
        <v>1119</v>
      </c>
      <c r="AD3" s="353"/>
      <c r="AE3" s="353"/>
      <c r="AG3" s="352" t="s">
        <v>1123</v>
      </c>
      <c r="AH3" s="353"/>
      <c r="AI3" s="353"/>
    </row>
    <row r="5" spans="1:35">
      <c r="A5" s="305"/>
      <c r="B5" s="356" t="s">
        <v>131</v>
      </c>
      <c r="C5" s="357"/>
      <c r="F5" s="305"/>
      <c r="G5" s="356" t="s">
        <v>131</v>
      </c>
      <c r="H5" s="357"/>
      <c r="L5" s="305"/>
      <c r="M5" s="356" t="s">
        <v>131</v>
      </c>
      <c r="N5" s="357"/>
      <c r="Q5" s="305"/>
      <c r="R5" s="356" t="s">
        <v>131</v>
      </c>
      <c r="S5" s="357"/>
      <c r="W5" s="305"/>
      <c r="X5" s="356" t="s">
        <v>131</v>
      </c>
      <c r="Y5" s="357"/>
      <c r="AC5" s="305"/>
      <c r="AD5" s="356" t="s">
        <v>131</v>
      </c>
      <c r="AE5" s="357"/>
      <c r="AG5" s="305"/>
      <c r="AH5" s="356" t="s">
        <v>131</v>
      </c>
      <c r="AI5" s="357"/>
    </row>
    <row r="6" spans="1:35" ht="36.75">
      <c r="A6" s="305"/>
      <c r="B6" s="314" t="s">
        <v>1081</v>
      </c>
      <c r="C6" s="314" t="s">
        <v>1082</v>
      </c>
      <c r="F6" s="305"/>
      <c r="G6" s="314" t="s">
        <v>1104</v>
      </c>
      <c r="H6" s="314" t="s">
        <v>1105</v>
      </c>
      <c r="L6" s="305"/>
      <c r="M6" s="314" t="s">
        <v>1109</v>
      </c>
      <c r="N6" s="314" t="s">
        <v>1110</v>
      </c>
      <c r="Q6" s="305"/>
      <c r="R6" s="314" t="s">
        <v>1113</v>
      </c>
      <c r="S6" s="314" t="s">
        <v>1114</v>
      </c>
      <c r="W6" s="305"/>
      <c r="X6" s="314" t="s">
        <v>1116</v>
      </c>
      <c r="Y6" s="314" t="s">
        <v>1117</v>
      </c>
      <c r="AC6" s="305"/>
      <c r="AD6" s="314" t="s">
        <v>1120</v>
      </c>
      <c r="AE6" s="314" t="s">
        <v>1121</v>
      </c>
      <c r="AG6" s="305"/>
      <c r="AH6" s="314" t="s">
        <v>1124</v>
      </c>
      <c r="AI6" s="314" t="s">
        <v>1125</v>
      </c>
    </row>
    <row r="7" spans="1:35">
      <c r="A7" s="315" t="s">
        <v>1083</v>
      </c>
      <c r="B7" s="316"/>
      <c r="C7" s="316"/>
      <c r="F7" s="315" t="s">
        <v>1083</v>
      </c>
      <c r="G7" s="316"/>
      <c r="H7" s="316"/>
      <c r="L7" s="315" t="s">
        <v>1083</v>
      </c>
      <c r="M7" s="316"/>
      <c r="N7" s="316"/>
      <c r="Q7" s="315" t="s">
        <v>1083</v>
      </c>
      <c r="R7" s="316"/>
      <c r="S7" s="316"/>
      <c r="W7" s="315" t="s">
        <v>1083</v>
      </c>
      <c r="X7" s="316"/>
      <c r="Y7" s="316"/>
      <c r="AC7" s="315" t="s">
        <v>1083</v>
      </c>
      <c r="AD7" s="316"/>
      <c r="AE7" s="316"/>
      <c r="AG7" s="315" t="s">
        <v>1083</v>
      </c>
      <c r="AH7" s="316"/>
      <c r="AI7" s="316"/>
    </row>
    <row r="8" spans="1:35">
      <c r="A8" s="315" t="s">
        <v>1084</v>
      </c>
      <c r="B8" s="316"/>
      <c r="C8" s="316"/>
      <c r="F8" s="315" t="s">
        <v>1084</v>
      </c>
      <c r="G8" s="316"/>
      <c r="H8" s="316"/>
      <c r="L8" s="315" t="s">
        <v>1084</v>
      </c>
      <c r="M8" s="316"/>
      <c r="N8" s="316"/>
      <c r="Q8" s="315" t="s">
        <v>1084</v>
      </c>
      <c r="R8" s="316"/>
      <c r="S8" s="316"/>
      <c r="W8" s="315" t="s">
        <v>1084</v>
      </c>
      <c r="X8" s="316"/>
      <c r="Y8" s="316"/>
      <c r="AC8" s="315" t="s">
        <v>1084</v>
      </c>
      <c r="AD8" s="316"/>
      <c r="AE8" s="316"/>
      <c r="AG8" s="315" t="s">
        <v>1084</v>
      </c>
      <c r="AH8" s="316"/>
      <c r="AI8" s="316"/>
    </row>
    <row r="9" spans="1:35">
      <c r="A9" s="315" t="s">
        <v>1085</v>
      </c>
      <c r="B9" s="316"/>
      <c r="C9" s="316"/>
      <c r="F9" s="315" t="s">
        <v>1085</v>
      </c>
      <c r="G9" s="316"/>
      <c r="H9" s="316"/>
      <c r="L9" s="315" t="s">
        <v>1085</v>
      </c>
      <c r="M9" s="316"/>
      <c r="N9" s="316"/>
      <c r="Q9" s="315" t="s">
        <v>1085</v>
      </c>
      <c r="R9" s="316"/>
      <c r="S9" s="316"/>
      <c r="W9" s="315" t="s">
        <v>1085</v>
      </c>
      <c r="X9" s="316"/>
      <c r="Y9" s="316"/>
      <c r="AC9" s="315" t="s">
        <v>1085</v>
      </c>
      <c r="AD9" s="316"/>
      <c r="AE9" s="316"/>
      <c r="AG9" s="315" t="s">
        <v>1085</v>
      </c>
      <c r="AH9" s="316"/>
      <c r="AI9" s="316"/>
    </row>
    <row r="10" spans="1:35" ht="23.25">
      <c r="A10" s="315" t="s">
        <v>1086</v>
      </c>
      <c r="B10" s="317">
        <f>0</f>
        <v>0</v>
      </c>
      <c r="C10" s="316"/>
      <c r="F10" s="315" t="s">
        <v>1086</v>
      </c>
      <c r="G10" s="317">
        <f>350</f>
        <v>350</v>
      </c>
      <c r="H10" s="316"/>
      <c r="L10" s="315" t="s">
        <v>1086</v>
      </c>
      <c r="M10" s="317">
        <f>350</f>
        <v>350</v>
      </c>
      <c r="N10" s="316"/>
      <c r="Q10" s="315" t="s">
        <v>1086</v>
      </c>
      <c r="R10" s="317">
        <f>350</f>
        <v>350</v>
      </c>
      <c r="S10" s="316"/>
      <c r="W10" s="315" t="s">
        <v>1086</v>
      </c>
      <c r="X10" s="317">
        <f>350</f>
        <v>350</v>
      </c>
      <c r="Y10" s="316"/>
      <c r="AC10" s="315" t="s">
        <v>1086</v>
      </c>
      <c r="AD10" s="317">
        <f>350</f>
        <v>350</v>
      </c>
      <c r="AE10" s="316"/>
      <c r="AG10" s="315" t="s">
        <v>1086</v>
      </c>
      <c r="AH10" s="317">
        <f>5506.7</f>
        <v>5506.7</v>
      </c>
      <c r="AI10" s="316"/>
    </row>
    <row r="11" spans="1:35">
      <c r="A11" s="315" t="s">
        <v>1087</v>
      </c>
      <c r="B11" s="318">
        <f>B10</f>
        <v>0</v>
      </c>
      <c r="C11" s="318">
        <f>C10</f>
        <v>0</v>
      </c>
      <c r="F11" s="315" t="s">
        <v>1087</v>
      </c>
      <c r="G11" s="318">
        <f>G10</f>
        <v>350</v>
      </c>
      <c r="H11" s="318">
        <f>H10</f>
        <v>0</v>
      </c>
      <c r="L11" s="315" t="s">
        <v>1087</v>
      </c>
      <c r="M11" s="318">
        <f>M10</f>
        <v>350</v>
      </c>
      <c r="N11" s="318">
        <f>N10</f>
        <v>0</v>
      </c>
      <c r="Q11" s="315" t="s">
        <v>1087</v>
      </c>
      <c r="R11" s="318">
        <f>R10</f>
        <v>350</v>
      </c>
      <c r="S11" s="318">
        <f>S10</f>
        <v>0</v>
      </c>
      <c r="W11" s="315" t="s">
        <v>1087</v>
      </c>
      <c r="X11" s="318">
        <f>X10</f>
        <v>350</v>
      </c>
      <c r="Y11" s="318">
        <f>Y10</f>
        <v>0</v>
      </c>
      <c r="AC11" s="315" t="s">
        <v>1087</v>
      </c>
      <c r="AD11" s="318">
        <f>AD10</f>
        <v>350</v>
      </c>
      <c r="AE11" s="318">
        <f>AE10</f>
        <v>0</v>
      </c>
      <c r="AG11" s="315" t="s">
        <v>1087</v>
      </c>
      <c r="AH11" s="318">
        <f>AH10</f>
        <v>5506.7</v>
      </c>
      <c r="AI11" s="318">
        <f>AI10</f>
        <v>0</v>
      </c>
    </row>
    <row r="12" spans="1:35" ht="23.25">
      <c r="A12" s="315" t="s">
        <v>1088</v>
      </c>
      <c r="B12" s="317">
        <f>41135.87</f>
        <v>41135.870000000003</v>
      </c>
      <c r="C12" s="316"/>
      <c r="F12" s="315" t="s">
        <v>1088</v>
      </c>
      <c r="G12" s="317">
        <f>41146.63</f>
        <v>41146.629999999997</v>
      </c>
      <c r="H12" s="316"/>
      <c r="L12" s="315" t="s">
        <v>1088</v>
      </c>
      <c r="M12" s="317">
        <f>58866.95</f>
        <v>58866.95</v>
      </c>
      <c r="N12" s="316"/>
      <c r="Q12" s="315" t="s">
        <v>1088</v>
      </c>
      <c r="R12" s="317">
        <f>64307.69</f>
        <v>64307.69</v>
      </c>
      <c r="S12" s="316"/>
      <c r="W12" s="315" t="s">
        <v>1088</v>
      </c>
      <c r="X12" s="317">
        <f>81303.49</f>
        <v>81303.490000000005</v>
      </c>
      <c r="Y12" s="316"/>
      <c r="AC12" s="315" t="s">
        <v>1088</v>
      </c>
      <c r="AD12" s="317">
        <f>74853.87</f>
        <v>74853.87</v>
      </c>
      <c r="AE12" s="316"/>
      <c r="AG12" s="315" t="s">
        <v>1088</v>
      </c>
      <c r="AH12" s="317">
        <f>72988.52</f>
        <v>72988.52</v>
      </c>
      <c r="AI12" s="316"/>
    </row>
    <row r="13" spans="1:35">
      <c r="A13" s="315" t="s">
        <v>1089</v>
      </c>
      <c r="B13" s="318">
        <f>(B11)+(B12)</f>
        <v>41135.870000000003</v>
      </c>
      <c r="C13" s="318">
        <f>(C11)+(C12)</f>
        <v>0</v>
      </c>
      <c r="F13" s="315" t="s">
        <v>1106</v>
      </c>
      <c r="G13" s="317">
        <f>4200</f>
        <v>4200</v>
      </c>
      <c r="H13" s="316"/>
      <c r="L13" s="315" t="s">
        <v>1106</v>
      </c>
      <c r="M13" s="317">
        <f>6900</f>
        <v>6900</v>
      </c>
      <c r="N13" s="316"/>
      <c r="Q13" s="315" t="s">
        <v>1106</v>
      </c>
      <c r="R13" s="317">
        <f>12900</f>
        <v>12900</v>
      </c>
      <c r="S13" s="316"/>
      <c r="W13" s="315" t="s">
        <v>1106</v>
      </c>
      <c r="X13" s="317">
        <f>15000</f>
        <v>15000</v>
      </c>
      <c r="Y13" s="316"/>
      <c r="AC13" s="315" t="s">
        <v>1106</v>
      </c>
      <c r="AD13" s="317">
        <f>18000</f>
        <v>18000</v>
      </c>
      <c r="AE13" s="316"/>
      <c r="AG13" s="315" t="s">
        <v>1106</v>
      </c>
      <c r="AH13" s="317">
        <f>20635</f>
        <v>20635</v>
      </c>
      <c r="AI13" s="316"/>
    </row>
    <row r="14" spans="1:35">
      <c r="A14" s="315" t="s">
        <v>1090</v>
      </c>
      <c r="B14" s="318">
        <f>B13</f>
        <v>41135.870000000003</v>
      </c>
      <c r="C14" s="318">
        <f>C13</f>
        <v>0</v>
      </c>
      <c r="F14" s="315" t="s">
        <v>1089</v>
      </c>
      <c r="G14" s="318">
        <f>((G11)+(G12))+(G13)</f>
        <v>45696.63</v>
      </c>
      <c r="H14" s="318">
        <f>((H11)+(H12))+(H13)</f>
        <v>0</v>
      </c>
      <c r="L14" s="315" t="s">
        <v>1089</v>
      </c>
      <c r="M14" s="318">
        <f>((M11)+(M12))+(M13)</f>
        <v>66116.95</v>
      </c>
      <c r="N14" s="318">
        <f>((N11)+(N12))+(N13)</f>
        <v>0</v>
      </c>
      <c r="Q14" s="315" t="s">
        <v>1089</v>
      </c>
      <c r="R14" s="318">
        <f>((R11)+(R12))+(R13)</f>
        <v>77557.69</v>
      </c>
      <c r="S14" s="318">
        <f>((S11)+(S12))+(S13)</f>
        <v>0</v>
      </c>
      <c r="W14" s="315" t="s">
        <v>1089</v>
      </c>
      <c r="X14" s="318">
        <f>((X11)+(X12))+(X13)</f>
        <v>96653.49</v>
      </c>
      <c r="Y14" s="318">
        <f>((Y11)+(Y12))+(Y13)</f>
        <v>0</v>
      </c>
      <c r="AC14" s="315" t="s">
        <v>1089</v>
      </c>
      <c r="AD14" s="318">
        <f>((AD11)+(AD12))+(AD13)</f>
        <v>93203.87</v>
      </c>
      <c r="AE14" s="318">
        <f>((AE11)+(AE12))+(AE13)</f>
        <v>0</v>
      </c>
      <c r="AG14" s="315" t="s">
        <v>1089</v>
      </c>
      <c r="AH14" s="318">
        <f>((AH11)+(AH12))+(AH13)</f>
        <v>99130.22</v>
      </c>
      <c r="AI14" s="318">
        <f>((AI11)+(AI12))+(AI13)</f>
        <v>0</v>
      </c>
    </row>
    <row r="15" spans="1:35">
      <c r="A15" s="315" t="s">
        <v>1091</v>
      </c>
      <c r="B15" s="316"/>
      <c r="C15" s="316"/>
      <c r="F15" s="315" t="s">
        <v>1090</v>
      </c>
      <c r="G15" s="318">
        <f>G14</f>
        <v>45696.63</v>
      </c>
      <c r="H15" s="318">
        <f>H14</f>
        <v>0</v>
      </c>
      <c r="L15" s="315" t="s">
        <v>1090</v>
      </c>
      <c r="M15" s="318">
        <f>M14</f>
        <v>66116.95</v>
      </c>
      <c r="N15" s="318">
        <f>N14</f>
        <v>0</v>
      </c>
      <c r="Q15" s="315" t="s">
        <v>1090</v>
      </c>
      <c r="R15" s="318">
        <f>R14</f>
        <v>77557.69</v>
      </c>
      <c r="S15" s="318">
        <f>S14</f>
        <v>0</v>
      </c>
      <c r="W15" s="315" t="s">
        <v>1090</v>
      </c>
      <c r="X15" s="318">
        <f>X14</f>
        <v>96653.49</v>
      </c>
      <c r="Y15" s="318">
        <f>Y14</f>
        <v>0</v>
      </c>
      <c r="AC15" s="315" t="s">
        <v>1090</v>
      </c>
      <c r="AD15" s="318">
        <f>AD14</f>
        <v>93203.87</v>
      </c>
      <c r="AE15" s="318">
        <f>AE14</f>
        <v>0</v>
      </c>
      <c r="AG15" s="315" t="s">
        <v>1090</v>
      </c>
      <c r="AH15" s="318">
        <f>AH14</f>
        <v>99130.22</v>
      </c>
      <c r="AI15" s="318">
        <f>AI14</f>
        <v>0</v>
      </c>
    </row>
    <row r="16" spans="1:35" ht="23.25">
      <c r="A16" s="315" t="s">
        <v>1092</v>
      </c>
      <c r="B16" s="316"/>
      <c r="C16" s="316"/>
      <c r="F16" s="315" t="s">
        <v>1091</v>
      </c>
      <c r="G16" s="316"/>
      <c r="H16" s="316"/>
      <c r="L16" s="315" t="s">
        <v>1091</v>
      </c>
      <c r="M16" s="316"/>
      <c r="N16" s="316"/>
      <c r="Q16" s="315" t="s">
        <v>1091</v>
      </c>
      <c r="R16" s="316"/>
      <c r="S16" s="316"/>
      <c r="W16" s="315" t="s">
        <v>1091</v>
      </c>
      <c r="X16" s="316"/>
      <c r="Y16" s="316"/>
      <c r="AC16" s="315" t="s">
        <v>1091</v>
      </c>
      <c r="AD16" s="316"/>
      <c r="AE16" s="316"/>
      <c r="AG16" s="315" t="s">
        <v>1091</v>
      </c>
      <c r="AH16" s="316"/>
      <c r="AI16" s="316"/>
    </row>
    <row r="17" spans="1:35">
      <c r="A17" s="315" t="s">
        <v>1093</v>
      </c>
      <c r="B17" s="316"/>
      <c r="C17" s="316"/>
      <c r="F17" s="315" t="s">
        <v>1092</v>
      </c>
      <c r="G17" s="316"/>
      <c r="H17" s="316"/>
      <c r="L17" s="315" t="s">
        <v>1092</v>
      </c>
      <c r="M17" s="316"/>
      <c r="N17" s="316"/>
      <c r="Q17" s="315" t="s">
        <v>1092</v>
      </c>
      <c r="R17" s="316"/>
      <c r="S17" s="316"/>
      <c r="W17" s="315" t="s">
        <v>1092</v>
      </c>
      <c r="X17" s="316"/>
      <c r="Y17" s="316"/>
      <c r="AC17" s="315" t="s">
        <v>1092</v>
      </c>
      <c r="AD17" s="316"/>
      <c r="AE17" s="316"/>
      <c r="AG17" s="315" t="s">
        <v>1092</v>
      </c>
      <c r="AH17" s="316"/>
      <c r="AI17" s="316"/>
    </row>
    <row r="18" spans="1:35">
      <c r="A18" s="315" t="s">
        <v>1094</v>
      </c>
      <c r="B18" s="317">
        <f>4745</f>
        <v>4745</v>
      </c>
      <c r="C18" s="316"/>
      <c r="F18" s="315" t="s">
        <v>1093</v>
      </c>
      <c r="G18" s="317">
        <f>1850</f>
        <v>1850</v>
      </c>
      <c r="H18" s="316"/>
      <c r="L18" s="315" t="s">
        <v>1093</v>
      </c>
      <c r="M18" s="317">
        <f>0</f>
        <v>0</v>
      </c>
      <c r="N18" s="316"/>
      <c r="Q18" s="315" t="s">
        <v>1093</v>
      </c>
      <c r="R18" s="317">
        <f>4232</f>
        <v>4232</v>
      </c>
      <c r="S18" s="316"/>
      <c r="W18" s="315" t="s">
        <v>1093</v>
      </c>
      <c r="X18" s="317">
        <f>0</f>
        <v>0</v>
      </c>
      <c r="Y18" s="316"/>
      <c r="AC18" s="315" t="s">
        <v>1093</v>
      </c>
      <c r="AD18" s="317">
        <f>0</f>
        <v>0</v>
      </c>
      <c r="AE18" s="316"/>
      <c r="AG18" s="315" t="s">
        <v>1093</v>
      </c>
      <c r="AH18" s="317">
        <f>1327.04</f>
        <v>1327.04</v>
      </c>
      <c r="AI18" s="316"/>
    </row>
    <row r="19" spans="1:35" ht="23.25">
      <c r="A19" s="315" t="s">
        <v>1095</v>
      </c>
      <c r="B19" s="318">
        <f>(B17)+(B18)</f>
        <v>4745</v>
      </c>
      <c r="C19" s="318">
        <f>(C17)+(C18)</f>
        <v>0</v>
      </c>
      <c r="F19" s="315" t="s">
        <v>1094</v>
      </c>
      <c r="G19" s="317">
        <f>1850</f>
        <v>1850</v>
      </c>
      <c r="H19" s="316"/>
      <c r="L19" s="315" t="s">
        <v>1094</v>
      </c>
      <c r="M19" s="317">
        <f>2382</f>
        <v>2382</v>
      </c>
      <c r="N19" s="316"/>
      <c r="Q19" s="315" t="s">
        <v>1094</v>
      </c>
      <c r="R19" s="317">
        <f>4232</f>
        <v>4232</v>
      </c>
      <c r="S19" s="316"/>
      <c r="W19" s="315" t="s">
        <v>1094</v>
      </c>
      <c r="X19" s="317">
        <f>1900</f>
        <v>1900</v>
      </c>
      <c r="Y19" s="316"/>
      <c r="AC19" s="315" t="s">
        <v>1094</v>
      </c>
      <c r="AD19" s="317">
        <f>2138</f>
        <v>2138</v>
      </c>
      <c r="AE19" s="316"/>
      <c r="AG19" s="315" t="s">
        <v>1094</v>
      </c>
      <c r="AH19" s="317">
        <f>0</f>
        <v>0</v>
      </c>
      <c r="AI19" s="316"/>
    </row>
    <row r="20" spans="1:35">
      <c r="A20" s="315" t="s">
        <v>1096</v>
      </c>
      <c r="B20" s="318">
        <f>B19</f>
        <v>4745</v>
      </c>
      <c r="C20" s="318">
        <f>C19</f>
        <v>0</v>
      </c>
      <c r="F20" s="315" t="s">
        <v>1095</v>
      </c>
      <c r="G20" s="318">
        <f>(G18)+(G19)</f>
        <v>3700</v>
      </c>
      <c r="H20" s="318">
        <f>(H18)+(H19)</f>
        <v>0</v>
      </c>
      <c r="L20" s="315" t="s">
        <v>1095</v>
      </c>
      <c r="M20" s="318">
        <f>(M18)+(M19)</f>
        <v>2382</v>
      </c>
      <c r="N20" s="318">
        <f>(N18)+(N19)</f>
        <v>0</v>
      </c>
      <c r="Q20" s="315" t="s">
        <v>1095</v>
      </c>
      <c r="R20" s="318">
        <f>(R18)+(R19)</f>
        <v>8464</v>
      </c>
      <c r="S20" s="318">
        <f>(S18)+(S19)</f>
        <v>0</v>
      </c>
      <c r="W20" s="315" t="s">
        <v>1095</v>
      </c>
      <c r="X20" s="318">
        <f>(X18)+(X19)</f>
        <v>1900</v>
      </c>
      <c r="Y20" s="318">
        <f>(Y18)+(Y19)</f>
        <v>0</v>
      </c>
      <c r="AC20" s="315" t="s">
        <v>1095</v>
      </c>
      <c r="AD20" s="318">
        <f>(AD18)+(AD19)</f>
        <v>2138</v>
      </c>
      <c r="AE20" s="318">
        <f>(AE18)+(AE19)</f>
        <v>0</v>
      </c>
      <c r="AG20" s="315" t="s">
        <v>1095</v>
      </c>
      <c r="AH20" s="318">
        <f>(AH18)+(AH19)</f>
        <v>1327.04</v>
      </c>
      <c r="AI20" s="318">
        <f>(AI18)+(AI19)</f>
        <v>0</v>
      </c>
    </row>
    <row r="21" spans="1:35">
      <c r="A21" s="315" t="s">
        <v>1097</v>
      </c>
      <c r="B21" s="316"/>
      <c r="C21" s="316"/>
      <c r="F21" s="315" t="s">
        <v>1096</v>
      </c>
      <c r="G21" s="318">
        <f>G20</f>
        <v>3700</v>
      </c>
      <c r="H21" s="318">
        <f>H20</f>
        <v>0</v>
      </c>
      <c r="L21" s="315" t="s">
        <v>1096</v>
      </c>
      <c r="M21" s="318">
        <f>M20</f>
        <v>2382</v>
      </c>
      <c r="N21" s="318">
        <f>N20</f>
        <v>0</v>
      </c>
      <c r="Q21" s="315" t="s">
        <v>1096</v>
      </c>
      <c r="R21" s="318">
        <f>R20</f>
        <v>8464</v>
      </c>
      <c r="S21" s="318">
        <f>S20</f>
        <v>0</v>
      </c>
      <c r="W21" s="315" t="s">
        <v>1096</v>
      </c>
      <c r="X21" s="318">
        <f>X20</f>
        <v>1900</v>
      </c>
      <c r="Y21" s="318">
        <f>Y20</f>
        <v>0</v>
      </c>
      <c r="AC21" s="315" t="s">
        <v>1096</v>
      </c>
      <c r="AD21" s="318">
        <f>AD20</f>
        <v>2138</v>
      </c>
      <c r="AE21" s="318">
        <f>AE20</f>
        <v>0</v>
      </c>
      <c r="AG21" s="315" t="s">
        <v>1096</v>
      </c>
      <c r="AH21" s="318">
        <f>AH20</f>
        <v>1327.04</v>
      </c>
      <c r="AI21" s="318">
        <f>AI20</f>
        <v>0</v>
      </c>
    </row>
    <row r="22" spans="1:35">
      <c r="A22" s="315" t="s">
        <v>1098</v>
      </c>
      <c r="B22" s="317">
        <f>12877.86</f>
        <v>12877.86</v>
      </c>
      <c r="C22" s="316"/>
      <c r="F22" s="315" t="s">
        <v>1097</v>
      </c>
      <c r="G22" s="316"/>
      <c r="H22" s="316"/>
      <c r="L22" s="315" t="s">
        <v>1097</v>
      </c>
      <c r="M22" s="316"/>
      <c r="N22" s="316"/>
      <c r="Q22" s="315" t="s">
        <v>1097</v>
      </c>
      <c r="R22" s="316"/>
      <c r="S22" s="316"/>
      <c r="W22" s="315" t="s">
        <v>1097</v>
      </c>
      <c r="X22" s="316"/>
      <c r="Y22" s="316"/>
      <c r="AC22" s="315" t="s">
        <v>1097</v>
      </c>
      <c r="AD22" s="316"/>
      <c r="AE22" s="316"/>
      <c r="AG22" s="315" t="s">
        <v>1097</v>
      </c>
      <c r="AH22" s="316"/>
      <c r="AI22" s="316"/>
    </row>
    <row r="23" spans="1:35">
      <c r="A23" s="315" t="s">
        <v>1099</v>
      </c>
      <c r="B23" s="317">
        <f>23513.01</f>
        <v>23513.01</v>
      </c>
      <c r="C23" s="316"/>
      <c r="F23" s="315" t="s">
        <v>1098</v>
      </c>
      <c r="G23" s="317">
        <f>18483.62</f>
        <v>18483.62</v>
      </c>
      <c r="H23" s="316"/>
      <c r="L23" s="315" t="s">
        <v>1098</v>
      </c>
      <c r="M23" s="317">
        <f>40221.94</f>
        <v>40221.94</v>
      </c>
      <c r="N23" s="316"/>
      <c r="Q23" s="315" t="s">
        <v>1098</v>
      </c>
      <c r="R23" s="317">
        <f>45580.68</f>
        <v>45580.68</v>
      </c>
      <c r="S23" s="316"/>
      <c r="W23" s="315" t="s">
        <v>1098</v>
      </c>
      <c r="X23" s="317">
        <f>71240.48</f>
        <v>71240.479999999996</v>
      </c>
      <c r="Y23" s="316"/>
      <c r="AC23" s="315" t="s">
        <v>1098</v>
      </c>
      <c r="AD23" s="317">
        <f>67552.86</f>
        <v>67552.86</v>
      </c>
      <c r="AE23" s="316"/>
      <c r="AG23" s="315" t="s">
        <v>1098</v>
      </c>
      <c r="AH23" s="317">
        <f>74290.17</f>
        <v>74290.17</v>
      </c>
      <c r="AI23" s="316"/>
    </row>
    <row r="24" spans="1:35">
      <c r="A24" s="315" t="s">
        <v>1100</v>
      </c>
      <c r="B24" s="318">
        <f>(B22)+(B23)</f>
        <v>36390.869999999995</v>
      </c>
      <c r="C24" s="318">
        <f>(C22)+(C23)</f>
        <v>0</v>
      </c>
      <c r="F24" s="315" t="s">
        <v>1099</v>
      </c>
      <c r="G24" s="317">
        <f>23513.01</f>
        <v>23513.01</v>
      </c>
      <c r="H24" s="316"/>
      <c r="L24" s="315" t="s">
        <v>1099</v>
      </c>
      <c r="M24" s="317">
        <f>23513.01</f>
        <v>23513.01</v>
      </c>
      <c r="N24" s="316"/>
      <c r="Q24" s="315" t="s">
        <v>1099</v>
      </c>
      <c r="R24" s="317">
        <f>23513.01</f>
        <v>23513.01</v>
      </c>
      <c r="S24" s="316"/>
      <c r="W24" s="315" t="s">
        <v>1099</v>
      </c>
      <c r="X24" s="317">
        <f>23513.01</f>
        <v>23513.01</v>
      </c>
      <c r="Y24" s="316"/>
      <c r="AC24" s="315" t="s">
        <v>1099</v>
      </c>
      <c r="AD24" s="317">
        <f>23513.01</f>
        <v>23513.01</v>
      </c>
      <c r="AE24" s="316"/>
      <c r="AG24" s="315" t="s">
        <v>1099</v>
      </c>
      <c r="AH24" s="317">
        <f>23513.01</f>
        <v>23513.01</v>
      </c>
      <c r="AI24" s="316"/>
    </row>
    <row r="25" spans="1:35">
      <c r="A25" s="315" t="s">
        <v>1101</v>
      </c>
      <c r="B25" s="318">
        <f>(B20)+(B24)</f>
        <v>41135.869999999995</v>
      </c>
      <c r="C25" s="318">
        <f>(C20)+(C24)</f>
        <v>0</v>
      </c>
      <c r="F25" s="315" t="s">
        <v>1100</v>
      </c>
      <c r="G25" s="318">
        <f>(G23)+(G24)</f>
        <v>41996.63</v>
      </c>
      <c r="H25" s="318">
        <f>(H23)+(H24)</f>
        <v>0</v>
      </c>
      <c r="L25" s="315" t="s">
        <v>1100</v>
      </c>
      <c r="M25" s="318">
        <f>(M23)+(M24)</f>
        <v>63734.95</v>
      </c>
      <c r="N25" s="318">
        <f>(N23)+(N24)</f>
        <v>0</v>
      </c>
      <c r="Q25" s="315" t="s">
        <v>1100</v>
      </c>
      <c r="R25" s="318">
        <f>(R23)+(R24)</f>
        <v>69093.69</v>
      </c>
      <c r="S25" s="318">
        <f>(S23)+(S24)</f>
        <v>0</v>
      </c>
      <c r="W25" s="315" t="s">
        <v>1100</v>
      </c>
      <c r="X25" s="318">
        <f>(X23)+(X24)</f>
        <v>94753.489999999991</v>
      </c>
      <c r="Y25" s="318">
        <f>(Y23)+(Y24)</f>
        <v>0</v>
      </c>
      <c r="AC25" s="315" t="s">
        <v>1100</v>
      </c>
      <c r="AD25" s="318">
        <f>(AD23)+(AD24)</f>
        <v>91065.87</v>
      </c>
      <c r="AE25" s="318">
        <f>(AE23)+(AE24)</f>
        <v>0</v>
      </c>
      <c r="AG25" s="315" t="s">
        <v>1100</v>
      </c>
      <c r="AH25" s="318">
        <f>(AH23)+(AH24)</f>
        <v>97803.18</v>
      </c>
      <c r="AI25" s="318">
        <f>(AI23)+(AI24)</f>
        <v>0</v>
      </c>
    </row>
    <row r="26" spans="1:35">
      <c r="A26" s="315"/>
      <c r="B26" s="316"/>
      <c r="C26" s="316"/>
      <c r="F26" s="315" t="s">
        <v>1101</v>
      </c>
      <c r="G26" s="318">
        <f>(G21)+(G25)</f>
        <v>45696.63</v>
      </c>
      <c r="H26" s="318">
        <f>(H21)+(H25)</f>
        <v>0</v>
      </c>
      <c r="L26" s="315" t="s">
        <v>1101</v>
      </c>
      <c r="M26" s="318">
        <f>(M21)+(M25)</f>
        <v>66116.95</v>
      </c>
      <c r="N26" s="318">
        <f>(N21)+(N25)</f>
        <v>0</v>
      </c>
      <c r="Q26" s="315" t="s">
        <v>1101</v>
      </c>
      <c r="R26" s="318">
        <f>(R21)+(R25)</f>
        <v>77557.69</v>
      </c>
      <c r="S26" s="318">
        <f>(S21)+(S25)</f>
        <v>0</v>
      </c>
      <c r="W26" s="315" t="s">
        <v>1101</v>
      </c>
      <c r="X26" s="318">
        <f>(X21)+(X25)</f>
        <v>96653.489999999991</v>
      </c>
      <c r="Y26" s="318">
        <f>(Y21)+(Y25)</f>
        <v>0</v>
      </c>
      <c r="AC26" s="315" t="s">
        <v>1101</v>
      </c>
      <c r="AD26" s="318">
        <f>(AD21)+(AD25)</f>
        <v>93203.87</v>
      </c>
      <c r="AE26" s="318">
        <f>(AE21)+(AE25)</f>
        <v>0</v>
      </c>
      <c r="AG26" s="315" t="s">
        <v>1101</v>
      </c>
      <c r="AH26" s="318">
        <f>(AH21)+(AH25)</f>
        <v>99130.219999999987</v>
      </c>
      <c r="AI26" s="318">
        <f>(AI21)+(AI25)</f>
        <v>0</v>
      </c>
    </row>
    <row r="27" spans="1:35">
      <c r="F27" s="315"/>
      <c r="G27" s="316"/>
      <c r="H27" s="316"/>
      <c r="L27" s="315"/>
      <c r="M27" s="316"/>
      <c r="N27" s="316"/>
      <c r="Q27" s="315"/>
      <c r="R27" s="316"/>
      <c r="S27" s="316"/>
      <c r="W27" s="315"/>
      <c r="X27" s="316"/>
      <c r="Y27" s="316"/>
      <c r="AC27" s="315"/>
      <c r="AD27" s="316"/>
      <c r="AE27" s="316"/>
      <c r="AG27" s="315"/>
      <c r="AH27" s="316"/>
      <c r="AI27" s="316"/>
    </row>
    <row r="29" spans="1:35">
      <c r="A29" s="354" t="s">
        <v>1102</v>
      </c>
      <c r="B29" s="353"/>
      <c r="C29" s="353"/>
    </row>
    <row r="30" spans="1:35">
      <c r="F30" s="354" t="s">
        <v>1107</v>
      </c>
      <c r="G30" s="353"/>
      <c r="H30" s="353"/>
      <c r="L30" s="354" t="s">
        <v>1111</v>
      </c>
      <c r="M30" s="353"/>
      <c r="N30" s="353"/>
      <c r="Q30" s="354" t="s">
        <v>1115</v>
      </c>
      <c r="R30" s="353"/>
      <c r="S30" s="353"/>
      <c r="W30" s="354" t="s">
        <v>1118</v>
      </c>
      <c r="X30" s="353"/>
      <c r="Y30" s="353"/>
      <c r="AC30" s="354" t="s">
        <v>1122</v>
      </c>
      <c r="AD30" s="353"/>
      <c r="AE30" s="353"/>
      <c r="AG30" s="354" t="s">
        <v>1126</v>
      </c>
      <c r="AH30" s="353"/>
      <c r="AI30" s="353"/>
    </row>
  </sheetData>
  <mergeCells count="35">
    <mergeCell ref="AG1:AI1"/>
    <mergeCell ref="A2:C2"/>
    <mergeCell ref="F2:H2"/>
    <mergeCell ref="L2:N2"/>
    <mergeCell ref="Q2:S2"/>
    <mergeCell ref="W2:Y2"/>
    <mergeCell ref="AC2:AE2"/>
    <mergeCell ref="AG2:AI2"/>
    <mergeCell ref="A1:C1"/>
    <mergeCell ref="F1:H1"/>
    <mergeCell ref="L1:N1"/>
    <mergeCell ref="Q1:S1"/>
    <mergeCell ref="W1:Y1"/>
    <mergeCell ref="AC1:AE1"/>
    <mergeCell ref="AG3:AI3"/>
    <mergeCell ref="B5:C5"/>
    <mergeCell ref="G5:H5"/>
    <mergeCell ref="M5:N5"/>
    <mergeCell ref="R5:S5"/>
    <mergeCell ref="X5:Y5"/>
    <mergeCell ref="AD5:AE5"/>
    <mergeCell ref="AH5:AI5"/>
    <mergeCell ref="A3:C3"/>
    <mergeCell ref="F3:H3"/>
    <mergeCell ref="L3:N3"/>
    <mergeCell ref="Q3:S3"/>
    <mergeCell ref="W3:Y3"/>
    <mergeCell ref="AC3:AE3"/>
    <mergeCell ref="AG30:AI30"/>
    <mergeCell ref="A29:C29"/>
    <mergeCell ref="F30:H30"/>
    <mergeCell ref="L30:N30"/>
    <mergeCell ref="Q30:S30"/>
    <mergeCell ref="W30:Y30"/>
    <mergeCell ref="AC30:AE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5.140625" defaultRowHeight="15" customHeight="1"/>
  <cols>
    <col min="1" max="1" width="6.7109375" customWidth="1"/>
    <col min="2" max="2" width="37" customWidth="1"/>
    <col min="3" max="3" width="34" customWidth="1"/>
    <col min="4" max="13" width="6.7109375" customWidth="1"/>
    <col min="14" max="26" width="13.28515625" customWidth="1"/>
  </cols>
  <sheetData>
    <row r="1" spans="1:26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1"/>
      <c r="B3" s="5" t="s">
        <v>2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7" t="s">
        <v>6</v>
      </c>
      <c r="C6" s="7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9" t="s">
        <v>11</v>
      </c>
      <c r="C7" s="10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9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9" t="s">
        <v>17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9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3"/>
      <c r="B11" s="9" t="s">
        <v>24</v>
      </c>
      <c r="C11" s="10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9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9" t="s">
        <v>32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9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9" t="s">
        <v>36</v>
      </c>
      <c r="C15" s="10" t="s">
        <v>37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3"/>
      <c r="B17" s="9" t="s">
        <v>40</v>
      </c>
      <c r="C17" s="10" t="s">
        <v>41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9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3"/>
      <c r="B19" s="9" t="s">
        <v>42</v>
      </c>
      <c r="C19" s="10" t="s">
        <v>43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9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9" t="s">
        <v>46</v>
      </c>
      <c r="C21" s="10" t="s">
        <v>47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9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9" t="s">
        <v>52</v>
      </c>
      <c r="C23" s="10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9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9" t="s">
        <v>56</v>
      </c>
      <c r="C25" s="10" t="s">
        <v>57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9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9" t="s">
        <v>59</v>
      </c>
      <c r="C27" s="10" t="s">
        <v>60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5.140625" defaultRowHeight="15" customHeight="1"/>
  <cols>
    <col min="1" max="12" width="6.7109375" customWidth="1"/>
    <col min="13" max="26" width="13.28515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1"/>
      <c r="B3" s="3" t="s">
        <v>0</v>
      </c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showGridLines="0" workbookViewId="0"/>
  </sheetViews>
  <sheetFormatPr defaultColWidth="15.140625" defaultRowHeight="15" customHeight="1"/>
  <cols>
    <col min="1" max="1" width="2.28515625" customWidth="1"/>
    <col min="2" max="2" width="7" customWidth="1"/>
    <col min="3" max="3" width="30.85546875" customWidth="1"/>
    <col min="4" max="4" width="7" customWidth="1"/>
    <col min="5" max="6" width="9.7109375" customWidth="1"/>
    <col min="7" max="7" width="15.85546875" customWidth="1"/>
    <col min="8" max="8" width="7" customWidth="1"/>
    <col min="9" max="9" width="26.85546875" customWidth="1"/>
    <col min="10" max="10" width="7" customWidth="1"/>
    <col min="11" max="11" width="19.140625" customWidth="1"/>
    <col min="12" max="12" width="11.42578125" customWidth="1"/>
    <col min="13" max="13" width="12.85546875" customWidth="1"/>
    <col min="14" max="24" width="7" customWidth="1"/>
    <col min="25" max="26" width="13.28515625" customWidth="1"/>
  </cols>
  <sheetData>
    <row r="1" spans="1:26" ht="12.7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2"/>
      <c r="B2" s="5" t="s">
        <v>72</v>
      </c>
      <c r="C2" s="5"/>
      <c r="D2" s="2"/>
      <c r="E2" s="2"/>
      <c r="F2" s="2"/>
      <c r="G2" s="2"/>
      <c r="H2" s="2"/>
      <c r="I2" s="5" t="s">
        <v>73</v>
      </c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/>
      <c r="B3" s="2"/>
      <c r="C3" s="2"/>
      <c r="D3" s="2"/>
      <c r="E3" s="2"/>
      <c r="F3" s="2"/>
      <c r="G3" s="2"/>
      <c r="H3" s="2"/>
      <c r="I3" s="16"/>
      <c r="J3" s="16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"/>
      <c r="B4" s="2"/>
      <c r="C4" s="16"/>
      <c r="D4" s="2"/>
      <c r="E4" s="17" t="s">
        <v>74</v>
      </c>
      <c r="F4" s="17" t="s">
        <v>74</v>
      </c>
      <c r="G4" s="17" t="s">
        <v>74</v>
      </c>
      <c r="H4" s="2"/>
      <c r="I4" s="18"/>
      <c r="J4" s="18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5"/>
      <c r="B5" s="15"/>
      <c r="C5" s="2"/>
      <c r="D5" s="2"/>
      <c r="E5" s="19">
        <v>42736</v>
      </c>
      <c r="F5" s="19">
        <v>42767</v>
      </c>
      <c r="G5" s="19">
        <v>42795</v>
      </c>
      <c r="H5" s="2"/>
      <c r="I5" s="15"/>
      <c r="J5" s="15"/>
      <c r="K5" s="20"/>
      <c r="L5" s="20"/>
      <c r="M5" s="20"/>
      <c r="N5" s="20"/>
      <c r="O5" s="15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" customHeight="1">
      <c r="A6" s="21"/>
      <c r="B6" s="15"/>
      <c r="C6" s="22" t="s">
        <v>75</v>
      </c>
      <c r="D6" s="2"/>
      <c r="E6" s="2"/>
      <c r="F6" s="2"/>
      <c r="G6" s="2"/>
      <c r="H6" s="2"/>
      <c r="I6" s="21"/>
      <c r="J6" s="21"/>
      <c r="K6" s="23" t="s">
        <v>76</v>
      </c>
      <c r="L6" s="23" t="s">
        <v>77</v>
      </c>
      <c r="M6" s="23" t="s">
        <v>78</v>
      </c>
      <c r="N6" s="24" t="s">
        <v>79</v>
      </c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25"/>
      <c r="B7" s="15"/>
      <c r="C7" s="26" t="s">
        <v>80</v>
      </c>
      <c r="D7" s="2"/>
      <c r="E7" s="2"/>
      <c r="F7" s="2"/>
      <c r="G7" s="2"/>
      <c r="H7" s="2"/>
      <c r="I7" s="26" t="s">
        <v>81</v>
      </c>
      <c r="J7" s="26"/>
      <c r="K7" s="27"/>
      <c r="L7" s="27"/>
      <c r="M7" s="27"/>
      <c r="N7" s="27"/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25"/>
      <c r="B8" s="15"/>
      <c r="C8" s="26" t="s">
        <v>82</v>
      </c>
      <c r="D8" s="2"/>
      <c r="E8" s="28"/>
      <c r="F8" s="28"/>
      <c r="G8" s="28"/>
      <c r="H8" s="28"/>
      <c r="I8" s="26" t="s">
        <v>83</v>
      </c>
      <c r="J8" s="26"/>
      <c r="K8" s="29"/>
      <c r="L8" s="29"/>
      <c r="M8" s="29"/>
      <c r="N8" s="30"/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25"/>
      <c r="B9" s="15"/>
      <c r="C9" s="26" t="s">
        <v>84</v>
      </c>
      <c r="D9" s="2"/>
      <c r="E9" s="28"/>
      <c r="F9" s="28"/>
      <c r="G9" s="28"/>
      <c r="H9" s="28"/>
      <c r="I9" s="26" t="s">
        <v>85</v>
      </c>
      <c r="J9" s="26"/>
      <c r="K9" s="31"/>
      <c r="L9" s="31"/>
      <c r="M9" s="31"/>
      <c r="N9" s="32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25"/>
      <c r="B10" s="15"/>
      <c r="C10" s="26" t="s">
        <v>86</v>
      </c>
      <c r="D10" s="2"/>
      <c r="E10" s="31"/>
      <c r="F10" s="31"/>
      <c r="G10" s="31"/>
      <c r="H10" s="28"/>
      <c r="I10" s="26" t="s">
        <v>87</v>
      </c>
      <c r="J10" s="26"/>
      <c r="K10" s="28"/>
      <c r="L10" s="28"/>
      <c r="M10" s="28"/>
      <c r="N10" s="30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25"/>
      <c r="B11" s="15"/>
      <c r="C11" s="26" t="s">
        <v>88</v>
      </c>
      <c r="D11" s="2"/>
      <c r="E11" s="28"/>
      <c r="F11" s="28"/>
      <c r="G11" s="28"/>
      <c r="H11" s="28"/>
      <c r="I11" s="26" t="s">
        <v>89</v>
      </c>
      <c r="J11" s="26"/>
      <c r="K11" s="28"/>
      <c r="L11" s="28"/>
      <c r="M11" s="28"/>
      <c r="N11" s="30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25"/>
      <c r="B12" s="15"/>
      <c r="C12" s="26" t="s">
        <v>90</v>
      </c>
      <c r="D12" s="2"/>
      <c r="E12" s="2"/>
      <c r="F12" s="2"/>
      <c r="G12" s="2"/>
      <c r="H12" s="2"/>
      <c r="I12" s="26" t="s">
        <v>91</v>
      </c>
      <c r="J12" s="26"/>
      <c r="K12" s="28"/>
      <c r="L12" s="28"/>
      <c r="M12" s="28"/>
      <c r="N12" s="30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5"/>
      <c r="B13" s="15"/>
      <c r="C13" s="26" t="s">
        <v>92</v>
      </c>
      <c r="D13" s="2"/>
      <c r="E13" s="2"/>
      <c r="F13" s="2"/>
      <c r="G13" s="2"/>
      <c r="H13" s="2"/>
      <c r="I13" s="33" t="s">
        <v>93</v>
      </c>
      <c r="J13" s="33"/>
      <c r="K13" s="34"/>
      <c r="L13" s="34"/>
      <c r="M13" s="34"/>
      <c r="N13" s="3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5"/>
      <c r="B14" s="15"/>
      <c r="C14" s="26" t="s">
        <v>94</v>
      </c>
      <c r="D14" s="2"/>
      <c r="E14" s="31"/>
      <c r="F14" s="31"/>
      <c r="G14" s="31"/>
      <c r="H14" s="28"/>
      <c r="I14" s="15"/>
      <c r="J14" s="15"/>
      <c r="K14" s="15"/>
      <c r="L14" s="15"/>
      <c r="M14" s="15"/>
      <c r="N14" s="15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5"/>
      <c r="B15" s="15"/>
      <c r="C15" s="26" t="s">
        <v>95</v>
      </c>
      <c r="D15" s="2"/>
      <c r="E15" s="28"/>
      <c r="F15" s="28"/>
      <c r="G15" s="28"/>
      <c r="H15" s="28"/>
      <c r="I15" s="15"/>
      <c r="J15" s="15"/>
      <c r="K15" s="15"/>
      <c r="L15" s="15"/>
      <c r="M15" s="15"/>
      <c r="N15" s="15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5"/>
      <c r="B16" s="15"/>
      <c r="C16" s="26" t="s">
        <v>96</v>
      </c>
      <c r="D16" s="2"/>
      <c r="E16" s="38"/>
      <c r="F16" s="38"/>
      <c r="G16" s="38"/>
      <c r="H16" s="28"/>
      <c r="I16" s="15"/>
      <c r="J16" s="15"/>
      <c r="K16" s="15"/>
      <c r="L16" s="15"/>
      <c r="M16" s="15"/>
      <c r="N16" s="15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5"/>
      <c r="B17" s="15"/>
      <c r="C17" s="16"/>
      <c r="D17" s="2"/>
      <c r="E17" s="2"/>
      <c r="F17" s="2"/>
      <c r="G17" s="2"/>
      <c r="H17" s="2"/>
      <c r="I17" s="15"/>
      <c r="J17" s="15"/>
      <c r="K17" s="15"/>
      <c r="L17" s="15"/>
      <c r="M17" s="15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5"/>
      <c r="B18" s="15"/>
      <c r="C18" s="22" t="s">
        <v>97</v>
      </c>
      <c r="D18" s="2"/>
      <c r="E18" s="2"/>
      <c r="F18" s="2"/>
      <c r="G18" s="2"/>
      <c r="H18" s="2"/>
      <c r="I18" s="15"/>
      <c r="J18" s="15"/>
      <c r="K18" s="15"/>
      <c r="L18" s="15"/>
      <c r="M18" s="15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5"/>
      <c r="B19" s="15"/>
      <c r="C19" s="26" t="s">
        <v>98</v>
      </c>
      <c r="D19" s="2"/>
      <c r="E19" s="2"/>
      <c r="F19" s="2"/>
      <c r="G19" s="2"/>
      <c r="H19" s="2"/>
      <c r="I19" s="15"/>
      <c r="J19" s="15"/>
      <c r="K19" s="15"/>
      <c r="L19" s="15"/>
      <c r="M19" s="15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5"/>
      <c r="B20" s="15"/>
      <c r="C20" s="26" t="s">
        <v>99</v>
      </c>
      <c r="D20" s="2"/>
      <c r="E20" s="28"/>
      <c r="F20" s="28"/>
      <c r="G20" s="28"/>
      <c r="H20" s="28"/>
      <c r="I20" s="15"/>
      <c r="J20" s="15"/>
      <c r="K20" s="15"/>
      <c r="L20" s="15"/>
      <c r="M20" s="15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5"/>
      <c r="B21" s="15"/>
      <c r="C21" s="26" t="s">
        <v>100</v>
      </c>
      <c r="D21" s="2"/>
      <c r="E21" s="28"/>
      <c r="F21" s="28"/>
      <c r="G21" s="28"/>
      <c r="H21" s="28"/>
      <c r="I21" s="15"/>
      <c r="J21" s="15"/>
      <c r="K21" s="15"/>
      <c r="L21" s="15"/>
      <c r="M21" s="15"/>
      <c r="N21" s="15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5"/>
      <c r="B22" s="15"/>
      <c r="C22" s="26" t="s">
        <v>101</v>
      </c>
      <c r="D22" s="2"/>
      <c r="E22" s="28"/>
      <c r="F22" s="28"/>
      <c r="G22" s="28"/>
      <c r="H22" s="28"/>
      <c r="I22" s="15"/>
      <c r="J22" s="15"/>
      <c r="K22" s="15"/>
      <c r="L22" s="15"/>
      <c r="M22" s="15"/>
      <c r="N22" s="15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5"/>
      <c r="B23" s="15"/>
      <c r="C23" s="26" t="s">
        <v>102</v>
      </c>
      <c r="D23" s="2"/>
      <c r="E23" s="31"/>
      <c r="F23" s="31"/>
      <c r="G23" s="31"/>
      <c r="H23" s="28"/>
      <c r="I23" s="15"/>
      <c r="J23" s="15"/>
      <c r="K23" s="15"/>
      <c r="L23" s="15"/>
      <c r="M23" s="15"/>
      <c r="N23" s="15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5"/>
      <c r="B24" s="15"/>
      <c r="C24" s="26" t="s">
        <v>103</v>
      </c>
      <c r="D24" s="2"/>
      <c r="E24" s="28"/>
      <c r="F24" s="28"/>
      <c r="G24" s="28"/>
      <c r="H24" s="28"/>
      <c r="I24" s="15"/>
      <c r="J24" s="15"/>
      <c r="K24" s="15"/>
      <c r="L24" s="15"/>
      <c r="M24" s="15"/>
      <c r="N24" s="15"/>
      <c r="O24" s="1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5"/>
      <c r="B25" s="15"/>
      <c r="C25" s="26" t="s">
        <v>104</v>
      </c>
      <c r="D25" s="2"/>
      <c r="E25" s="28"/>
      <c r="F25" s="28"/>
      <c r="G25" s="28"/>
      <c r="H25" s="28"/>
      <c r="I25" s="15"/>
      <c r="J25" s="15"/>
      <c r="K25" s="15"/>
      <c r="L25" s="15"/>
      <c r="M25" s="15"/>
      <c r="N25" s="15"/>
      <c r="O25" s="1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5"/>
      <c r="B26" s="15"/>
      <c r="C26" s="26" t="s">
        <v>105</v>
      </c>
      <c r="D26" s="2"/>
      <c r="E26" s="44"/>
      <c r="F26" s="44"/>
      <c r="G26" s="44"/>
      <c r="H26" s="28"/>
      <c r="I26" s="15"/>
      <c r="J26" s="15"/>
      <c r="K26" s="15"/>
      <c r="L26" s="15"/>
      <c r="M26" s="15"/>
      <c r="N26" s="15"/>
      <c r="O26" s="1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5"/>
      <c r="B27" s="15"/>
      <c r="C27" s="26" t="s">
        <v>107</v>
      </c>
      <c r="D27" s="2"/>
      <c r="E27" s="2"/>
      <c r="F27" s="2"/>
      <c r="G27" s="2"/>
      <c r="H27" s="2"/>
      <c r="I27" s="15"/>
      <c r="J27" s="15"/>
      <c r="K27" s="15"/>
      <c r="L27" s="15"/>
      <c r="M27" s="15"/>
      <c r="N27" s="15"/>
      <c r="O27" s="1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5"/>
      <c r="B28" s="15"/>
      <c r="C28" s="26" t="s">
        <v>108</v>
      </c>
      <c r="D28" s="2"/>
      <c r="E28" s="28"/>
      <c r="F28" s="28"/>
      <c r="G28" s="28"/>
      <c r="H28" s="28"/>
      <c r="I28" s="15"/>
      <c r="J28" s="15"/>
      <c r="K28" s="15"/>
      <c r="L28" s="15"/>
      <c r="M28" s="15"/>
      <c r="N28" s="15"/>
      <c r="O28" s="1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5"/>
      <c r="B29" s="15"/>
      <c r="C29" s="26" t="s">
        <v>109</v>
      </c>
      <c r="D29" s="2"/>
      <c r="E29" s="31"/>
      <c r="F29" s="31"/>
      <c r="G29" s="31"/>
      <c r="H29" s="28"/>
      <c r="I29" s="15"/>
      <c r="J29" s="15"/>
      <c r="K29" s="15"/>
      <c r="L29" s="15"/>
      <c r="M29" s="15"/>
      <c r="N29" s="15"/>
      <c r="O29" s="1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5"/>
      <c r="B30" s="15"/>
      <c r="C30" s="26" t="s">
        <v>111</v>
      </c>
      <c r="D30" s="2"/>
      <c r="E30" s="44"/>
      <c r="F30" s="44"/>
      <c r="G30" s="44"/>
      <c r="H30" s="28"/>
      <c r="I30" s="15"/>
      <c r="J30" s="15"/>
      <c r="K30" s="15"/>
      <c r="L30" s="15"/>
      <c r="M30" s="15"/>
      <c r="N30" s="15"/>
      <c r="O30" s="1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5"/>
      <c r="B31" s="15"/>
      <c r="C31" s="22" t="s">
        <v>112</v>
      </c>
      <c r="D31" s="2"/>
      <c r="E31" s="38"/>
      <c r="F31" s="38"/>
      <c r="G31" s="38"/>
      <c r="H31" s="28"/>
      <c r="I31" s="15"/>
      <c r="J31" s="15"/>
      <c r="K31" s="15"/>
      <c r="L31" s="15"/>
      <c r="M31" s="15"/>
      <c r="N31" s="15"/>
      <c r="O31" s="1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5"/>
      <c r="B32" s="15"/>
      <c r="C32" s="2"/>
      <c r="D32" s="2"/>
      <c r="E32" s="46"/>
      <c r="F32" s="46"/>
      <c r="G32" s="46"/>
      <c r="H32" s="2"/>
      <c r="I32" s="15"/>
      <c r="J32" s="15"/>
      <c r="K32" s="15"/>
      <c r="L32" s="15"/>
      <c r="M32" s="15"/>
      <c r="N32" s="15"/>
      <c r="O32" s="1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5"/>
      <c r="B40" s="15"/>
      <c r="C40" s="15" t="s">
        <v>115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Z1000"/>
  <sheetViews>
    <sheetView showGridLines="0" workbookViewId="0"/>
  </sheetViews>
  <sheetFormatPr defaultColWidth="15.140625" defaultRowHeight="15" customHeight="1"/>
  <cols>
    <col min="1" max="1" width="4.140625" customWidth="1"/>
    <col min="2" max="2" width="8" customWidth="1"/>
    <col min="3" max="3" width="13.42578125" customWidth="1"/>
    <col min="4" max="4" width="15.85546875" customWidth="1"/>
    <col min="5" max="10" width="13.42578125" customWidth="1"/>
    <col min="11" max="11" width="1.85546875" customWidth="1"/>
    <col min="12" max="20" width="13.42578125" customWidth="1"/>
    <col min="21" max="21" width="0.85546875" customWidth="1"/>
    <col min="22" max="22" width="13.42578125" customWidth="1"/>
    <col min="23" max="23" width="19.140625" customWidth="1"/>
    <col min="24" max="26" width="6.7109375" customWidth="1"/>
  </cols>
  <sheetData>
    <row r="1" spans="1:26" ht="12.75" customHeight="1">
      <c r="A1" s="36"/>
      <c r="B1" s="37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15"/>
      <c r="Y1" s="1"/>
      <c r="Z1" s="1"/>
    </row>
    <row r="2" spans="1:26" ht="12.75" customHeight="1">
      <c r="A2" s="40"/>
      <c r="B2" s="37"/>
      <c r="C2" s="39"/>
      <c r="D2" s="39"/>
      <c r="E2" s="39"/>
      <c r="F2" s="39"/>
      <c r="G2" s="39"/>
      <c r="H2" s="39"/>
      <c r="I2" s="39"/>
      <c r="J2" s="39"/>
      <c r="K2" s="39"/>
      <c r="L2" s="39"/>
      <c r="M2" s="41"/>
      <c r="N2" s="39"/>
      <c r="O2" s="39"/>
      <c r="P2" s="39"/>
      <c r="Q2" s="39"/>
      <c r="R2" s="39"/>
      <c r="S2" s="39"/>
      <c r="T2" s="39"/>
      <c r="U2" s="39"/>
      <c r="V2" s="39"/>
      <c r="W2" s="39"/>
      <c r="X2" s="15"/>
      <c r="Y2" s="1"/>
      <c r="Z2" s="1"/>
    </row>
    <row r="3" spans="1:26" ht="19.5" customHeight="1">
      <c r="A3" s="5" t="s">
        <v>106</v>
      </c>
      <c r="B3" s="5"/>
      <c r="C3" s="42"/>
      <c r="D3" s="43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15"/>
      <c r="Y3" s="1"/>
      <c r="Z3" s="1"/>
    </row>
    <row r="4" spans="1:26" ht="12.75" customHeight="1">
      <c r="A4" s="36"/>
      <c r="B4" s="37"/>
      <c r="C4" s="39"/>
      <c r="D4" s="39"/>
      <c r="E4" s="39"/>
      <c r="F4" s="39"/>
      <c r="G4" s="39"/>
      <c r="H4" s="39"/>
      <c r="I4" s="39"/>
      <c r="J4" s="39"/>
      <c r="K4" s="39"/>
      <c r="L4" s="39"/>
      <c r="M4" s="45"/>
      <c r="N4" s="39"/>
      <c r="O4" s="39"/>
      <c r="P4" s="39"/>
      <c r="Q4" s="39"/>
      <c r="R4" s="39"/>
      <c r="S4" s="39"/>
      <c r="T4" s="39"/>
      <c r="U4" s="39"/>
      <c r="V4" s="39"/>
      <c r="W4" s="39"/>
      <c r="X4" s="15"/>
      <c r="Y4" s="1"/>
      <c r="Z4" s="1"/>
    </row>
    <row r="5" spans="1:26" ht="12.75" customHeight="1">
      <c r="A5" s="40"/>
      <c r="B5" s="37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15"/>
      <c r="Y5" s="1"/>
      <c r="Z5" s="1"/>
    </row>
    <row r="6" spans="1:26" ht="15.75" customHeight="1">
      <c r="A6" s="37"/>
      <c r="B6" s="37"/>
      <c r="C6" s="358" t="s">
        <v>110</v>
      </c>
      <c r="D6" s="359"/>
      <c r="E6" s="359"/>
      <c r="F6" s="359"/>
      <c r="G6" s="359"/>
      <c r="H6" s="359"/>
      <c r="I6" s="359"/>
      <c r="J6" s="359"/>
      <c r="K6" s="47"/>
      <c r="L6" s="358" t="s">
        <v>113</v>
      </c>
      <c r="M6" s="359"/>
      <c r="N6" s="359"/>
      <c r="O6" s="359"/>
      <c r="P6" s="359"/>
      <c r="Q6" s="359"/>
      <c r="R6" s="359"/>
      <c r="S6" s="359"/>
      <c r="T6" s="359"/>
      <c r="U6" s="47"/>
      <c r="V6" s="39"/>
      <c r="W6" s="39"/>
      <c r="X6" s="15"/>
      <c r="Y6" s="1"/>
      <c r="Z6" s="1"/>
    </row>
    <row r="7" spans="1:26" ht="60" customHeight="1">
      <c r="A7" s="48" t="s">
        <v>114</v>
      </c>
      <c r="B7" s="48" t="s">
        <v>116</v>
      </c>
      <c r="C7" s="49" t="s">
        <v>117</v>
      </c>
      <c r="D7" s="360" t="s">
        <v>118</v>
      </c>
      <c r="E7" s="361"/>
      <c r="F7" s="361"/>
      <c r="G7" s="361"/>
      <c r="H7" s="362"/>
      <c r="I7" s="49" t="s">
        <v>119</v>
      </c>
      <c r="J7" s="49" t="s">
        <v>120</v>
      </c>
      <c r="K7" s="50"/>
      <c r="L7" s="49" t="s">
        <v>121</v>
      </c>
      <c r="M7" s="360" t="s">
        <v>118</v>
      </c>
      <c r="N7" s="361"/>
      <c r="O7" s="361"/>
      <c r="P7" s="361"/>
      <c r="Q7" s="362"/>
      <c r="R7" s="49" t="s">
        <v>122</v>
      </c>
      <c r="S7" s="48" t="s">
        <v>123</v>
      </c>
      <c r="T7" s="49" t="s">
        <v>124</v>
      </c>
      <c r="U7" s="50"/>
      <c r="V7" s="49" t="s">
        <v>125</v>
      </c>
      <c r="W7" s="51"/>
      <c r="X7" s="15"/>
      <c r="Y7" s="1"/>
      <c r="Z7" s="1"/>
    </row>
    <row r="8" spans="1:26" ht="12.75" customHeight="1">
      <c r="A8" s="52" t="s">
        <v>126</v>
      </c>
      <c r="B8" s="53">
        <v>1</v>
      </c>
      <c r="C8" s="54"/>
      <c r="D8" s="55"/>
      <c r="E8" s="55"/>
      <c r="F8" s="55"/>
      <c r="G8" s="54"/>
      <c r="H8" s="55"/>
      <c r="I8" s="54"/>
      <c r="J8" s="55"/>
      <c r="K8" s="55"/>
      <c r="L8" s="54"/>
      <c r="M8" s="55"/>
      <c r="N8" s="55"/>
      <c r="O8" s="55"/>
      <c r="P8" s="54"/>
      <c r="Q8" s="55"/>
      <c r="R8" s="54"/>
      <c r="S8" s="55"/>
      <c r="T8" s="55"/>
      <c r="U8" s="55"/>
      <c r="V8" s="55"/>
      <c r="W8" s="56"/>
      <c r="X8" s="15"/>
      <c r="Y8" s="1"/>
      <c r="Z8" s="1"/>
    </row>
    <row r="9" spans="1:26" ht="12.75" customHeight="1">
      <c r="A9" s="52" t="s">
        <v>127</v>
      </c>
      <c r="B9" s="53">
        <v>2</v>
      </c>
      <c r="C9" s="54"/>
      <c r="D9" s="55"/>
      <c r="E9" s="55"/>
      <c r="F9" s="55"/>
      <c r="G9" s="55"/>
      <c r="H9" s="55"/>
      <c r="I9" s="54"/>
      <c r="J9" s="55"/>
      <c r="K9" s="55"/>
      <c r="L9" s="54"/>
      <c r="M9" s="55"/>
      <c r="N9" s="55"/>
      <c r="O9" s="55"/>
      <c r="P9" s="55"/>
      <c r="Q9" s="55"/>
      <c r="R9" s="54"/>
      <c r="S9" s="55"/>
      <c r="T9" s="55"/>
      <c r="U9" s="55"/>
      <c r="V9" s="55"/>
      <c r="W9" s="15"/>
      <c r="X9" s="15"/>
      <c r="Y9" s="1"/>
      <c r="Z9" s="1"/>
    </row>
    <row r="10" spans="1:26" ht="12.75" customHeight="1">
      <c r="A10" s="52" t="s">
        <v>126</v>
      </c>
      <c r="B10" s="53">
        <v>3</v>
      </c>
      <c r="C10" s="54"/>
      <c r="D10" s="55"/>
      <c r="E10" s="55"/>
      <c r="F10" s="55"/>
      <c r="G10" s="55"/>
      <c r="H10" s="55"/>
      <c r="I10" s="54"/>
      <c r="J10" s="55"/>
      <c r="K10" s="55"/>
      <c r="L10" s="54"/>
      <c r="M10" s="55"/>
      <c r="N10" s="55"/>
      <c r="O10" s="55"/>
      <c r="P10" s="55"/>
      <c r="Q10" s="55"/>
      <c r="R10" s="54"/>
      <c r="S10" s="55"/>
      <c r="T10" s="55"/>
      <c r="U10" s="55"/>
      <c r="V10" s="55"/>
      <c r="W10" s="15"/>
      <c r="X10" s="15"/>
      <c r="Y10" s="1"/>
      <c r="Z10" s="1"/>
    </row>
    <row r="11" spans="1:26" ht="12.75" customHeight="1">
      <c r="A11" s="52" t="s">
        <v>128</v>
      </c>
      <c r="B11" s="53">
        <v>4</v>
      </c>
      <c r="C11" s="54"/>
      <c r="D11" s="55"/>
      <c r="E11" s="55"/>
      <c r="F11" s="55"/>
      <c r="G11" s="55"/>
      <c r="H11" s="55"/>
      <c r="I11" s="54"/>
      <c r="J11" s="55"/>
      <c r="K11" s="55"/>
      <c r="L11" s="54"/>
      <c r="M11" s="55"/>
      <c r="N11" s="55"/>
      <c r="O11" s="55"/>
      <c r="P11" s="55"/>
      <c r="Q11" s="55"/>
      <c r="R11" s="54"/>
      <c r="S11" s="55"/>
      <c r="T11" s="55"/>
      <c r="U11" s="55"/>
      <c r="V11" s="55"/>
      <c r="W11" s="15"/>
      <c r="X11" s="15"/>
      <c r="Y11" s="1"/>
      <c r="Z11" s="1"/>
    </row>
    <row r="12" spans="1:26" ht="12.75" customHeight="1">
      <c r="A12" s="52" t="s">
        <v>129</v>
      </c>
      <c r="B12" s="53">
        <v>5</v>
      </c>
      <c r="C12" s="54"/>
      <c r="D12" s="55"/>
      <c r="E12" s="55"/>
      <c r="F12" s="55"/>
      <c r="G12" s="55"/>
      <c r="H12" s="55"/>
      <c r="I12" s="54"/>
      <c r="J12" s="55"/>
      <c r="K12" s="55"/>
      <c r="L12" s="54"/>
      <c r="M12" s="55"/>
      <c r="N12" s="55"/>
      <c r="O12" s="55"/>
      <c r="P12" s="55"/>
      <c r="Q12" s="55"/>
      <c r="R12" s="54"/>
      <c r="S12" s="55"/>
      <c r="T12" s="55"/>
      <c r="U12" s="55"/>
      <c r="V12" s="55"/>
      <c r="W12" s="57"/>
      <c r="X12" s="15"/>
      <c r="Y12" s="1"/>
      <c r="Z12" s="1"/>
    </row>
    <row r="13" spans="1:26" ht="12.75" customHeight="1">
      <c r="A13" s="52" t="s">
        <v>129</v>
      </c>
      <c r="B13" s="53">
        <v>6</v>
      </c>
      <c r="C13" s="54"/>
      <c r="D13" s="55"/>
      <c r="E13" s="55"/>
      <c r="F13" s="55"/>
      <c r="G13" s="55"/>
      <c r="H13" s="55"/>
      <c r="I13" s="54"/>
      <c r="J13" s="55"/>
      <c r="K13" s="55"/>
      <c r="L13" s="54"/>
      <c r="M13" s="55"/>
      <c r="N13" s="55"/>
      <c r="O13" s="55"/>
      <c r="P13" s="55"/>
      <c r="Q13" s="55"/>
      <c r="R13" s="54"/>
      <c r="S13" s="55"/>
      <c r="T13" s="55"/>
      <c r="U13" s="55"/>
      <c r="V13" s="55"/>
      <c r="W13" s="57"/>
      <c r="X13" s="15"/>
      <c r="Y13" s="1"/>
      <c r="Z13" s="1"/>
    </row>
    <row r="14" spans="1:26" ht="12.75" customHeight="1">
      <c r="A14" s="52" t="s">
        <v>130</v>
      </c>
      <c r="B14" s="53">
        <v>7</v>
      </c>
      <c r="C14" s="54"/>
      <c r="D14" s="55"/>
      <c r="E14" s="55"/>
      <c r="F14" s="55"/>
      <c r="G14" s="55"/>
      <c r="H14" s="55"/>
      <c r="I14" s="54"/>
      <c r="J14" s="55"/>
      <c r="K14" s="55"/>
      <c r="L14" s="54"/>
      <c r="M14" s="55"/>
      <c r="N14" s="55"/>
      <c r="O14" s="55"/>
      <c r="P14" s="55"/>
      <c r="Q14" s="55"/>
      <c r="R14" s="54"/>
      <c r="S14" s="55"/>
      <c r="T14" s="55"/>
      <c r="U14" s="55"/>
      <c r="V14" s="55"/>
      <c r="W14" s="15"/>
      <c r="X14" s="15"/>
      <c r="Y14" s="1"/>
      <c r="Z14" s="1"/>
    </row>
    <row r="15" spans="1:26" ht="12.75" customHeight="1">
      <c r="A15" s="52" t="s">
        <v>126</v>
      </c>
      <c r="B15" s="53">
        <v>8</v>
      </c>
      <c r="C15" s="54"/>
      <c r="D15" s="55"/>
      <c r="E15" s="55"/>
      <c r="F15" s="55"/>
      <c r="G15" s="55"/>
      <c r="H15" s="55"/>
      <c r="I15" s="54"/>
      <c r="J15" s="55"/>
      <c r="K15" s="55"/>
      <c r="L15" s="54"/>
      <c r="M15" s="55"/>
      <c r="N15" s="55"/>
      <c r="O15" s="55"/>
      <c r="P15" s="55"/>
      <c r="Q15" s="55"/>
      <c r="R15" s="54"/>
      <c r="S15" s="55"/>
      <c r="T15" s="55"/>
      <c r="U15" s="55"/>
      <c r="V15" s="55"/>
      <c r="W15" s="57"/>
      <c r="X15" s="15"/>
      <c r="Y15" s="1"/>
      <c r="Z15" s="1"/>
    </row>
    <row r="16" spans="1:26" ht="12.75" customHeight="1">
      <c r="A16" s="52" t="s">
        <v>127</v>
      </c>
      <c r="B16" s="53">
        <v>9</v>
      </c>
      <c r="C16" s="54"/>
      <c r="D16" s="55"/>
      <c r="E16" s="55"/>
      <c r="F16" s="55"/>
      <c r="G16" s="55"/>
      <c r="H16" s="55"/>
      <c r="I16" s="54"/>
      <c r="J16" s="55"/>
      <c r="K16" s="55"/>
      <c r="L16" s="54"/>
      <c r="M16" s="55"/>
      <c r="N16" s="55"/>
      <c r="O16" s="55"/>
      <c r="P16" s="55"/>
      <c r="Q16" s="55"/>
      <c r="R16" s="54"/>
      <c r="S16" s="55"/>
      <c r="T16" s="55"/>
      <c r="U16" s="55"/>
      <c r="V16" s="55"/>
      <c r="W16" s="57"/>
      <c r="X16" s="15"/>
      <c r="Y16" s="1"/>
      <c r="Z16" s="1"/>
    </row>
    <row r="17" spans="1:26" ht="12.75" customHeight="1">
      <c r="A17" s="52" t="s">
        <v>126</v>
      </c>
      <c r="B17" s="53">
        <v>10</v>
      </c>
      <c r="C17" s="54"/>
      <c r="D17" s="55"/>
      <c r="E17" s="55"/>
      <c r="F17" s="55"/>
      <c r="G17" s="55"/>
      <c r="H17" s="55"/>
      <c r="I17" s="54"/>
      <c r="J17" s="55"/>
      <c r="K17" s="55"/>
      <c r="L17" s="54"/>
      <c r="M17" s="55"/>
      <c r="N17" s="55"/>
      <c r="O17" s="55"/>
      <c r="P17" s="55"/>
      <c r="Q17" s="55"/>
      <c r="R17" s="54"/>
      <c r="S17" s="55"/>
      <c r="T17" s="55"/>
      <c r="U17" s="55"/>
      <c r="V17" s="55"/>
      <c r="W17" s="15"/>
      <c r="X17" s="15"/>
      <c r="Y17" s="1"/>
      <c r="Z17" s="1"/>
    </row>
    <row r="18" spans="1:26" ht="12.75" customHeight="1">
      <c r="A18" s="52" t="s">
        <v>128</v>
      </c>
      <c r="B18" s="53">
        <v>11</v>
      </c>
      <c r="C18" s="54"/>
      <c r="D18" s="55"/>
      <c r="E18" s="55"/>
      <c r="F18" s="55"/>
      <c r="G18" s="55"/>
      <c r="H18" s="55"/>
      <c r="I18" s="54"/>
      <c r="J18" s="55"/>
      <c r="K18" s="55"/>
      <c r="L18" s="54"/>
      <c r="M18" s="55"/>
      <c r="N18" s="55"/>
      <c r="O18" s="55"/>
      <c r="P18" s="55"/>
      <c r="Q18" s="55"/>
      <c r="R18" s="54"/>
      <c r="S18" s="55"/>
      <c r="T18" s="55"/>
      <c r="U18" s="55"/>
      <c r="V18" s="55"/>
      <c r="W18" s="57"/>
      <c r="X18" s="15"/>
      <c r="Y18" s="1"/>
      <c r="Z18" s="1"/>
    </row>
    <row r="19" spans="1:26" ht="12.75" customHeight="1">
      <c r="A19" s="52" t="s">
        <v>129</v>
      </c>
      <c r="B19" s="53">
        <v>12</v>
      </c>
      <c r="C19" s="54"/>
      <c r="D19" s="55"/>
      <c r="E19" s="55"/>
      <c r="F19" s="55"/>
      <c r="G19" s="55"/>
      <c r="H19" s="55"/>
      <c r="I19" s="54"/>
      <c r="J19" s="55"/>
      <c r="K19" s="55"/>
      <c r="L19" s="54"/>
      <c r="M19" s="55"/>
      <c r="N19" s="55"/>
      <c r="O19" s="55"/>
      <c r="P19" s="55"/>
      <c r="Q19" s="55"/>
      <c r="R19" s="54"/>
      <c r="S19" s="55"/>
      <c r="T19" s="55"/>
      <c r="U19" s="55"/>
      <c r="V19" s="55"/>
      <c r="W19" s="15"/>
      <c r="X19" s="15"/>
      <c r="Y19" s="1"/>
      <c r="Z19" s="1"/>
    </row>
    <row r="20" spans="1:26" ht="12.75" customHeight="1">
      <c r="A20" s="52" t="s">
        <v>129</v>
      </c>
      <c r="B20" s="53">
        <v>13</v>
      </c>
      <c r="C20" s="54"/>
      <c r="D20" s="55"/>
      <c r="E20" s="55"/>
      <c r="F20" s="55"/>
      <c r="G20" s="55"/>
      <c r="H20" s="55"/>
      <c r="I20" s="54"/>
      <c r="J20" s="55"/>
      <c r="K20" s="55"/>
      <c r="L20" s="54"/>
      <c r="M20" s="55"/>
      <c r="N20" s="55"/>
      <c r="O20" s="55"/>
      <c r="P20" s="55"/>
      <c r="Q20" s="55"/>
      <c r="R20" s="54"/>
      <c r="S20" s="55"/>
      <c r="T20" s="55"/>
      <c r="U20" s="55"/>
      <c r="V20" s="55"/>
      <c r="W20" s="15"/>
      <c r="X20" s="15"/>
      <c r="Y20" s="1"/>
      <c r="Z20" s="1"/>
    </row>
    <row r="21" spans="1:26" ht="12.75" customHeight="1">
      <c r="A21" s="52" t="s">
        <v>130</v>
      </c>
      <c r="B21" s="53">
        <v>14</v>
      </c>
      <c r="C21" s="54"/>
      <c r="D21" s="55"/>
      <c r="E21" s="55"/>
      <c r="F21" s="55"/>
      <c r="G21" s="55"/>
      <c r="H21" s="55"/>
      <c r="I21" s="54"/>
      <c r="J21" s="55"/>
      <c r="K21" s="55"/>
      <c r="L21" s="54"/>
      <c r="M21" s="55"/>
      <c r="N21" s="55"/>
      <c r="O21" s="55"/>
      <c r="P21" s="55"/>
      <c r="Q21" s="55"/>
      <c r="R21" s="54"/>
      <c r="S21" s="55"/>
      <c r="T21" s="55"/>
      <c r="U21" s="55"/>
      <c r="V21" s="55"/>
      <c r="W21" s="15"/>
      <c r="X21" s="15"/>
      <c r="Y21" s="1"/>
      <c r="Z21" s="1"/>
    </row>
    <row r="22" spans="1:26" ht="12.75" customHeight="1">
      <c r="A22" s="52" t="s">
        <v>126</v>
      </c>
      <c r="B22" s="53">
        <v>15</v>
      </c>
      <c r="C22" s="54"/>
      <c r="D22" s="55"/>
      <c r="E22" s="55"/>
      <c r="F22" s="55"/>
      <c r="G22" s="55"/>
      <c r="H22" s="55"/>
      <c r="I22" s="54"/>
      <c r="J22" s="55"/>
      <c r="K22" s="55"/>
      <c r="L22" s="54"/>
      <c r="M22" s="55"/>
      <c r="N22" s="55"/>
      <c r="O22" s="55"/>
      <c r="P22" s="55"/>
      <c r="Q22" s="55"/>
      <c r="R22" s="54"/>
      <c r="S22" s="55"/>
      <c r="T22" s="55"/>
      <c r="U22" s="55"/>
      <c r="V22" s="55"/>
      <c r="W22" s="57"/>
      <c r="X22" s="15"/>
      <c r="Y22" s="1"/>
      <c r="Z22" s="1"/>
    </row>
    <row r="23" spans="1:26" ht="12.75" customHeight="1">
      <c r="A23" s="52" t="s">
        <v>127</v>
      </c>
      <c r="B23" s="53">
        <v>16</v>
      </c>
      <c r="C23" s="54"/>
      <c r="D23" s="55"/>
      <c r="E23" s="55"/>
      <c r="F23" s="55"/>
      <c r="G23" s="55"/>
      <c r="H23" s="55"/>
      <c r="I23" s="54"/>
      <c r="J23" s="55"/>
      <c r="K23" s="55"/>
      <c r="L23" s="54"/>
      <c r="M23" s="55"/>
      <c r="N23" s="55"/>
      <c r="O23" s="55"/>
      <c r="P23" s="55"/>
      <c r="Q23" s="55"/>
      <c r="R23" s="54"/>
      <c r="S23" s="55"/>
      <c r="T23" s="55"/>
      <c r="U23" s="55"/>
      <c r="V23" s="55"/>
      <c r="W23" s="57"/>
      <c r="X23" s="15"/>
      <c r="Y23" s="1"/>
      <c r="Z23" s="1"/>
    </row>
    <row r="24" spans="1:26" ht="12.75" customHeight="1">
      <c r="A24" s="52" t="s">
        <v>126</v>
      </c>
      <c r="B24" s="53">
        <v>17</v>
      </c>
      <c r="C24" s="54"/>
      <c r="D24" s="55"/>
      <c r="E24" s="55"/>
      <c r="F24" s="55"/>
      <c r="G24" s="55"/>
      <c r="H24" s="55"/>
      <c r="I24" s="54"/>
      <c r="J24" s="55"/>
      <c r="K24" s="55"/>
      <c r="L24" s="54"/>
      <c r="M24" s="55"/>
      <c r="N24" s="55"/>
      <c r="O24" s="55"/>
      <c r="P24" s="55"/>
      <c r="Q24" s="55"/>
      <c r="R24" s="54"/>
      <c r="S24" s="55"/>
      <c r="T24" s="55"/>
      <c r="U24" s="55"/>
      <c r="V24" s="55"/>
      <c r="W24" s="57"/>
      <c r="X24" s="15"/>
      <c r="Y24" s="1"/>
      <c r="Z24" s="1"/>
    </row>
    <row r="25" spans="1:26" ht="12.75" customHeight="1">
      <c r="A25" s="52" t="s">
        <v>128</v>
      </c>
      <c r="B25" s="53">
        <v>18</v>
      </c>
      <c r="C25" s="54"/>
      <c r="D25" s="55"/>
      <c r="E25" s="55"/>
      <c r="F25" s="55"/>
      <c r="G25" s="55"/>
      <c r="H25" s="55"/>
      <c r="I25" s="54"/>
      <c r="J25" s="55"/>
      <c r="K25" s="55"/>
      <c r="L25" s="54"/>
      <c r="M25" s="55"/>
      <c r="N25" s="55"/>
      <c r="O25" s="55"/>
      <c r="P25" s="55"/>
      <c r="Q25" s="55"/>
      <c r="R25" s="54"/>
      <c r="S25" s="55"/>
      <c r="T25" s="55"/>
      <c r="U25" s="55"/>
      <c r="V25" s="55"/>
      <c r="W25" s="57"/>
      <c r="X25" s="15"/>
      <c r="Y25" s="1"/>
      <c r="Z25" s="1"/>
    </row>
    <row r="26" spans="1:26" ht="12.75" customHeight="1">
      <c r="A26" s="52" t="s">
        <v>129</v>
      </c>
      <c r="B26" s="53">
        <v>19</v>
      </c>
      <c r="C26" s="54"/>
      <c r="D26" s="55"/>
      <c r="E26" s="55"/>
      <c r="F26" s="55"/>
      <c r="G26" s="55"/>
      <c r="H26" s="55"/>
      <c r="I26" s="54"/>
      <c r="J26" s="55"/>
      <c r="K26" s="55"/>
      <c r="L26" s="54"/>
      <c r="M26" s="55"/>
      <c r="N26" s="55"/>
      <c r="O26" s="55"/>
      <c r="P26" s="55"/>
      <c r="Q26" s="55"/>
      <c r="R26" s="54"/>
      <c r="S26" s="55"/>
      <c r="T26" s="55"/>
      <c r="U26" s="55"/>
      <c r="V26" s="55"/>
      <c r="W26" s="57"/>
      <c r="X26" s="15"/>
      <c r="Y26" s="1"/>
      <c r="Z26" s="1"/>
    </row>
    <row r="27" spans="1:26" ht="12.75" customHeight="1">
      <c r="A27" s="52" t="s">
        <v>129</v>
      </c>
      <c r="B27" s="53">
        <v>20</v>
      </c>
      <c r="C27" s="54"/>
      <c r="D27" s="55"/>
      <c r="E27" s="55"/>
      <c r="F27" s="55"/>
      <c r="G27" s="55"/>
      <c r="H27" s="55"/>
      <c r="I27" s="54"/>
      <c r="J27" s="55"/>
      <c r="K27" s="55"/>
      <c r="L27" s="54"/>
      <c r="M27" s="55"/>
      <c r="N27" s="55"/>
      <c r="O27" s="55"/>
      <c r="P27" s="55"/>
      <c r="Q27" s="55"/>
      <c r="R27" s="54"/>
      <c r="S27" s="55"/>
      <c r="T27" s="55"/>
      <c r="U27" s="55"/>
      <c r="V27" s="55"/>
      <c r="W27" s="56"/>
      <c r="X27" s="15"/>
      <c r="Y27" s="1"/>
      <c r="Z27" s="1"/>
    </row>
    <row r="28" spans="1:26" ht="12.75" customHeight="1">
      <c r="A28" s="52" t="s">
        <v>130</v>
      </c>
      <c r="B28" s="53">
        <v>21</v>
      </c>
      <c r="C28" s="54"/>
      <c r="D28" s="55"/>
      <c r="E28" s="55"/>
      <c r="F28" s="55"/>
      <c r="G28" s="55"/>
      <c r="H28" s="55"/>
      <c r="I28" s="54"/>
      <c r="J28" s="55"/>
      <c r="K28" s="55"/>
      <c r="L28" s="54"/>
      <c r="M28" s="55"/>
      <c r="N28" s="55"/>
      <c r="O28" s="55"/>
      <c r="P28" s="55"/>
      <c r="Q28" s="55"/>
      <c r="R28" s="54"/>
      <c r="S28" s="55"/>
      <c r="T28" s="55"/>
      <c r="U28" s="55"/>
      <c r="V28" s="55"/>
      <c r="W28" s="15"/>
      <c r="X28" s="15"/>
      <c r="Y28" s="1"/>
      <c r="Z28" s="1"/>
    </row>
    <row r="29" spans="1:26" ht="12.75" customHeight="1">
      <c r="A29" s="52" t="s">
        <v>126</v>
      </c>
      <c r="B29" s="53">
        <v>22</v>
      </c>
      <c r="C29" s="54"/>
      <c r="D29" s="55"/>
      <c r="E29" s="55"/>
      <c r="F29" s="55"/>
      <c r="G29" s="55"/>
      <c r="H29" s="55"/>
      <c r="I29" s="54"/>
      <c r="J29" s="55"/>
      <c r="K29" s="55"/>
      <c r="L29" s="54"/>
      <c r="M29" s="55"/>
      <c r="N29" s="55"/>
      <c r="O29" s="55"/>
      <c r="P29" s="55"/>
      <c r="Q29" s="55"/>
      <c r="R29" s="54"/>
      <c r="S29" s="55"/>
      <c r="T29" s="55"/>
      <c r="U29" s="55"/>
      <c r="V29" s="55"/>
      <c r="W29" s="57"/>
      <c r="X29" s="15"/>
      <c r="Y29" s="1"/>
      <c r="Z29" s="1"/>
    </row>
    <row r="30" spans="1:26" ht="12.75" customHeight="1">
      <c r="A30" s="52" t="s">
        <v>127</v>
      </c>
      <c r="B30" s="53">
        <v>23</v>
      </c>
      <c r="C30" s="54"/>
      <c r="D30" s="55"/>
      <c r="E30" s="55"/>
      <c r="F30" s="55"/>
      <c r="G30" s="55"/>
      <c r="H30" s="55"/>
      <c r="I30" s="54"/>
      <c r="J30" s="55"/>
      <c r="K30" s="55"/>
      <c r="L30" s="54"/>
      <c r="M30" s="55"/>
      <c r="N30" s="55"/>
      <c r="O30" s="55"/>
      <c r="P30" s="55"/>
      <c r="Q30" s="55"/>
      <c r="R30" s="54"/>
      <c r="S30" s="55"/>
      <c r="T30" s="55"/>
      <c r="U30" s="55"/>
      <c r="V30" s="55"/>
      <c r="W30" s="57"/>
      <c r="X30" s="15"/>
      <c r="Y30" s="1"/>
      <c r="Z30" s="1"/>
    </row>
    <row r="31" spans="1:26" ht="12.75" customHeight="1">
      <c r="A31" s="52" t="s">
        <v>126</v>
      </c>
      <c r="B31" s="53">
        <v>24</v>
      </c>
      <c r="C31" s="54"/>
      <c r="D31" s="55"/>
      <c r="E31" s="55"/>
      <c r="F31" s="55"/>
      <c r="G31" s="55"/>
      <c r="H31" s="55"/>
      <c r="I31" s="54"/>
      <c r="J31" s="55"/>
      <c r="K31" s="55"/>
      <c r="L31" s="54"/>
      <c r="M31" s="55"/>
      <c r="N31" s="55"/>
      <c r="O31" s="55"/>
      <c r="P31" s="55"/>
      <c r="Q31" s="55"/>
      <c r="R31" s="54"/>
      <c r="S31" s="55"/>
      <c r="T31" s="55"/>
      <c r="U31" s="55"/>
      <c r="V31" s="55"/>
      <c r="W31" s="56"/>
      <c r="X31" s="15"/>
      <c r="Y31" s="1"/>
      <c r="Z31" s="1"/>
    </row>
    <row r="32" spans="1:26" ht="12.75" customHeight="1">
      <c r="A32" s="52" t="s">
        <v>128</v>
      </c>
      <c r="B32" s="53">
        <v>25</v>
      </c>
      <c r="C32" s="54"/>
      <c r="D32" s="55"/>
      <c r="E32" s="55"/>
      <c r="F32" s="55"/>
      <c r="G32" s="55"/>
      <c r="H32" s="55"/>
      <c r="I32" s="54"/>
      <c r="J32" s="55"/>
      <c r="K32" s="55"/>
      <c r="L32" s="54"/>
      <c r="M32" s="55"/>
      <c r="N32" s="55"/>
      <c r="O32" s="55"/>
      <c r="P32" s="55"/>
      <c r="Q32" s="55"/>
      <c r="R32" s="54"/>
      <c r="S32" s="55"/>
      <c r="T32" s="55"/>
      <c r="U32" s="55"/>
      <c r="V32" s="55"/>
      <c r="W32" s="15"/>
      <c r="X32" s="15"/>
      <c r="Y32" s="1"/>
      <c r="Z32" s="1"/>
    </row>
    <row r="33" spans="1:26" ht="12.75" customHeight="1">
      <c r="A33" s="52" t="s">
        <v>129</v>
      </c>
      <c r="B33" s="53">
        <v>26</v>
      </c>
      <c r="C33" s="54"/>
      <c r="D33" s="55"/>
      <c r="E33" s="55"/>
      <c r="F33" s="55"/>
      <c r="G33" s="55"/>
      <c r="H33" s="55"/>
      <c r="I33" s="54"/>
      <c r="J33" s="55"/>
      <c r="K33" s="55"/>
      <c r="L33" s="54"/>
      <c r="M33" s="55"/>
      <c r="N33" s="55"/>
      <c r="O33" s="55"/>
      <c r="P33" s="55"/>
      <c r="Q33" s="55"/>
      <c r="R33" s="54"/>
      <c r="S33" s="55"/>
      <c r="T33" s="55"/>
      <c r="U33" s="55"/>
      <c r="V33" s="55"/>
      <c r="W33" s="56"/>
      <c r="X33" s="15"/>
      <c r="Y33" s="1"/>
      <c r="Z33" s="1"/>
    </row>
    <row r="34" spans="1:26" ht="12.75" customHeight="1">
      <c r="A34" s="52" t="s">
        <v>129</v>
      </c>
      <c r="B34" s="53">
        <v>27</v>
      </c>
      <c r="C34" s="54"/>
      <c r="D34" s="55"/>
      <c r="E34" s="55"/>
      <c r="F34" s="55"/>
      <c r="G34" s="55"/>
      <c r="H34" s="55"/>
      <c r="I34" s="54"/>
      <c r="J34" s="55"/>
      <c r="K34" s="55"/>
      <c r="L34" s="54"/>
      <c r="M34" s="55"/>
      <c r="N34" s="55"/>
      <c r="O34" s="55"/>
      <c r="P34" s="55"/>
      <c r="Q34" s="55"/>
      <c r="R34" s="54"/>
      <c r="S34" s="55"/>
      <c r="T34" s="55"/>
      <c r="U34" s="55"/>
      <c r="V34" s="55"/>
      <c r="W34" s="15"/>
      <c r="X34" s="15"/>
      <c r="Y34" s="1"/>
      <c r="Z34" s="1"/>
    </row>
    <row r="35" spans="1:26" ht="12.75" customHeight="1">
      <c r="A35" s="52" t="s">
        <v>130</v>
      </c>
      <c r="B35" s="53">
        <v>28</v>
      </c>
      <c r="C35" s="54"/>
      <c r="D35" s="55"/>
      <c r="E35" s="55"/>
      <c r="F35" s="55"/>
      <c r="G35" s="55"/>
      <c r="H35" s="55"/>
      <c r="I35" s="54"/>
      <c r="J35" s="55"/>
      <c r="K35" s="55"/>
      <c r="L35" s="54"/>
      <c r="M35" s="55"/>
      <c r="N35" s="55"/>
      <c r="O35" s="55"/>
      <c r="P35" s="55"/>
      <c r="Q35" s="55"/>
      <c r="R35" s="54"/>
      <c r="S35" s="55"/>
      <c r="T35" s="55"/>
      <c r="U35" s="55"/>
      <c r="V35" s="55"/>
      <c r="W35" s="57"/>
      <c r="X35" s="15"/>
      <c r="Y35" s="1"/>
      <c r="Z35" s="1"/>
    </row>
    <row r="36" spans="1:26" ht="12.75" customHeight="1">
      <c r="A36" s="52" t="s">
        <v>126</v>
      </c>
      <c r="B36" s="53">
        <v>29</v>
      </c>
      <c r="C36" s="54"/>
      <c r="D36" s="55"/>
      <c r="E36" s="55"/>
      <c r="F36" s="55"/>
      <c r="G36" s="55"/>
      <c r="H36" s="55"/>
      <c r="I36" s="54"/>
      <c r="J36" s="55"/>
      <c r="K36" s="55"/>
      <c r="L36" s="54"/>
      <c r="M36" s="55"/>
      <c r="N36" s="55"/>
      <c r="O36" s="55"/>
      <c r="P36" s="55"/>
      <c r="Q36" s="55"/>
      <c r="R36" s="54"/>
      <c r="S36" s="55"/>
      <c r="T36" s="55"/>
      <c r="U36" s="55"/>
      <c r="V36" s="55"/>
      <c r="W36" s="57"/>
      <c r="X36" s="15"/>
      <c r="Y36" s="1"/>
      <c r="Z36" s="1"/>
    </row>
    <row r="37" spans="1:26" ht="12.75" customHeight="1">
      <c r="A37" s="52" t="s">
        <v>127</v>
      </c>
      <c r="B37" s="53">
        <v>30</v>
      </c>
      <c r="C37" s="54"/>
      <c r="D37" s="55"/>
      <c r="E37" s="55"/>
      <c r="F37" s="55"/>
      <c r="G37" s="55"/>
      <c r="H37" s="55"/>
      <c r="I37" s="54"/>
      <c r="J37" s="55"/>
      <c r="K37" s="55"/>
      <c r="L37" s="54"/>
      <c r="M37" s="55"/>
      <c r="N37" s="55"/>
      <c r="O37" s="55"/>
      <c r="P37" s="55"/>
      <c r="Q37" s="55"/>
      <c r="R37" s="54"/>
      <c r="S37" s="55"/>
      <c r="T37" s="55"/>
      <c r="U37" s="55"/>
      <c r="V37" s="55"/>
      <c r="W37" s="15"/>
      <c r="X37" s="15"/>
      <c r="Y37" s="1"/>
      <c r="Z37" s="1"/>
    </row>
    <row r="38" spans="1:26" ht="12.75" customHeight="1">
      <c r="A38" s="52" t="s">
        <v>126</v>
      </c>
      <c r="B38" s="53">
        <v>31</v>
      </c>
      <c r="C38" s="54"/>
      <c r="D38" s="55"/>
      <c r="E38" s="55"/>
      <c r="F38" s="55"/>
      <c r="G38" s="55"/>
      <c r="H38" s="55"/>
      <c r="I38" s="54"/>
      <c r="J38" s="55"/>
      <c r="K38" s="55"/>
      <c r="L38" s="54"/>
      <c r="M38" s="55"/>
      <c r="N38" s="55"/>
      <c r="O38" s="55"/>
      <c r="P38" s="55"/>
      <c r="Q38" s="55"/>
      <c r="R38" s="54"/>
      <c r="S38" s="55"/>
      <c r="T38" s="55"/>
      <c r="U38" s="55"/>
      <c r="V38" s="55"/>
      <c r="W38" s="15"/>
      <c r="X38" s="15"/>
      <c r="Y38" s="1"/>
      <c r="Z38" s="1"/>
    </row>
    <row r="39" spans="1:26" ht="12.75" customHeight="1">
      <c r="A39" s="52"/>
      <c r="B39" s="53"/>
      <c r="C39" s="54"/>
      <c r="D39" s="55"/>
      <c r="E39" s="55"/>
      <c r="F39" s="55"/>
      <c r="G39" s="55"/>
      <c r="H39" s="55"/>
      <c r="I39" s="54"/>
      <c r="J39" s="55"/>
      <c r="K39" s="55"/>
      <c r="L39" s="54"/>
      <c r="M39" s="55"/>
      <c r="N39" s="55"/>
      <c r="O39" s="55"/>
      <c r="P39" s="55"/>
      <c r="Q39" s="55"/>
      <c r="R39" s="54"/>
      <c r="S39" s="55"/>
      <c r="T39" s="55"/>
      <c r="U39" s="55"/>
      <c r="V39" s="55"/>
      <c r="W39" s="57"/>
      <c r="X39" s="15"/>
      <c r="Y39" s="1"/>
      <c r="Z39" s="1"/>
    </row>
    <row r="40" spans="1:26" ht="15.75" customHeight="1">
      <c r="A40" s="58"/>
      <c r="B40" s="59" t="s">
        <v>131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2"/>
      <c r="X40" s="15"/>
      <c r="Y40" s="1"/>
      <c r="Z40" s="1"/>
    </row>
    <row r="41" spans="1:26" ht="15.75" customHeight="1">
      <c r="A41" s="37"/>
      <c r="B41" s="37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57"/>
      <c r="X41" s="15"/>
      <c r="Y41" s="1"/>
      <c r="Z41" s="1"/>
    </row>
    <row r="42" spans="1:26" ht="12.75" customHeight="1">
      <c r="A42" s="37"/>
      <c r="B42" s="37"/>
      <c r="C42" s="39"/>
      <c r="D42" s="39"/>
      <c r="E42" s="39"/>
      <c r="F42" s="39"/>
      <c r="G42" s="39"/>
      <c r="H42" s="39"/>
      <c r="I42" s="39"/>
      <c r="J42" s="63"/>
      <c r="K42" s="63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57"/>
      <c r="X42" s="15"/>
      <c r="Y42" s="1"/>
      <c r="Z42" s="1"/>
    </row>
    <row r="43" spans="1:26" ht="12.75" customHeight="1">
      <c r="A43" s="37"/>
      <c r="B43" s="37"/>
      <c r="C43" s="39"/>
      <c r="D43" s="39"/>
      <c r="E43" s="39"/>
      <c r="F43" s="39"/>
      <c r="G43" s="39"/>
      <c r="H43" s="39"/>
      <c r="I43" s="39"/>
      <c r="J43" s="45"/>
      <c r="K43" s="45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57"/>
      <c r="X43" s="15"/>
      <c r="Y43" s="1"/>
      <c r="Z43" s="1"/>
    </row>
    <row r="44" spans="1:26" ht="12.75" customHeight="1">
      <c r="A44" s="37"/>
      <c r="B44" s="37"/>
      <c r="C44" s="39"/>
      <c r="D44" s="39"/>
      <c r="E44" s="39"/>
      <c r="F44" s="39"/>
      <c r="G44" s="39"/>
      <c r="H44" s="39"/>
      <c r="I44" s="39"/>
      <c r="J44" s="64"/>
      <c r="K44" s="64"/>
      <c r="L44" s="39"/>
      <c r="M44" s="62"/>
      <c r="N44" s="62"/>
      <c r="O44" s="39"/>
      <c r="P44" s="62"/>
      <c r="Q44" s="62"/>
      <c r="R44" s="39"/>
      <c r="S44" s="39"/>
      <c r="T44" s="39"/>
      <c r="U44" s="39"/>
      <c r="V44" s="39"/>
      <c r="W44" s="57"/>
      <c r="X44" s="15"/>
      <c r="Y44" s="1"/>
      <c r="Z44" s="1"/>
    </row>
    <row r="45" spans="1:26" ht="12.75" customHeight="1">
      <c r="A45" s="37"/>
      <c r="B45" s="37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57"/>
      <c r="X45" s="15"/>
      <c r="Y45" s="1"/>
      <c r="Z45" s="1"/>
    </row>
    <row r="46" spans="1:2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6:J6"/>
    <mergeCell ref="L6:T6"/>
    <mergeCell ref="D7:H7"/>
    <mergeCell ref="M7:Q7"/>
  </mergeCells>
  <conditionalFormatting sqref="C8:F8 Q32:S33 E29:I34 E28:K28 P29:S31 P22:Q26 S22:S26 P18:P20 P9:P13 C9:G11 Q34:R34 H8:I15 L8:O12 B39:V39 R17:R26 Q17:Q21 S17:V21 M17:O34 D17:D34 E17:I27 D12:G15 C12:C38 M13:O15 L13:L38 J8:K11 Q8:V15 Q27:S28 J29:K33 M35:R38 D35:I38 T22:V38">
    <cfRule type="expression" dxfId="829" priority="1" stopIfTrue="1">
      <formula>$A8="S"</formula>
    </cfRule>
  </conditionalFormatting>
  <conditionalFormatting sqref="P20">
    <cfRule type="expression" dxfId="828" priority="2" stopIfTrue="1">
      <formula>$A20="S"</formula>
    </cfRule>
  </conditionalFormatting>
  <conditionalFormatting sqref="P20">
    <cfRule type="expression" dxfId="827" priority="3" stopIfTrue="1">
      <formula>$A20="S"</formula>
    </cfRule>
  </conditionalFormatting>
  <conditionalFormatting sqref="P20">
    <cfRule type="expression" dxfId="826" priority="4" stopIfTrue="1">
      <formula>$A20="S"</formula>
    </cfRule>
  </conditionalFormatting>
  <conditionalFormatting sqref="F26">
    <cfRule type="expression" dxfId="825" priority="5" stopIfTrue="1">
      <formula>$A26="S"</formula>
    </cfRule>
  </conditionalFormatting>
  <conditionalFormatting sqref="P33">
    <cfRule type="expression" dxfId="824" priority="6" stopIfTrue="1">
      <formula>$A33="S"</formula>
    </cfRule>
  </conditionalFormatting>
  <conditionalFormatting sqref="P33">
    <cfRule type="expression" dxfId="823" priority="7" stopIfTrue="1">
      <formula>$A33="S"</formula>
    </cfRule>
  </conditionalFormatting>
  <conditionalFormatting sqref="P33">
    <cfRule type="expression" dxfId="822" priority="8" stopIfTrue="1">
      <formula>$A33="S"</formula>
    </cfRule>
  </conditionalFormatting>
  <conditionalFormatting sqref="G8">
    <cfRule type="expression" dxfId="821" priority="9" stopIfTrue="1">
      <formula>$A8="S"</formula>
    </cfRule>
  </conditionalFormatting>
  <conditionalFormatting sqref="P14:P15">
    <cfRule type="expression" dxfId="820" priority="10" stopIfTrue="1">
      <formula>$A14="S"</formula>
    </cfRule>
  </conditionalFormatting>
  <conditionalFormatting sqref="P33">
    <cfRule type="expression" dxfId="819" priority="11" stopIfTrue="1">
      <formula>$A33="S"</formula>
    </cfRule>
  </conditionalFormatting>
  <conditionalFormatting sqref="P13">
    <cfRule type="expression" dxfId="818" priority="12" stopIfTrue="1">
      <formula>$A13="S"</formula>
    </cfRule>
  </conditionalFormatting>
  <conditionalFormatting sqref="P13">
    <cfRule type="expression" dxfId="817" priority="13" stopIfTrue="1">
      <formula>$A13="S"</formula>
    </cfRule>
  </conditionalFormatting>
  <conditionalFormatting sqref="P13">
    <cfRule type="expression" dxfId="816" priority="14" stopIfTrue="1">
      <formula>$A13="S"</formula>
    </cfRule>
  </conditionalFormatting>
  <conditionalFormatting sqref="P17">
    <cfRule type="expression" dxfId="815" priority="15" stopIfTrue="1">
      <formula>$A17="S"</formula>
    </cfRule>
  </conditionalFormatting>
  <conditionalFormatting sqref="P17">
    <cfRule type="expression" dxfId="814" priority="16" stopIfTrue="1">
      <formula>$A17="S"</formula>
    </cfRule>
  </conditionalFormatting>
  <conditionalFormatting sqref="P34">
    <cfRule type="expression" dxfId="813" priority="17" stopIfTrue="1">
      <formula>$A34="S"</formula>
    </cfRule>
  </conditionalFormatting>
  <conditionalFormatting sqref="P21">
    <cfRule type="expression" dxfId="812" priority="18" stopIfTrue="1">
      <formula>$A21="S"</formula>
    </cfRule>
  </conditionalFormatting>
  <conditionalFormatting sqref="P8">
    <cfRule type="expression" dxfId="811" priority="19" stopIfTrue="1">
      <formula>$A8="S"</formula>
    </cfRule>
  </conditionalFormatting>
  <conditionalFormatting sqref="P27">
    <cfRule type="expression" dxfId="810" priority="20" stopIfTrue="1">
      <formula>$A27="S"</formula>
    </cfRule>
  </conditionalFormatting>
  <conditionalFormatting sqref="P32">
    <cfRule type="expression" dxfId="809" priority="21" stopIfTrue="1">
      <formula>$A32="S"</formula>
    </cfRule>
  </conditionalFormatting>
  <conditionalFormatting sqref="P32">
    <cfRule type="expression" dxfId="808" priority="22" stopIfTrue="1">
      <formula>$A32="S"</formula>
    </cfRule>
  </conditionalFormatting>
  <conditionalFormatting sqref="P32">
    <cfRule type="expression" dxfId="807" priority="23" stopIfTrue="1">
      <formula>$A32="S"</formula>
    </cfRule>
  </conditionalFormatting>
  <conditionalFormatting sqref="P32">
    <cfRule type="expression" dxfId="806" priority="24" stopIfTrue="1">
      <formula>$A32="S"</formula>
    </cfRule>
  </conditionalFormatting>
  <conditionalFormatting sqref="A32">
    <cfRule type="expression" dxfId="805" priority="25" stopIfTrue="1">
      <formula>$A32="S"</formula>
    </cfRule>
  </conditionalFormatting>
  <conditionalFormatting sqref="A29">
    <cfRule type="expression" dxfId="804" priority="26" stopIfTrue="1">
      <formula>$A29="S"</formula>
    </cfRule>
  </conditionalFormatting>
  <conditionalFormatting sqref="A32">
    <cfRule type="expression" dxfId="803" priority="27" stopIfTrue="1">
      <formula>$A32="S"</formula>
    </cfRule>
  </conditionalFormatting>
  <conditionalFormatting sqref="A32">
    <cfRule type="expression" dxfId="802" priority="28" stopIfTrue="1">
      <formula>$A32="S"</formula>
    </cfRule>
  </conditionalFormatting>
  <conditionalFormatting sqref="A36:A37">
    <cfRule type="expression" dxfId="801" priority="29" stopIfTrue="1">
      <formula>$A36="S"</formula>
    </cfRule>
  </conditionalFormatting>
  <conditionalFormatting sqref="A36:A38">
    <cfRule type="expression" dxfId="800" priority="30" stopIfTrue="1">
      <formula>$A36="S"</formula>
    </cfRule>
  </conditionalFormatting>
  <conditionalFormatting sqref="A36:A38">
    <cfRule type="expression" dxfId="799" priority="31" stopIfTrue="1">
      <formula>$A36="S"</formula>
    </cfRule>
  </conditionalFormatting>
  <conditionalFormatting sqref="A36:A37">
    <cfRule type="expression" dxfId="798" priority="32" stopIfTrue="1">
      <formula>$A36="S"</formula>
    </cfRule>
  </conditionalFormatting>
  <conditionalFormatting sqref="A30">
    <cfRule type="expression" dxfId="797" priority="33" stopIfTrue="1">
      <formula>$A30="S"</formula>
    </cfRule>
  </conditionalFormatting>
  <conditionalFormatting sqref="A33">
    <cfRule type="expression" dxfId="796" priority="34" stopIfTrue="1">
      <formula>$A33="S"</formula>
    </cfRule>
  </conditionalFormatting>
  <conditionalFormatting sqref="A33">
    <cfRule type="expression" dxfId="795" priority="35" stopIfTrue="1">
      <formula>$A33="S"</formula>
    </cfRule>
  </conditionalFormatting>
  <conditionalFormatting sqref="A36:A37">
    <cfRule type="expression" dxfId="794" priority="36" stopIfTrue="1">
      <formula>$A36="S"</formula>
    </cfRule>
  </conditionalFormatting>
  <conditionalFormatting sqref="A38">
    <cfRule type="expression" dxfId="793" priority="37" stopIfTrue="1">
      <formula>$A38="S"</formula>
    </cfRule>
  </conditionalFormatting>
  <conditionalFormatting sqref="A36:A38">
    <cfRule type="expression" dxfId="792" priority="38" stopIfTrue="1">
      <formula>$A36="S"</formula>
    </cfRule>
  </conditionalFormatting>
  <conditionalFormatting sqref="A36:A38">
    <cfRule type="expression" dxfId="791" priority="39" stopIfTrue="1">
      <formula>$A36="S"</formula>
    </cfRule>
  </conditionalFormatting>
  <conditionalFormatting sqref="A29">
    <cfRule type="expression" dxfId="790" priority="40" stopIfTrue="1">
      <formula>$A29="S"</formula>
    </cfRule>
  </conditionalFormatting>
  <conditionalFormatting sqref="A33">
    <cfRule type="expression" dxfId="789" priority="41" stopIfTrue="1">
      <formula>$A33="S"</formula>
    </cfRule>
  </conditionalFormatting>
  <conditionalFormatting sqref="A32">
    <cfRule type="expression" dxfId="788" priority="42" stopIfTrue="1">
      <formula>$A32="S"</formula>
    </cfRule>
  </conditionalFormatting>
  <conditionalFormatting sqref="A29">
    <cfRule type="expression" dxfId="787" priority="43" stopIfTrue="1">
      <formula>$A29="S"</formula>
    </cfRule>
  </conditionalFormatting>
  <conditionalFormatting sqref="A29">
    <cfRule type="expression" dxfId="786" priority="44" stopIfTrue="1">
      <formula>$A29="S"</formula>
    </cfRule>
  </conditionalFormatting>
  <conditionalFormatting sqref="A36:A38">
    <cfRule type="expression" dxfId="785" priority="45" stopIfTrue="1">
      <formula>$A36="S"</formula>
    </cfRule>
  </conditionalFormatting>
  <conditionalFormatting sqref="A37:A38">
    <cfRule type="expression" dxfId="784" priority="46" stopIfTrue="1">
      <formula>$A37="S"</formula>
    </cfRule>
  </conditionalFormatting>
  <conditionalFormatting sqref="A36:A37">
    <cfRule type="expression" dxfId="783" priority="47" stopIfTrue="1">
      <formula>$A36="S"</formula>
    </cfRule>
  </conditionalFormatting>
  <conditionalFormatting sqref="A36:A38">
    <cfRule type="expression" dxfId="782" priority="48" stopIfTrue="1">
      <formula>$A36="S"</formula>
    </cfRule>
  </conditionalFormatting>
  <conditionalFormatting sqref="A36:A37">
    <cfRule type="expression" dxfId="781" priority="49" stopIfTrue="1">
      <formula>$A36="S"</formula>
    </cfRule>
  </conditionalFormatting>
  <conditionalFormatting sqref="A38">
    <cfRule type="expression" dxfId="780" priority="50" stopIfTrue="1">
      <formula>$A38="S"</formula>
    </cfRule>
  </conditionalFormatting>
  <conditionalFormatting sqref="A36:A38">
    <cfRule type="expression" dxfId="779" priority="51" stopIfTrue="1">
      <formula>$A36="S"</formula>
    </cfRule>
  </conditionalFormatting>
  <conditionalFormatting sqref="A37:A38">
    <cfRule type="expression" dxfId="778" priority="52" stopIfTrue="1">
      <formula>$A37="S"</formula>
    </cfRule>
  </conditionalFormatting>
  <conditionalFormatting sqref="A36:A38">
    <cfRule type="expression" dxfId="777" priority="53" stopIfTrue="1">
      <formula>$A36="S"</formula>
    </cfRule>
  </conditionalFormatting>
  <conditionalFormatting sqref="A37:A38">
    <cfRule type="expression" dxfId="776" priority="54" stopIfTrue="1">
      <formula>$A37="S"</formula>
    </cfRule>
  </conditionalFormatting>
  <conditionalFormatting sqref="A38">
    <cfRule type="expression" dxfId="775" priority="55" stopIfTrue="1">
      <formula>$A38="S"</formula>
    </cfRule>
  </conditionalFormatting>
  <conditionalFormatting sqref="A38">
    <cfRule type="expression" dxfId="774" priority="56" stopIfTrue="1">
      <formula>$A38="S"</formula>
    </cfRule>
  </conditionalFormatting>
  <conditionalFormatting sqref="A38">
    <cfRule type="expression" dxfId="773" priority="57" stopIfTrue="1">
      <formula>$A38="S"</formula>
    </cfRule>
  </conditionalFormatting>
  <conditionalFormatting sqref="A38">
    <cfRule type="expression" dxfId="772" priority="58" stopIfTrue="1">
      <formula>$A38="S"</formula>
    </cfRule>
  </conditionalFormatting>
  <conditionalFormatting sqref="A38">
    <cfRule type="expression" dxfId="771" priority="59" stopIfTrue="1">
      <formula>$A38="S"</formula>
    </cfRule>
  </conditionalFormatting>
  <conditionalFormatting sqref="A36:A37">
    <cfRule type="expression" dxfId="770" priority="60" stopIfTrue="1">
      <formula>$A36="S"</formula>
    </cfRule>
  </conditionalFormatting>
  <conditionalFormatting sqref="A36:A37">
    <cfRule type="expression" dxfId="769" priority="61" stopIfTrue="1">
      <formula>$A36="S"</formula>
    </cfRule>
  </conditionalFormatting>
  <conditionalFormatting sqref="A36:A37">
    <cfRule type="expression" dxfId="768" priority="62" stopIfTrue="1">
      <formula>$A36="S"</formula>
    </cfRule>
  </conditionalFormatting>
  <conditionalFormatting sqref="A36:A37">
    <cfRule type="expression" dxfId="767" priority="63" stopIfTrue="1">
      <formula>$A36="S"</formula>
    </cfRule>
  </conditionalFormatting>
  <conditionalFormatting sqref="A36:A37">
    <cfRule type="expression" dxfId="766" priority="64" stopIfTrue="1">
      <formula>$A36="S"</formula>
    </cfRule>
  </conditionalFormatting>
  <conditionalFormatting sqref="A36:A37">
    <cfRule type="expression" dxfId="765" priority="65" stopIfTrue="1">
      <formula>$A36="S"</formula>
    </cfRule>
  </conditionalFormatting>
  <conditionalFormatting sqref="A38">
    <cfRule type="expression" dxfId="764" priority="66" stopIfTrue="1">
      <formula>$A38="S"</formula>
    </cfRule>
  </conditionalFormatting>
  <conditionalFormatting sqref="A38">
    <cfRule type="expression" dxfId="763" priority="67" stopIfTrue="1">
      <formula>$A38="S"</formula>
    </cfRule>
  </conditionalFormatting>
  <conditionalFormatting sqref="A38">
    <cfRule type="expression" dxfId="762" priority="68" stopIfTrue="1">
      <formula>$A38="S"</formula>
    </cfRule>
  </conditionalFormatting>
  <conditionalFormatting sqref="A38">
    <cfRule type="expression" dxfId="761" priority="69" stopIfTrue="1">
      <formula>$A38="S"</formula>
    </cfRule>
  </conditionalFormatting>
  <conditionalFormatting sqref="A36:A37">
    <cfRule type="expression" dxfId="760" priority="70" stopIfTrue="1">
      <formula>$A36="S"</formula>
    </cfRule>
  </conditionalFormatting>
  <conditionalFormatting sqref="A36:A37">
    <cfRule type="expression" dxfId="759" priority="71" stopIfTrue="1">
      <formula>$A36="S"</formula>
    </cfRule>
  </conditionalFormatting>
  <conditionalFormatting sqref="A38">
    <cfRule type="expression" dxfId="758" priority="72" stopIfTrue="1">
      <formula>$A38="S"</formula>
    </cfRule>
  </conditionalFormatting>
  <conditionalFormatting sqref="A35">
    <cfRule type="expression" dxfId="757" priority="73" stopIfTrue="1">
      <formula>$A35="S"</formula>
    </cfRule>
  </conditionalFormatting>
  <conditionalFormatting sqref="A36:A37">
    <cfRule type="expression" dxfId="756" priority="74" stopIfTrue="1">
      <formula>$A36="S"</formula>
    </cfRule>
  </conditionalFormatting>
  <conditionalFormatting sqref="A38">
    <cfRule type="expression" dxfId="755" priority="75" stopIfTrue="1">
      <formula>$A38="S"</formula>
    </cfRule>
  </conditionalFormatting>
  <conditionalFormatting sqref="A36:A37">
    <cfRule type="expression" dxfId="754" priority="76" stopIfTrue="1">
      <formula>$A36="S"</formula>
    </cfRule>
  </conditionalFormatting>
  <conditionalFormatting sqref="A38">
    <cfRule type="expression" dxfId="753" priority="77" stopIfTrue="1">
      <formula>$A38="S"</formula>
    </cfRule>
  </conditionalFormatting>
  <conditionalFormatting sqref="A35">
    <cfRule type="expression" dxfId="752" priority="78" stopIfTrue="1">
      <formula>$A35="S"</formula>
    </cfRule>
  </conditionalFormatting>
  <conditionalFormatting sqref="A35">
    <cfRule type="expression" dxfId="751" priority="79" stopIfTrue="1">
      <formula>$A35="S"</formula>
    </cfRule>
  </conditionalFormatting>
  <conditionalFormatting sqref="A35">
    <cfRule type="expression" dxfId="750" priority="80" stopIfTrue="1">
      <formula>$A35="S"</formula>
    </cfRule>
  </conditionalFormatting>
  <conditionalFormatting sqref="A35">
    <cfRule type="expression" dxfId="749" priority="81" stopIfTrue="1">
      <formula>$A35="S"</formula>
    </cfRule>
  </conditionalFormatting>
  <conditionalFormatting sqref="A35">
    <cfRule type="expression" dxfId="748" priority="82" stopIfTrue="1">
      <formula>$A35="S"</formula>
    </cfRule>
  </conditionalFormatting>
  <conditionalFormatting sqref="A35">
    <cfRule type="expression" dxfId="747" priority="83" stopIfTrue="1">
      <formula>$A35="S"</formula>
    </cfRule>
  </conditionalFormatting>
  <conditionalFormatting sqref="A35">
    <cfRule type="expression" dxfId="746" priority="84" stopIfTrue="1">
      <formula>$A35="S"</formula>
    </cfRule>
  </conditionalFormatting>
  <conditionalFormatting sqref="A35">
    <cfRule type="expression" dxfId="745" priority="85" stopIfTrue="1">
      <formula>$A35="S"</formula>
    </cfRule>
  </conditionalFormatting>
  <conditionalFormatting sqref="A35">
    <cfRule type="expression" dxfId="744" priority="86" stopIfTrue="1">
      <formula>$A35="S"</formula>
    </cfRule>
  </conditionalFormatting>
  <conditionalFormatting sqref="A35">
    <cfRule type="expression" dxfId="743" priority="87" stopIfTrue="1">
      <formula>$A35="S"</formula>
    </cfRule>
  </conditionalFormatting>
  <conditionalFormatting sqref="A35">
    <cfRule type="expression" dxfId="742" priority="88" stopIfTrue="1">
      <formula>$A35="S"</formula>
    </cfRule>
  </conditionalFormatting>
  <conditionalFormatting sqref="A35">
    <cfRule type="expression" dxfId="741" priority="89" stopIfTrue="1">
      <formula>$A35="S"</formula>
    </cfRule>
  </conditionalFormatting>
  <conditionalFormatting sqref="A39">
    <cfRule type="expression" dxfId="740" priority="90" stopIfTrue="1">
      <formula>$A39="S"</formula>
    </cfRule>
  </conditionalFormatting>
  <conditionalFormatting sqref="A35">
    <cfRule type="expression" dxfId="739" priority="91" stopIfTrue="1">
      <formula>$A35="S"</formula>
    </cfRule>
  </conditionalFormatting>
  <conditionalFormatting sqref="A35">
    <cfRule type="expression" dxfId="738" priority="92" stopIfTrue="1">
      <formula>$A35="S"</formula>
    </cfRule>
  </conditionalFormatting>
  <conditionalFormatting sqref="A39">
    <cfRule type="expression" dxfId="737" priority="93" stopIfTrue="1">
      <formula>$A39="S"</formula>
    </cfRule>
  </conditionalFormatting>
  <conditionalFormatting sqref="A39">
    <cfRule type="expression" dxfId="736" priority="94" stopIfTrue="1">
      <formula>$A39="S"</formula>
    </cfRule>
  </conditionalFormatting>
  <conditionalFormatting sqref="A39">
    <cfRule type="expression" dxfId="735" priority="95" stopIfTrue="1">
      <formula>$A39="S"</formula>
    </cfRule>
  </conditionalFormatting>
  <conditionalFormatting sqref="A35">
    <cfRule type="expression" dxfId="734" priority="96" stopIfTrue="1">
      <formula>$A35="S"</formula>
    </cfRule>
  </conditionalFormatting>
  <conditionalFormatting sqref="A37">
    <cfRule type="expression" dxfId="733" priority="97" stopIfTrue="1">
      <formula>$A37="S"</formula>
    </cfRule>
  </conditionalFormatting>
  <conditionalFormatting sqref="A39">
    <cfRule type="expression" dxfId="732" priority="98" stopIfTrue="1">
      <formula>$A39="S"</formula>
    </cfRule>
  </conditionalFormatting>
  <conditionalFormatting sqref="S35">
    <cfRule type="expression" dxfId="731" priority="99" stopIfTrue="1">
      <formula>$A35="S"</formula>
    </cfRule>
  </conditionalFormatting>
  <conditionalFormatting sqref="A32">
    <cfRule type="expression" dxfId="730" priority="100" stopIfTrue="1">
      <formula>$A32="S"</formula>
    </cfRule>
  </conditionalFormatting>
  <conditionalFormatting sqref="A32">
    <cfRule type="expression" dxfId="729" priority="101" stopIfTrue="1">
      <formula>$A32="S"</formula>
    </cfRule>
  </conditionalFormatting>
  <conditionalFormatting sqref="A29">
    <cfRule type="expression" dxfId="728" priority="102" stopIfTrue="1">
      <formula>$A29="S"</formula>
    </cfRule>
  </conditionalFormatting>
  <conditionalFormatting sqref="A33">
    <cfRule type="expression" dxfId="727" priority="103" stopIfTrue="1">
      <formula>$A33="S"</formula>
    </cfRule>
  </conditionalFormatting>
  <conditionalFormatting sqref="A30">
    <cfRule type="expression" dxfId="726" priority="104" stopIfTrue="1">
      <formula>$A30="S"</formula>
    </cfRule>
  </conditionalFormatting>
  <conditionalFormatting sqref="A33">
    <cfRule type="expression" dxfId="725" priority="105" stopIfTrue="1">
      <formula>$A33="S"</formula>
    </cfRule>
  </conditionalFormatting>
  <conditionalFormatting sqref="A33">
    <cfRule type="expression" dxfId="724" priority="106" stopIfTrue="1">
      <formula>$A33="S"</formula>
    </cfRule>
  </conditionalFormatting>
  <conditionalFormatting sqref="A30">
    <cfRule type="expression" dxfId="723" priority="107" stopIfTrue="1">
      <formula>$A30="S"</formula>
    </cfRule>
  </conditionalFormatting>
  <conditionalFormatting sqref="A32">
    <cfRule type="expression" dxfId="722" priority="108" stopIfTrue="1">
      <formula>$A32="S"</formula>
    </cfRule>
  </conditionalFormatting>
  <conditionalFormatting sqref="A32">
    <cfRule type="expression" dxfId="721" priority="109" stopIfTrue="1">
      <formula>$A32="S"</formula>
    </cfRule>
  </conditionalFormatting>
  <conditionalFormatting sqref="A29">
    <cfRule type="expression" dxfId="720" priority="110" stopIfTrue="1">
      <formula>$A29="S"</formula>
    </cfRule>
  </conditionalFormatting>
  <conditionalFormatting sqref="A33">
    <cfRule type="expression" dxfId="719" priority="111" stopIfTrue="1">
      <formula>$A33="S"</formula>
    </cfRule>
  </conditionalFormatting>
  <conditionalFormatting sqref="A29">
    <cfRule type="expression" dxfId="718" priority="112" stopIfTrue="1">
      <formula>$A29="S"</formula>
    </cfRule>
  </conditionalFormatting>
  <conditionalFormatting sqref="A34">
    <cfRule type="expression" dxfId="717" priority="113" stopIfTrue="1">
      <formula>$A34="S"</formula>
    </cfRule>
  </conditionalFormatting>
  <conditionalFormatting sqref="A33:A34">
    <cfRule type="expression" dxfId="716" priority="114" stopIfTrue="1">
      <formula>$A33="S"</formula>
    </cfRule>
  </conditionalFormatting>
  <conditionalFormatting sqref="A31">
    <cfRule type="expression" dxfId="715" priority="115" stopIfTrue="1">
      <formula>$A31="S"</formula>
    </cfRule>
  </conditionalFormatting>
  <conditionalFormatting sqref="A29">
    <cfRule type="expression" dxfId="714" priority="116" stopIfTrue="1">
      <formula>$A29="S"</formula>
    </cfRule>
  </conditionalFormatting>
  <conditionalFormatting sqref="A32">
    <cfRule type="expression" dxfId="713" priority="117" stopIfTrue="1">
      <formula>$A32="S"</formula>
    </cfRule>
  </conditionalFormatting>
  <conditionalFormatting sqref="A32">
    <cfRule type="expression" dxfId="712" priority="118" stopIfTrue="1">
      <formula>$A32="S"</formula>
    </cfRule>
  </conditionalFormatting>
  <conditionalFormatting sqref="A29">
    <cfRule type="expression" dxfId="711" priority="119" stopIfTrue="1">
      <formula>$A29="S"</formula>
    </cfRule>
  </conditionalFormatting>
  <conditionalFormatting sqref="A33">
    <cfRule type="expression" dxfId="710" priority="120" stopIfTrue="1">
      <formula>$A33="S"</formula>
    </cfRule>
  </conditionalFormatting>
  <conditionalFormatting sqref="A30">
    <cfRule type="expression" dxfId="709" priority="121" stopIfTrue="1">
      <formula>$A30="S"</formula>
    </cfRule>
  </conditionalFormatting>
  <conditionalFormatting sqref="A30">
    <cfRule type="expression" dxfId="708" priority="122" stopIfTrue="1">
      <formula>$A30="S"</formula>
    </cfRule>
  </conditionalFormatting>
  <conditionalFormatting sqref="A31">
    <cfRule type="expression" dxfId="707" priority="123" stopIfTrue="1">
      <formula>$A31="S"</formula>
    </cfRule>
  </conditionalFormatting>
  <conditionalFormatting sqref="A34">
    <cfRule type="expression" dxfId="706" priority="124" stopIfTrue="1">
      <formula>$A34="S"</formula>
    </cfRule>
  </conditionalFormatting>
  <conditionalFormatting sqref="A34">
    <cfRule type="expression" dxfId="705" priority="125" stopIfTrue="1">
      <formula>$A34="S"</formula>
    </cfRule>
  </conditionalFormatting>
  <conditionalFormatting sqref="A32">
    <cfRule type="expression" dxfId="704" priority="126" stopIfTrue="1">
      <formula>$A32="S"</formula>
    </cfRule>
  </conditionalFormatting>
  <conditionalFormatting sqref="A29">
    <cfRule type="expression" dxfId="703" priority="127" stopIfTrue="1">
      <formula>$A29="S"</formula>
    </cfRule>
  </conditionalFormatting>
  <conditionalFormatting sqref="A29">
    <cfRule type="expression" dxfId="702" priority="128" stopIfTrue="1">
      <formula>$A29="S"</formula>
    </cfRule>
  </conditionalFormatting>
  <conditionalFormatting sqref="A30">
    <cfRule type="expression" dxfId="701" priority="129" stopIfTrue="1">
      <formula>$A30="S"</formula>
    </cfRule>
  </conditionalFormatting>
  <conditionalFormatting sqref="A33">
    <cfRule type="expression" dxfId="700" priority="130" stopIfTrue="1">
      <formula>$A33="S"</formula>
    </cfRule>
  </conditionalFormatting>
  <conditionalFormatting sqref="A33">
    <cfRule type="expression" dxfId="699" priority="131" stopIfTrue="1">
      <formula>$A33="S"</formula>
    </cfRule>
  </conditionalFormatting>
  <conditionalFormatting sqref="A29">
    <cfRule type="expression" dxfId="698" priority="132" stopIfTrue="1">
      <formula>$A29="S"</formula>
    </cfRule>
  </conditionalFormatting>
  <conditionalFormatting sqref="A30">
    <cfRule type="expression" dxfId="697" priority="133" stopIfTrue="1">
      <formula>$A30="S"</formula>
    </cfRule>
  </conditionalFormatting>
  <conditionalFormatting sqref="A33">
    <cfRule type="expression" dxfId="696" priority="134" stopIfTrue="1">
      <formula>$A33="S"</formula>
    </cfRule>
  </conditionalFormatting>
  <conditionalFormatting sqref="A33">
    <cfRule type="expression" dxfId="695" priority="135" stopIfTrue="1">
      <formula>$A33="S"</formula>
    </cfRule>
  </conditionalFormatting>
  <conditionalFormatting sqref="A30">
    <cfRule type="expression" dxfId="694" priority="136" stopIfTrue="1">
      <formula>$A30="S"</formula>
    </cfRule>
  </conditionalFormatting>
  <conditionalFormatting sqref="A34">
    <cfRule type="expression" dxfId="693" priority="137" stopIfTrue="1">
      <formula>$A34="S"</formula>
    </cfRule>
  </conditionalFormatting>
  <conditionalFormatting sqref="A30">
    <cfRule type="expression" dxfId="692" priority="138" stopIfTrue="1">
      <formula>$A30="S"</formula>
    </cfRule>
  </conditionalFormatting>
  <conditionalFormatting sqref="A31">
    <cfRule type="expression" dxfId="691" priority="139" stopIfTrue="1">
      <formula>$A31="S"</formula>
    </cfRule>
  </conditionalFormatting>
  <conditionalFormatting sqref="A31">
    <cfRule type="expression" dxfId="690" priority="140" stopIfTrue="1">
      <formula>$A31="S"</formula>
    </cfRule>
  </conditionalFormatting>
  <conditionalFormatting sqref="A34">
    <cfRule type="expression" dxfId="689" priority="141" stopIfTrue="1">
      <formula>$A34="S"</formula>
    </cfRule>
  </conditionalFormatting>
  <conditionalFormatting sqref="A34">
    <cfRule type="expression" dxfId="688" priority="142" stopIfTrue="1">
      <formula>$A34="S"</formula>
    </cfRule>
  </conditionalFormatting>
  <conditionalFormatting sqref="A31">
    <cfRule type="expression" dxfId="687" priority="143" stopIfTrue="1">
      <formula>$A31="S"</formula>
    </cfRule>
  </conditionalFormatting>
  <conditionalFormatting sqref="A31">
    <cfRule type="expression" dxfId="686" priority="144" stopIfTrue="1">
      <formula>$A31="S"</formula>
    </cfRule>
  </conditionalFormatting>
  <conditionalFormatting sqref="A31">
    <cfRule type="expression" dxfId="685" priority="145" stopIfTrue="1">
      <formula>$A31="S"</formula>
    </cfRule>
  </conditionalFormatting>
  <conditionalFormatting sqref="A32">
    <cfRule type="expression" dxfId="684" priority="146" stopIfTrue="1">
      <formula>$A32="S"</formula>
    </cfRule>
  </conditionalFormatting>
  <conditionalFormatting sqref="A30">
    <cfRule type="expression" dxfId="683" priority="147" stopIfTrue="1">
      <formula>$A30="S"</formula>
    </cfRule>
  </conditionalFormatting>
  <conditionalFormatting sqref="A34">
    <cfRule type="expression" dxfId="682" priority="148" stopIfTrue="1">
      <formula>$A34="S"</formula>
    </cfRule>
  </conditionalFormatting>
  <conditionalFormatting sqref="A34">
    <cfRule type="expression" dxfId="681" priority="149" stopIfTrue="1">
      <formula>$A34="S"</formula>
    </cfRule>
  </conditionalFormatting>
  <conditionalFormatting sqref="A34">
    <cfRule type="expression" dxfId="680" priority="150" stopIfTrue="1">
      <formula>$A34="S"</formula>
    </cfRule>
  </conditionalFormatting>
  <conditionalFormatting sqref="A31">
    <cfRule type="expression" dxfId="679" priority="151" stopIfTrue="1">
      <formula>$A31="S"</formula>
    </cfRule>
  </conditionalFormatting>
  <conditionalFormatting sqref="A34">
    <cfRule type="expression" dxfId="678" priority="152" stopIfTrue="1">
      <formula>$A34="S"</formula>
    </cfRule>
  </conditionalFormatting>
  <conditionalFormatting sqref="A31">
    <cfRule type="expression" dxfId="677" priority="153" stopIfTrue="1">
      <formula>$A31="S"</formula>
    </cfRule>
  </conditionalFormatting>
  <conditionalFormatting sqref="A31">
    <cfRule type="expression" dxfId="676" priority="154" stopIfTrue="1">
      <formula>$A31="S"</formula>
    </cfRule>
  </conditionalFormatting>
  <conditionalFormatting sqref="A37">
    <cfRule type="expression" dxfId="675" priority="155" stopIfTrue="1">
      <formula>$A37="S"</formula>
    </cfRule>
  </conditionalFormatting>
  <conditionalFormatting sqref="A37">
    <cfRule type="expression" dxfId="674" priority="156" stopIfTrue="1">
      <formula>$A37="S"</formula>
    </cfRule>
  </conditionalFormatting>
  <conditionalFormatting sqref="A35">
    <cfRule type="expression" dxfId="673" priority="157" stopIfTrue="1">
      <formula>$A35="S"</formula>
    </cfRule>
  </conditionalFormatting>
  <conditionalFormatting sqref="A35">
    <cfRule type="expression" dxfId="672" priority="158" stopIfTrue="1">
      <formula>$A35="S"</formula>
    </cfRule>
  </conditionalFormatting>
  <conditionalFormatting sqref="A35">
    <cfRule type="expression" dxfId="671" priority="159" stopIfTrue="1">
      <formula>$A35="S"</formula>
    </cfRule>
  </conditionalFormatting>
  <conditionalFormatting sqref="A35">
    <cfRule type="expression" dxfId="670" priority="160" stopIfTrue="1">
      <formula>$A35="S"</formula>
    </cfRule>
  </conditionalFormatting>
  <conditionalFormatting sqref="A35">
    <cfRule type="expression" dxfId="669" priority="161" stopIfTrue="1">
      <formula>$A35="S"</formula>
    </cfRule>
  </conditionalFormatting>
  <conditionalFormatting sqref="A35">
    <cfRule type="expression" dxfId="668" priority="162" stopIfTrue="1">
      <formula>$A35="S"</formula>
    </cfRule>
  </conditionalFormatting>
  <conditionalFormatting sqref="A38">
    <cfRule type="expression" dxfId="667" priority="163" stopIfTrue="1">
      <formula>$A38="S"</formula>
    </cfRule>
  </conditionalFormatting>
  <conditionalFormatting sqref="A36">
    <cfRule type="expression" dxfId="666" priority="164" stopIfTrue="1">
      <formula>$A36="S"</formula>
    </cfRule>
  </conditionalFormatting>
  <conditionalFormatting sqref="A36">
    <cfRule type="expression" dxfId="665" priority="165" stopIfTrue="1">
      <formula>$A36="S"</formula>
    </cfRule>
  </conditionalFormatting>
  <conditionalFormatting sqref="A36">
    <cfRule type="expression" dxfId="664" priority="166" stopIfTrue="1">
      <formula>$A36="S"</formula>
    </cfRule>
  </conditionalFormatting>
  <conditionalFormatting sqref="A36">
    <cfRule type="expression" dxfId="663" priority="167" stopIfTrue="1">
      <formula>$A36="S"</formula>
    </cfRule>
  </conditionalFormatting>
  <conditionalFormatting sqref="A33">
    <cfRule type="expression" dxfId="662" priority="168" stopIfTrue="1">
      <formula>$A33="S"</formula>
    </cfRule>
  </conditionalFormatting>
  <conditionalFormatting sqref="A31">
    <cfRule type="expression" dxfId="661" priority="169" stopIfTrue="1">
      <formula>$A31="S"</formula>
    </cfRule>
  </conditionalFormatting>
  <conditionalFormatting sqref="A29:A30">
    <cfRule type="expression" dxfId="660" priority="170" stopIfTrue="1">
      <formula>$A29="S"</formula>
    </cfRule>
  </conditionalFormatting>
  <conditionalFormatting sqref="A29:A34">
    <cfRule type="expression" dxfId="659" priority="171" stopIfTrue="1">
      <formula>$A29="S"</formula>
    </cfRule>
  </conditionalFormatting>
  <conditionalFormatting sqref="A29:A30">
    <cfRule type="expression" dxfId="658" priority="172" stopIfTrue="1">
      <formula>$A29="S"</formula>
    </cfRule>
  </conditionalFormatting>
  <conditionalFormatting sqref="A33">
    <cfRule type="expression" dxfId="657" priority="173" stopIfTrue="1">
      <formula>$A33="S"</formula>
    </cfRule>
  </conditionalFormatting>
  <conditionalFormatting sqref="A29:A34">
    <cfRule type="expression" dxfId="656" priority="174" stopIfTrue="1">
      <formula>$A29="S"</formula>
    </cfRule>
  </conditionalFormatting>
  <conditionalFormatting sqref="A33">
    <cfRule type="expression" dxfId="655" priority="175" stopIfTrue="1">
      <formula>$A33="S"</formula>
    </cfRule>
  </conditionalFormatting>
  <conditionalFormatting sqref="A29:A30">
    <cfRule type="expression" dxfId="654" priority="176" stopIfTrue="1">
      <formula>$A29="S"</formula>
    </cfRule>
  </conditionalFormatting>
  <conditionalFormatting sqref="A29:A33">
    <cfRule type="expression" dxfId="653" priority="177" stopIfTrue="1">
      <formula>$A29="S"</formula>
    </cfRule>
  </conditionalFormatting>
  <conditionalFormatting sqref="A34">
    <cfRule type="expression" dxfId="652" priority="178" stopIfTrue="1">
      <formula>$A34="S"</formula>
    </cfRule>
  </conditionalFormatting>
  <conditionalFormatting sqref="A29:A34">
    <cfRule type="expression" dxfId="651" priority="179" stopIfTrue="1">
      <formula>$A29="S"</formula>
    </cfRule>
  </conditionalFormatting>
  <conditionalFormatting sqref="A29:A34">
    <cfRule type="expression" dxfId="650" priority="180" stopIfTrue="1">
      <formula>$A29="S"</formula>
    </cfRule>
  </conditionalFormatting>
  <conditionalFormatting sqref="A30:A34">
    <cfRule type="expression" dxfId="649" priority="181" stopIfTrue="1">
      <formula>$A30="S"</formula>
    </cfRule>
  </conditionalFormatting>
  <conditionalFormatting sqref="A29:A30">
    <cfRule type="expression" dxfId="648" priority="182" stopIfTrue="1">
      <formula>$A29="S"</formula>
    </cfRule>
  </conditionalFormatting>
  <conditionalFormatting sqref="A29:A33">
    <cfRule type="expression" dxfId="647" priority="183" stopIfTrue="1">
      <formula>$A29="S"</formula>
    </cfRule>
  </conditionalFormatting>
  <conditionalFormatting sqref="A29:A30">
    <cfRule type="expression" dxfId="646" priority="184" stopIfTrue="1">
      <formula>$A29="S"</formula>
    </cfRule>
  </conditionalFormatting>
  <conditionalFormatting sqref="A31">
    <cfRule type="expression" dxfId="645" priority="185" stopIfTrue="1">
      <formula>$A31="S"</formula>
    </cfRule>
  </conditionalFormatting>
  <conditionalFormatting sqref="A29:A33">
    <cfRule type="expression" dxfId="644" priority="186" stopIfTrue="1">
      <formula>$A29="S"</formula>
    </cfRule>
  </conditionalFormatting>
  <conditionalFormatting sqref="A34">
    <cfRule type="expression" dxfId="643" priority="187" stopIfTrue="1">
      <formula>$A34="S"</formula>
    </cfRule>
  </conditionalFormatting>
  <conditionalFormatting sqref="A30:A34">
    <cfRule type="expression" dxfId="642" priority="188" stopIfTrue="1">
      <formula>$A30="S"</formula>
    </cfRule>
  </conditionalFormatting>
  <conditionalFormatting sqref="A34">
    <cfRule type="expression" dxfId="641" priority="189" stopIfTrue="1">
      <formula>$A34="S"</formula>
    </cfRule>
  </conditionalFormatting>
  <conditionalFormatting sqref="A29:A34">
    <cfRule type="expression" dxfId="640" priority="190" stopIfTrue="1">
      <formula>$A29="S"</formula>
    </cfRule>
  </conditionalFormatting>
  <conditionalFormatting sqref="A30:A34">
    <cfRule type="expression" dxfId="639" priority="191" stopIfTrue="1">
      <formula>$A30="S"</formula>
    </cfRule>
  </conditionalFormatting>
  <conditionalFormatting sqref="A34">
    <cfRule type="expression" dxfId="638" priority="192" stopIfTrue="1">
      <formula>$A34="S"</formula>
    </cfRule>
  </conditionalFormatting>
  <conditionalFormatting sqref="A31">
    <cfRule type="expression" dxfId="637" priority="193" stopIfTrue="1">
      <formula>$A31="S"</formula>
    </cfRule>
  </conditionalFormatting>
  <conditionalFormatting sqref="A32">
    <cfRule type="expression" dxfId="636" priority="194" stopIfTrue="1">
      <formula>$A32="S"</formula>
    </cfRule>
  </conditionalFormatting>
  <conditionalFormatting sqref="A32">
    <cfRule type="expression" dxfId="635" priority="195" stopIfTrue="1">
      <formula>$A32="S"</formula>
    </cfRule>
  </conditionalFormatting>
  <conditionalFormatting sqref="A32">
    <cfRule type="expression" dxfId="634" priority="196" stopIfTrue="1">
      <formula>$A32="S"</formula>
    </cfRule>
  </conditionalFormatting>
  <conditionalFormatting sqref="A29:A30">
    <cfRule type="expression" dxfId="633" priority="197" stopIfTrue="1">
      <formula>$A29="S"</formula>
    </cfRule>
  </conditionalFormatting>
  <conditionalFormatting sqref="A33">
    <cfRule type="expression" dxfId="632" priority="198" stopIfTrue="1">
      <formula>$A33="S"</formula>
    </cfRule>
  </conditionalFormatting>
  <conditionalFormatting sqref="A31">
    <cfRule type="expression" dxfId="631" priority="199" stopIfTrue="1">
      <formula>$A31="S"</formula>
    </cfRule>
  </conditionalFormatting>
  <conditionalFormatting sqref="A32">
    <cfRule type="expression" dxfId="630" priority="200" stopIfTrue="1">
      <formula>$A32="S"</formula>
    </cfRule>
  </conditionalFormatting>
  <conditionalFormatting sqref="A31">
    <cfRule type="expression" dxfId="629" priority="201" stopIfTrue="1">
      <formula>$A31="S"</formula>
    </cfRule>
  </conditionalFormatting>
  <conditionalFormatting sqref="A32">
    <cfRule type="expression" dxfId="628" priority="202" stopIfTrue="1">
      <formula>$A32="S"</formula>
    </cfRule>
  </conditionalFormatting>
  <conditionalFormatting sqref="A33">
    <cfRule type="expression" dxfId="627" priority="203" stopIfTrue="1">
      <formula>$A33="S"</formula>
    </cfRule>
  </conditionalFormatting>
  <conditionalFormatting sqref="A31">
    <cfRule type="expression" dxfId="626" priority="204" stopIfTrue="1">
      <formula>$A31="S"</formula>
    </cfRule>
  </conditionalFormatting>
  <conditionalFormatting sqref="A32">
    <cfRule type="expression" dxfId="625" priority="205" stopIfTrue="1">
      <formula>$A32="S"</formula>
    </cfRule>
  </conditionalFormatting>
  <conditionalFormatting sqref="A32">
    <cfRule type="expression" dxfId="624" priority="206" stopIfTrue="1">
      <formula>$A32="S"</formula>
    </cfRule>
  </conditionalFormatting>
  <conditionalFormatting sqref="A31">
    <cfRule type="expression" dxfId="623" priority="207" stopIfTrue="1">
      <formula>$A31="S"</formula>
    </cfRule>
  </conditionalFormatting>
  <conditionalFormatting sqref="A29:A30">
    <cfRule type="expression" dxfId="622" priority="208" stopIfTrue="1">
      <formula>$A29="S"</formula>
    </cfRule>
  </conditionalFormatting>
  <conditionalFormatting sqref="A33">
    <cfRule type="expression" dxfId="621" priority="209" stopIfTrue="1">
      <formula>$A33="S"</formula>
    </cfRule>
  </conditionalFormatting>
  <conditionalFormatting sqref="A33">
    <cfRule type="expression" dxfId="620" priority="210" stopIfTrue="1">
      <formula>$A33="S"</formula>
    </cfRule>
  </conditionalFormatting>
  <conditionalFormatting sqref="A29:A30">
    <cfRule type="expression" dxfId="619" priority="211" stopIfTrue="1">
      <formula>$A29="S"</formula>
    </cfRule>
  </conditionalFormatting>
  <conditionalFormatting sqref="A32">
    <cfRule type="expression" dxfId="618" priority="212" stopIfTrue="1">
      <formula>$A32="S"</formula>
    </cfRule>
  </conditionalFormatting>
  <conditionalFormatting sqref="A32">
    <cfRule type="expression" dxfId="617" priority="213" stopIfTrue="1">
      <formula>$A32="S"</formula>
    </cfRule>
  </conditionalFormatting>
  <conditionalFormatting sqref="A33">
    <cfRule type="expression" dxfId="616" priority="214" stopIfTrue="1">
      <formula>$A33="S"</formula>
    </cfRule>
  </conditionalFormatting>
  <conditionalFormatting sqref="A32">
    <cfRule type="expression" dxfId="615" priority="215" stopIfTrue="1">
      <formula>$A32="S"</formula>
    </cfRule>
  </conditionalFormatting>
  <conditionalFormatting sqref="A29:A30">
    <cfRule type="expression" dxfId="614" priority="216" stopIfTrue="1">
      <formula>$A29="S"</formula>
    </cfRule>
  </conditionalFormatting>
  <conditionalFormatting sqref="A33">
    <cfRule type="expression" dxfId="613" priority="217" stopIfTrue="1">
      <formula>$A33="S"</formula>
    </cfRule>
  </conditionalFormatting>
  <conditionalFormatting sqref="A33">
    <cfRule type="expression" dxfId="612" priority="218" stopIfTrue="1">
      <formula>$A33="S"</formula>
    </cfRule>
  </conditionalFormatting>
  <conditionalFormatting sqref="A33">
    <cfRule type="expression" dxfId="611" priority="219" stopIfTrue="1">
      <formula>$A33="S"</formula>
    </cfRule>
  </conditionalFormatting>
  <conditionalFormatting sqref="A29:A30">
    <cfRule type="expression" dxfId="610" priority="220" stopIfTrue="1">
      <formula>$A29="S"</formula>
    </cfRule>
  </conditionalFormatting>
  <conditionalFormatting sqref="A31">
    <cfRule type="expression" dxfId="609" priority="221" stopIfTrue="1">
      <formula>$A31="S"</formula>
    </cfRule>
  </conditionalFormatting>
  <conditionalFormatting sqref="A34">
    <cfRule type="expression" dxfId="608" priority="222" stopIfTrue="1">
      <formula>$A34="S"</formula>
    </cfRule>
  </conditionalFormatting>
  <conditionalFormatting sqref="A34">
    <cfRule type="expression" dxfId="607" priority="223" stopIfTrue="1">
      <formula>$A34="S"</formula>
    </cfRule>
  </conditionalFormatting>
  <conditionalFormatting sqref="A29:A30">
    <cfRule type="expression" dxfId="606" priority="224" stopIfTrue="1">
      <formula>$A29="S"</formula>
    </cfRule>
  </conditionalFormatting>
  <conditionalFormatting sqref="A31">
    <cfRule type="expression" dxfId="605" priority="225" stopIfTrue="1">
      <formula>$A31="S"</formula>
    </cfRule>
  </conditionalFormatting>
  <conditionalFormatting sqref="A33">
    <cfRule type="expression" dxfId="604" priority="226" stopIfTrue="1">
      <formula>$A33="S"</formula>
    </cfRule>
  </conditionalFormatting>
  <conditionalFormatting sqref="A29:A30">
    <cfRule type="expression" dxfId="603" priority="227" stopIfTrue="1">
      <formula>$A29="S"</formula>
    </cfRule>
  </conditionalFormatting>
  <conditionalFormatting sqref="A29:A30">
    <cfRule type="expression" dxfId="602" priority="228" stopIfTrue="1">
      <formula>$A29="S"</formula>
    </cfRule>
  </conditionalFormatting>
  <conditionalFormatting sqref="A29:A30">
    <cfRule type="expression" dxfId="601" priority="229" stopIfTrue="1">
      <formula>$A29="S"</formula>
    </cfRule>
  </conditionalFormatting>
  <conditionalFormatting sqref="A34">
    <cfRule type="expression" dxfId="600" priority="230" stopIfTrue="1">
      <formula>$A34="S"</formula>
    </cfRule>
  </conditionalFormatting>
  <conditionalFormatting sqref="A34">
    <cfRule type="expression" dxfId="599" priority="231" stopIfTrue="1">
      <formula>$A34="S"</formula>
    </cfRule>
  </conditionalFormatting>
  <conditionalFormatting sqref="A31">
    <cfRule type="expression" dxfId="598" priority="232" stopIfTrue="1">
      <formula>$A31="S"</formula>
    </cfRule>
  </conditionalFormatting>
  <conditionalFormatting sqref="A31">
    <cfRule type="expression" dxfId="597" priority="233" stopIfTrue="1">
      <formula>$A31="S"</formula>
    </cfRule>
  </conditionalFormatting>
  <conditionalFormatting sqref="A34">
    <cfRule type="expression" dxfId="596" priority="234" stopIfTrue="1">
      <formula>$A34="S"</formula>
    </cfRule>
  </conditionalFormatting>
  <conditionalFormatting sqref="A34">
    <cfRule type="expression" dxfId="595" priority="235" stopIfTrue="1">
      <formula>$A34="S"</formula>
    </cfRule>
  </conditionalFormatting>
  <conditionalFormatting sqref="A29:A30">
    <cfRule type="expression" dxfId="594" priority="236" stopIfTrue="1">
      <formula>$A29="S"</formula>
    </cfRule>
  </conditionalFormatting>
  <conditionalFormatting sqref="A31">
    <cfRule type="expression" dxfId="593" priority="237" stopIfTrue="1">
      <formula>$A31="S"</formula>
    </cfRule>
  </conditionalFormatting>
  <conditionalFormatting sqref="A34">
    <cfRule type="expression" dxfId="592" priority="238" stopIfTrue="1">
      <formula>$A34="S"</formula>
    </cfRule>
  </conditionalFormatting>
  <conditionalFormatting sqref="A34">
    <cfRule type="expression" dxfId="591" priority="239" stopIfTrue="1">
      <formula>$A34="S"</formula>
    </cfRule>
  </conditionalFormatting>
  <conditionalFormatting sqref="A31">
    <cfRule type="expression" dxfId="590" priority="240" stopIfTrue="1">
      <formula>$A31="S"</formula>
    </cfRule>
  </conditionalFormatting>
  <conditionalFormatting sqref="A33">
    <cfRule type="expression" dxfId="589" priority="241" stopIfTrue="1">
      <formula>$A33="S"</formula>
    </cfRule>
  </conditionalFormatting>
  <conditionalFormatting sqref="A28">
    <cfRule type="expression" dxfId="588" priority="242" stopIfTrue="1">
      <formula>$A28="S"</formula>
    </cfRule>
  </conditionalFormatting>
  <conditionalFormatting sqref="A32">
    <cfRule type="expression" dxfId="587" priority="243" stopIfTrue="1">
      <formula>$A32="S"</formula>
    </cfRule>
  </conditionalFormatting>
  <conditionalFormatting sqref="A32">
    <cfRule type="expression" dxfId="586" priority="244" stopIfTrue="1">
      <formula>$A32="S"</formula>
    </cfRule>
  </conditionalFormatting>
  <conditionalFormatting sqref="A32">
    <cfRule type="expression" dxfId="585" priority="245" stopIfTrue="1">
      <formula>$A32="S"</formula>
    </cfRule>
  </conditionalFormatting>
  <conditionalFormatting sqref="A28">
    <cfRule type="expression" dxfId="584" priority="246" stopIfTrue="1">
      <formula>$A28="S"</formula>
    </cfRule>
  </conditionalFormatting>
  <conditionalFormatting sqref="A31">
    <cfRule type="expression" dxfId="583" priority="247" stopIfTrue="1">
      <formula>$A31="S"</formula>
    </cfRule>
  </conditionalFormatting>
  <conditionalFormatting sqref="A32">
    <cfRule type="expression" dxfId="582" priority="248" stopIfTrue="1">
      <formula>$A32="S"</formula>
    </cfRule>
  </conditionalFormatting>
  <conditionalFormatting sqref="A28">
    <cfRule type="expression" dxfId="581" priority="249" stopIfTrue="1">
      <formula>$A28="S"</formula>
    </cfRule>
  </conditionalFormatting>
  <conditionalFormatting sqref="A28">
    <cfRule type="expression" dxfId="580" priority="250" stopIfTrue="1">
      <formula>$A28="S"</formula>
    </cfRule>
  </conditionalFormatting>
  <conditionalFormatting sqref="A28">
    <cfRule type="expression" dxfId="579" priority="251" stopIfTrue="1">
      <formula>$A28="S"</formula>
    </cfRule>
  </conditionalFormatting>
  <conditionalFormatting sqref="A28">
    <cfRule type="expression" dxfId="578" priority="252" stopIfTrue="1">
      <formula>$A28="S"</formula>
    </cfRule>
  </conditionalFormatting>
  <conditionalFormatting sqref="A28">
    <cfRule type="expression" dxfId="577" priority="253" stopIfTrue="1">
      <formula>$A28="S"</formula>
    </cfRule>
  </conditionalFormatting>
  <conditionalFormatting sqref="A28">
    <cfRule type="expression" dxfId="576" priority="254" stopIfTrue="1">
      <formula>$A28="S"</formula>
    </cfRule>
  </conditionalFormatting>
  <conditionalFormatting sqref="A28">
    <cfRule type="expression" dxfId="575" priority="255" stopIfTrue="1">
      <formula>$A28="S"</formula>
    </cfRule>
  </conditionalFormatting>
  <conditionalFormatting sqref="A28">
    <cfRule type="expression" dxfId="574" priority="256" stopIfTrue="1">
      <formula>$A28="S"</formula>
    </cfRule>
  </conditionalFormatting>
  <conditionalFormatting sqref="A28">
    <cfRule type="expression" dxfId="573" priority="257" stopIfTrue="1">
      <formula>$A28="S"</formula>
    </cfRule>
  </conditionalFormatting>
  <conditionalFormatting sqref="A28">
    <cfRule type="expression" dxfId="572" priority="258" stopIfTrue="1">
      <formula>$A28="S"</formula>
    </cfRule>
  </conditionalFormatting>
  <conditionalFormatting sqref="A28">
    <cfRule type="expression" dxfId="571" priority="259" stopIfTrue="1">
      <formula>$A28="S"</formula>
    </cfRule>
  </conditionalFormatting>
  <conditionalFormatting sqref="A28">
    <cfRule type="expression" dxfId="570" priority="260" stopIfTrue="1">
      <formula>$A28="S"</formula>
    </cfRule>
  </conditionalFormatting>
  <conditionalFormatting sqref="A28">
    <cfRule type="expression" dxfId="569" priority="261" stopIfTrue="1">
      <formula>$A28="S"</formula>
    </cfRule>
  </conditionalFormatting>
  <conditionalFormatting sqref="A28">
    <cfRule type="expression" dxfId="568" priority="262" stopIfTrue="1">
      <formula>$A28="S"</formula>
    </cfRule>
  </conditionalFormatting>
  <conditionalFormatting sqref="A28">
    <cfRule type="expression" dxfId="567" priority="263" stopIfTrue="1">
      <formula>$A28="S"</formula>
    </cfRule>
  </conditionalFormatting>
  <conditionalFormatting sqref="A28">
    <cfRule type="expression" dxfId="566" priority="264" stopIfTrue="1">
      <formula>$A28="S"</formula>
    </cfRule>
  </conditionalFormatting>
  <conditionalFormatting sqref="A28">
    <cfRule type="expression" dxfId="565" priority="265" stopIfTrue="1">
      <formula>$A28="S"</formula>
    </cfRule>
  </conditionalFormatting>
  <conditionalFormatting sqref="A28">
    <cfRule type="expression" dxfId="564" priority="266" stopIfTrue="1">
      <formula>$A28="S"</formula>
    </cfRule>
  </conditionalFormatting>
  <conditionalFormatting sqref="A28">
    <cfRule type="expression" dxfId="563" priority="267" stopIfTrue="1">
      <formula>$A28="S"</formula>
    </cfRule>
  </conditionalFormatting>
  <conditionalFormatting sqref="A28">
    <cfRule type="expression" dxfId="562" priority="268" stopIfTrue="1">
      <formula>$A28="S"</formula>
    </cfRule>
  </conditionalFormatting>
  <conditionalFormatting sqref="A28">
    <cfRule type="expression" dxfId="561" priority="269" stopIfTrue="1">
      <formula>$A28="S"</formula>
    </cfRule>
  </conditionalFormatting>
  <conditionalFormatting sqref="A28">
    <cfRule type="expression" dxfId="560" priority="270" stopIfTrue="1">
      <formula>$A28="S"</formula>
    </cfRule>
  </conditionalFormatting>
  <conditionalFormatting sqref="A28">
    <cfRule type="expression" dxfId="559" priority="271" stopIfTrue="1">
      <formula>$A28="S"</formula>
    </cfRule>
  </conditionalFormatting>
  <conditionalFormatting sqref="A33">
    <cfRule type="expression" dxfId="558" priority="272" stopIfTrue="1">
      <formula>$A33="S"</formula>
    </cfRule>
  </conditionalFormatting>
  <conditionalFormatting sqref="A30">
    <cfRule type="expression" dxfId="557" priority="273" stopIfTrue="1">
      <formula>$A30="S"</formula>
    </cfRule>
  </conditionalFormatting>
  <conditionalFormatting sqref="A30">
    <cfRule type="expression" dxfId="556" priority="274" stopIfTrue="1">
      <formula>$A30="S"</formula>
    </cfRule>
  </conditionalFormatting>
  <conditionalFormatting sqref="A31">
    <cfRule type="expression" dxfId="555" priority="275" stopIfTrue="1">
      <formula>$A31="S"</formula>
    </cfRule>
  </conditionalFormatting>
  <conditionalFormatting sqref="A34">
    <cfRule type="expression" dxfId="554" priority="276" stopIfTrue="1">
      <formula>$A34="S"</formula>
    </cfRule>
  </conditionalFormatting>
  <conditionalFormatting sqref="A33:A34">
    <cfRule type="expression" dxfId="553" priority="277" stopIfTrue="1">
      <formula>$A33="S"</formula>
    </cfRule>
  </conditionalFormatting>
  <conditionalFormatting sqref="A34">
    <cfRule type="expression" dxfId="552" priority="278" stopIfTrue="1">
      <formula>$A34="S"</formula>
    </cfRule>
  </conditionalFormatting>
  <conditionalFormatting sqref="A33:A34">
    <cfRule type="expression" dxfId="551" priority="279" stopIfTrue="1">
      <formula>$A33="S"</formula>
    </cfRule>
  </conditionalFormatting>
  <conditionalFormatting sqref="A30">
    <cfRule type="expression" dxfId="550" priority="280" stopIfTrue="1">
      <formula>$A30="S"</formula>
    </cfRule>
  </conditionalFormatting>
  <conditionalFormatting sqref="A31">
    <cfRule type="expression" dxfId="549" priority="281" stopIfTrue="1">
      <formula>$A31="S"</formula>
    </cfRule>
  </conditionalFormatting>
  <conditionalFormatting sqref="A34">
    <cfRule type="expression" dxfId="548" priority="282" stopIfTrue="1">
      <formula>$A34="S"</formula>
    </cfRule>
  </conditionalFormatting>
  <conditionalFormatting sqref="A34">
    <cfRule type="expression" dxfId="547" priority="283" stopIfTrue="1">
      <formula>$A34="S"</formula>
    </cfRule>
  </conditionalFormatting>
  <conditionalFormatting sqref="A31">
    <cfRule type="expression" dxfId="546" priority="284" stopIfTrue="1">
      <formula>$A31="S"</formula>
    </cfRule>
  </conditionalFormatting>
  <conditionalFormatting sqref="A31">
    <cfRule type="expression" dxfId="545" priority="285" stopIfTrue="1">
      <formula>$A31="S"</formula>
    </cfRule>
  </conditionalFormatting>
  <conditionalFormatting sqref="A29">
    <cfRule type="expression" dxfId="544" priority="286" stopIfTrue="1">
      <formula>$A29="S"</formula>
    </cfRule>
  </conditionalFormatting>
  <conditionalFormatting sqref="A32">
    <cfRule type="expression" dxfId="543" priority="287" stopIfTrue="1">
      <formula>$A32="S"</formula>
    </cfRule>
  </conditionalFormatting>
  <conditionalFormatting sqref="A35">
    <cfRule type="expression" dxfId="542" priority="288" stopIfTrue="1">
      <formula>$A35="S"</formula>
    </cfRule>
  </conditionalFormatting>
  <conditionalFormatting sqref="A38">
    <cfRule type="expression" dxfId="541" priority="289" stopIfTrue="1">
      <formula>$A38="S"</formula>
    </cfRule>
  </conditionalFormatting>
  <conditionalFormatting sqref="A38">
    <cfRule type="expression" dxfId="540" priority="290" stopIfTrue="1">
      <formula>$A38="S"</formula>
    </cfRule>
  </conditionalFormatting>
  <conditionalFormatting sqref="A35">
    <cfRule type="expression" dxfId="539" priority="291" stopIfTrue="1">
      <formula>$A35="S"</formula>
    </cfRule>
  </conditionalFormatting>
  <conditionalFormatting sqref="A35">
    <cfRule type="expression" dxfId="538" priority="292" stopIfTrue="1">
      <formula>$A35="S"</formula>
    </cfRule>
  </conditionalFormatting>
  <conditionalFormatting sqref="A38">
    <cfRule type="expression" dxfId="537" priority="293" stopIfTrue="1">
      <formula>$A38="S"</formula>
    </cfRule>
  </conditionalFormatting>
  <conditionalFormatting sqref="A37">
    <cfRule type="expression" dxfId="536" priority="294" stopIfTrue="1">
      <formula>$A37="S"</formula>
    </cfRule>
  </conditionalFormatting>
  <conditionalFormatting sqref="A37">
    <cfRule type="expression" dxfId="535" priority="295" stopIfTrue="1">
      <formula>$A37="S"</formula>
    </cfRule>
  </conditionalFormatting>
  <conditionalFormatting sqref="A37">
    <cfRule type="expression" dxfId="534" priority="296" stopIfTrue="1">
      <formula>$A37="S"</formula>
    </cfRule>
  </conditionalFormatting>
  <conditionalFormatting sqref="A36">
    <cfRule type="expression" dxfId="533" priority="297" stopIfTrue="1">
      <formula>$A36="S"</formula>
    </cfRule>
  </conditionalFormatting>
  <conditionalFormatting sqref="A38">
    <cfRule type="expression" dxfId="532" priority="298" stopIfTrue="1">
      <formula>$A38="S"</formula>
    </cfRule>
  </conditionalFormatting>
  <conditionalFormatting sqref="A37">
    <cfRule type="expression" dxfId="531" priority="299" stopIfTrue="1">
      <formula>$A37="S"</formula>
    </cfRule>
  </conditionalFormatting>
  <conditionalFormatting sqref="A36">
    <cfRule type="expression" dxfId="530" priority="300" stopIfTrue="1">
      <formula>$A36="S"</formula>
    </cfRule>
  </conditionalFormatting>
  <conditionalFormatting sqref="A36">
    <cfRule type="expression" dxfId="529" priority="301" stopIfTrue="1">
      <formula>$A36="S"</formula>
    </cfRule>
  </conditionalFormatting>
  <conditionalFormatting sqref="A36">
    <cfRule type="expression" dxfId="528" priority="302" stopIfTrue="1">
      <formula>$A36="S"</formula>
    </cfRule>
  </conditionalFormatting>
  <conditionalFormatting sqref="A27">
    <cfRule type="expression" dxfId="527" priority="303" stopIfTrue="1">
      <formula>$A27="S"</formula>
    </cfRule>
  </conditionalFormatting>
  <conditionalFormatting sqref="A27">
    <cfRule type="expression" dxfId="526" priority="304" stopIfTrue="1">
      <formula>$A27="S"</formula>
    </cfRule>
  </conditionalFormatting>
  <conditionalFormatting sqref="A24">
    <cfRule type="expression" dxfId="525" priority="305" stopIfTrue="1">
      <formula>$A24="S"</formula>
    </cfRule>
  </conditionalFormatting>
  <conditionalFormatting sqref="A24">
    <cfRule type="expression" dxfId="524" priority="306" stopIfTrue="1">
      <formula>$A24="S"</formula>
    </cfRule>
  </conditionalFormatting>
  <conditionalFormatting sqref="A25">
    <cfRule type="expression" dxfId="523" priority="307" stopIfTrue="1">
      <formula>$A25="S"</formula>
    </cfRule>
  </conditionalFormatting>
  <conditionalFormatting sqref="A25">
    <cfRule type="expression" dxfId="522" priority="308" stopIfTrue="1">
      <formula>$A25="S"</formula>
    </cfRule>
  </conditionalFormatting>
  <conditionalFormatting sqref="A22">
    <cfRule type="expression" dxfId="521" priority="309" stopIfTrue="1">
      <formula>$A22="S"</formula>
    </cfRule>
  </conditionalFormatting>
  <conditionalFormatting sqref="A26">
    <cfRule type="expression" dxfId="520" priority="310" stopIfTrue="1">
      <formula>$A26="S"</formula>
    </cfRule>
  </conditionalFormatting>
  <conditionalFormatting sqref="A34">
    <cfRule type="expression" dxfId="519" priority="311" stopIfTrue="1">
      <formula>$A34="S"</formula>
    </cfRule>
  </conditionalFormatting>
  <conditionalFormatting sqref="A24">
    <cfRule type="expression" dxfId="518" priority="312" stopIfTrue="1">
      <formula>$A24="S"</formula>
    </cfRule>
  </conditionalFormatting>
  <conditionalFormatting sqref="A22">
    <cfRule type="expression" dxfId="517" priority="313" stopIfTrue="1">
      <formula>$A22="S"</formula>
    </cfRule>
  </conditionalFormatting>
  <conditionalFormatting sqref="A22">
    <cfRule type="expression" dxfId="516" priority="314" stopIfTrue="1">
      <formula>$A22="S"</formula>
    </cfRule>
  </conditionalFormatting>
  <conditionalFormatting sqref="A25">
    <cfRule type="expression" dxfId="515" priority="315" stopIfTrue="1">
      <formula>$A25="S"</formula>
    </cfRule>
  </conditionalFormatting>
  <conditionalFormatting sqref="A25">
    <cfRule type="expression" dxfId="514" priority="316" stopIfTrue="1">
      <formula>$A25="S"</formula>
    </cfRule>
  </conditionalFormatting>
  <conditionalFormatting sqref="A22">
    <cfRule type="expression" dxfId="513" priority="317" stopIfTrue="1">
      <formula>$A22="S"</formula>
    </cfRule>
  </conditionalFormatting>
  <conditionalFormatting sqref="A25">
    <cfRule type="expression" dxfId="512" priority="318" stopIfTrue="1">
      <formula>$A25="S"</formula>
    </cfRule>
  </conditionalFormatting>
  <conditionalFormatting sqref="A25">
    <cfRule type="expression" dxfId="511" priority="319" stopIfTrue="1">
      <formula>$A25="S"</formula>
    </cfRule>
  </conditionalFormatting>
  <conditionalFormatting sqref="A22">
    <cfRule type="expression" dxfId="510" priority="320" stopIfTrue="1">
      <formula>$A22="S"</formula>
    </cfRule>
  </conditionalFormatting>
  <conditionalFormatting sqref="A25">
    <cfRule type="expression" dxfId="509" priority="321" stopIfTrue="1">
      <formula>$A25="S"</formula>
    </cfRule>
  </conditionalFormatting>
  <conditionalFormatting sqref="A25">
    <cfRule type="expression" dxfId="508" priority="322" stopIfTrue="1">
      <formula>$A25="S"</formula>
    </cfRule>
  </conditionalFormatting>
  <conditionalFormatting sqref="A22">
    <cfRule type="expression" dxfId="507" priority="323" stopIfTrue="1">
      <formula>$A22="S"</formula>
    </cfRule>
  </conditionalFormatting>
  <conditionalFormatting sqref="A26">
    <cfRule type="expression" dxfId="506" priority="324" stopIfTrue="1">
      <formula>$A26="S"</formula>
    </cfRule>
  </conditionalFormatting>
  <conditionalFormatting sqref="A22">
    <cfRule type="expression" dxfId="505" priority="325" stopIfTrue="1">
      <formula>$A22="S"</formula>
    </cfRule>
  </conditionalFormatting>
  <conditionalFormatting sqref="A23">
    <cfRule type="expression" dxfId="504" priority="326" stopIfTrue="1">
      <formula>$A23="S"</formula>
    </cfRule>
  </conditionalFormatting>
  <conditionalFormatting sqref="A26">
    <cfRule type="expression" dxfId="503" priority="327" stopIfTrue="1">
      <formula>$A26="S"</formula>
    </cfRule>
  </conditionalFormatting>
  <conditionalFormatting sqref="A26">
    <cfRule type="expression" dxfId="502" priority="328" stopIfTrue="1">
      <formula>$A26="S"</formula>
    </cfRule>
  </conditionalFormatting>
  <conditionalFormatting sqref="A23">
    <cfRule type="expression" dxfId="501" priority="329" stopIfTrue="1">
      <formula>$A23="S"</formula>
    </cfRule>
  </conditionalFormatting>
  <conditionalFormatting sqref="A27">
    <cfRule type="expression" dxfId="500" priority="330" stopIfTrue="1">
      <formula>$A27="S"</formula>
    </cfRule>
  </conditionalFormatting>
  <conditionalFormatting sqref="A26:A27">
    <cfRule type="expression" dxfId="499" priority="331" stopIfTrue="1">
      <formula>$A26="S"</formula>
    </cfRule>
  </conditionalFormatting>
  <conditionalFormatting sqref="A26">
    <cfRule type="expression" dxfId="498" priority="332" stopIfTrue="1">
      <formula>$A26="S"</formula>
    </cfRule>
  </conditionalFormatting>
  <conditionalFormatting sqref="A23">
    <cfRule type="expression" dxfId="497" priority="333" stopIfTrue="1">
      <formula>$A23="S"</formula>
    </cfRule>
  </conditionalFormatting>
  <conditionalFormatting sqref="A23">
    <cfRule type="expression" dxfId="496" priority="334" stopIfTrue="1">
      <formula>$A23="S"</formula>
    </cfRule>
  </conditionalFormatting>
  <conditionalFormatting sqref="A26">
    <cfRule type="expression" dxfId="495" priority="335" stopIfTrue="1">
      <formula>$A26="S"</formula>
    </cfRule>
  </conditionalFormatting>
  <conditionalFormatting sqref="A22">
    <cfRule type="expression" dxfId="494" priority="336" stopIfTrue="1">
      <formula>$A22="S"</formula>
    </cfRule>
  </conditionalFormatting>
  <conditionalFormatting sqref="A23">
    <cfRule type="expression" dxfId="493" priority="337" stopIfTrue="1">
      <formula>$A23="S"</formula>
    </cfRule>
  </conditionalFormatting>
  <conditionalFormatting sqref="A22">
    <cfRule type="expression" dxfId="492" priority="338" stopIfTrue="1">
      <formula>$A22="S"</formula>
    </cfRule>
  </conditionalFormatting>
  <conditionalFormatting sqref="A22">
    <cfRule type="expression" dxfId="491" priority="339" stopIfTrue="1">
      <formula>$A22="S"</formula>
    </cfRule>
  </conditionalFormatting>
  <conditionalFormatting sqref="A23">
    <cfRule type="expression" dxfId="490" priority="340" stopIfTrue="1">
      <formula>$A23="S"</formula>
    </cfRule>
  </conditionalFormatting>
  <conditionalFormatting sqref="A26">
    <cfRule type="expression" dxfId="489" priority="341" stopIfTrue="1">
      <formula>$A26="S"</formula>
    </cfRule>
  </conditionalFormatting>
  <conditionalFormatting sqref="A24">
    <cfRule type="expression" dxfId="488" priority="342" stopIfTrue="1">
      <formula>$A24="S"</formula>
    </cfRule>
  </conditionalFormatting>
  <conditionalFormatting sqref="A27">
    <cfRule type="expression" dxfId="487" priority="343" stopIfTrue="1">
      <formula>$A27="S"</formula>
    </cfRule>
  </conditionalFormatting>
  <conditionalFormatting sqref="A27">
    <cfRule type="expression" dxfId="486" priority="344" stopIfTrue="1">
      <formula>$A27="S"</formula>
    </cfRule>
  </conditionalFormatting>
  <conditionalFormatting sqref="A25">
    <cfRule type="expression" dxfId="485" priority="345" stopIfTrue="1">
      <formula>$A25="S"</formula>
    </cfRule>
  </conditionalFormatting>
  <conditionalFormatting sqref="A24">
    <cfRule type="expression" dxfId="484" priority="346" stopIfTrue="1">
      <formula>$A24="S"</formula>
    </cfRule>
  </conditionalFormatting>
  <conditionalFormatting sqref="A27">
    <cfRule type="expression" dxfId="483" priority="347" stopIfTrue="1">
      <formula>$A27="S"</formula>
    </cfRule>
  </conditionalFormatting>
  <conditionalFormatting sqref="A27">
    <cfRule type="expression" dxfId="482" priority="348" stopIfTrue="1">
      <formula>$A27="S"</formula>
    </cfRule>
  </conditionalFormatting>
  <conditionalFormatting sqref="A22:A23">
    <cfRule type="expression" dxfId="481" priority="349" stopIfTrue="1">
      <formula>$A22="S"</formula>
    </cfRule>
  </conditionalFormatting>
  <conditionalFormatting sqref="A21">
    <cfRule type="expression" dxfId="480" priority="350" stopIfTrue="1">
      <formula>$A21="S"</formula>
    </cfRule>
  </conditionalFormatting>
  <conditionalFormatting sqref="A21">
    <cfRule type="expression" dxfId="479" priority="351" stopIfTrue="1">
      <formula>$A21="S"</formula>
    </cfRule>
  </conditionalFormatting>
  <conditionalFormatting sqref="A21">
    <cfRule type="expression" dxfId="478" priority="352" stopIfTrue="1">
      <formula>$A21="S"</formula>
    </cfRule>
  </conditionalFormatting>
  <conditionalFormatting sqref="A21">
    <cfRule type="expression" dxfId="477" priority="353" stopIfTrue="1">
      <formula>$A21="S"</formula>
    </cfRule>
  </conditionalFormatting>
  <conditionalFormatting sqref="A25">
    <cfRule type="expression" dxfId="476" priority="354" stopIfTrue="1">
      <formula>$A25="S"</formula>
    </cfRule>
  </conditionalFormatting>
  <conditionalFormatting sqref="A25">
    <cfRule type="expression" dxfId="475" priority="355" stopIfTrue="1">
      <formula>$A25="S"</formula>
    </cfRule>
  </conditionalFormatting>
  <conditionalFormatting sqref="A25">
    <cfRule type="expression" dxfId="474" priority="356" stopIfTrue="1">
      <formula>$A25="S"</formula>
    </cfRule>
  </conditionalFormatting>
  <conditionalFormatting sqref="A25">
    <cfRule type="expression" dxfId="473" priority="357" stopIfTrue="1">
      <formula>$A25="S"</formula>
    </cfRule>
  </conditionalFormatting>
  <conditionalFormatting sqref="A26">
    <cfRule type="expression" dxfId="472" priority="358" stopIfTrue="1">
      <formula>$A26="S"</formula>
    </cfRule>
  </conditionalFormatting>
  <conditionalFormatting sqref="A21">
    <cfRule type="expression" dxfId="471" priority="359" stopIfTrue="1">
      <formula>$A21="S"</formula>
    </cfRule>
  </conditionalFormatting>
  <conditionalFormatting sqref="A21">
    <cfRule type="expression" dxfId="470" priority="360" stopIfTrue="1">
      <formula>$A21="S"</formula>
    </cfRule>
  </conditionalFormatting>
  <conditionalFormatting sqref="A24">
    <cfRule type="expression" dxfId="469" priority="361" stopIfTrue="1">
      <formula>$A24="S"</formula>
    </cfRule>
  </conditionalFormatting>
  <conditionalFormatting sqref="A27">
    <cfRule type="expression" dxfId="468" priority="362" stopIfTrue="1">
      <formula>$A27="S"</formula>
    </cfRule>
  </conditionalFormatting>
  <conditionalFormatting sqref="A27">
    <cfRule type="expression" dxfId="467" priority="363" stopIfTrue="1">
      <formula>$A27="S"</formula>
    </cfRule>
  </conditionalFormatting>
  <conditionalFormatting sqref="A24">
    <cfRule type="expression" dxfId="466" priority="364" stopIfTrue="1">
      <formula>$A24="S"</formula>
    </cfRule>
  </conditionalFormatting>
  <conditionalFormatting sqref="A24">
    <cfRule type="expression" dxfId="465" priority="365" stopIfTrue="1">
      <formula>$A24="S"</formula>
    </cfRule>
  </conditionalFormatting>
  <conditionalFormatting sqref="A21">
    <cfRule type="expression" dxfId="464" priority="366" stopIfTrue="1">
      <formula>$A21="S"</formula>
    </cfRule>
  </conditionalFormatting>
  <conditionalFormatting sqref="A21">
    <cfRule type="expression" dxfId="463" priority="367" stopIfTrue="1">
      <formula>$A21="S"</formula>
    </cfRule>
  </conditionalFormatting>
  <conditionalFormatting sqref="A21">
    <cfRule type="expression" dxfId="462" priority="368" stopIfTrue="1">
      <formula>$A21="S"</formula>
    </cfRule>
  </conditionalFormatting>
  <conditionalFormatting sqref="A21">
    <cfRule type="expression" dxfId="461" priority="369" stopIfTrue="1">
      <formula>$A21="S"</formula>
    </cfRule>
  </conditionalFormatting>
  <conditionalFormatting sqref="A21">
    <cfRule type="expression" dxfId="460" priority="370" stopIfTrue="1">
      <formula>$A21="S"</formula>
    </cfRule>
  </conditionalFormatting>
  <conditionalFormatting sqref="A21">
    <cfRule type="expression" dxfId="459" priority="371" stopIfTrue="1">
      <formula>$A21="S"</formula>
    </cfRule>
  </conditionalFormatting>
  <conditionalFormatting sqref="A21">
    <cfRule type="expression" dxfId="458" priority="372" stopIfTrue="1">
      <formula>$A21="S"</formula>
    </cfRule>
  </conditionalFormatting>
  <conditionalFormatting sqref="A21">
    <cfRule type="expression" dxfId="457" priority="373" stopIfTrue="1">
      <formula>$A21="S"</formula>
    </cfRule>
  </conditionalFormatting>
  <conditionalFormatting sqref="A21">
    <cfRule type="expression" dxfId="456" priority="374" stopIfTrue="1">
      <formula>$A21="S"</formula>
    </cfRule>
  </conditionalFormatting>
  <conditionalFormatting sqref="A24">
    <cfRule type="expression" dxfId="455" priority="375" stopIfTrue="1">
      <formula>$A24="S"</formula>
    </cfRule>
  </conditionalFormatting>
  <conditionalFormatting sqref="A27">
    <cfRule type="expression" dxfId="454" priority="376" stopIfTrue="1">
      <formula>$A27="S"</formula>
    </cfRule>
  </conditionalFormatting>
  <conditionalFormatting sqref="A24">
    <cfRule type="expression" dxfId="453" priority="377" stopIfTrue="1">
      <formula>$A24="S"</formula>
    </cfRule>
  </conditionalFormatting>
  <conditionalFormatting sqref="A27">
    <cfRule type="expression" dxfId="452" priority="378" stopIfTrue="1">
      <formula>$A27="S"</formula>
    </cfRule>
  </conditionalFormatting>
  <conditionalFormatting sqref="A21">
    <cfRule type="expression" dxfId="451" priority="379" stopIfTrue="1">
      <formula>$A21="S"</formula>
    </cfRule>
  </conditionalFormatting>
  <conditionalFormatting sqref="A21">
    <cfRule type="expression" dxfId="450" priority="380" stopIfTrue="1">
      <formula>$A21="S"</formula>
    </cfRule>
  </conditionalFormatting>
  <conditionalFormatting sqref="A21">
    <cfRule type="expression" dxfId="449" priority="381" stopIfTrue="1">
      <formula>$A21="S"</formula>
    </cfRule>
  </conditionalFormatting>
  <conditionalFormatting sqref="A23">
    <cfRule type="expression" dxfId="448" priority="382" stopIfTrue="1">
      <formula>$A23="S"</formula>
    </cfRule>
  </conditionalFormatting>
  <conditionalFormatting sqref="A23">
    <cfRule type="expression" dxfId="447" priority="383" stopIfTrue="1">
      <formula>$A23="S"</formula>
    </cfRule>
  </conditionalFormatting>
  <conditionalFormatting sqref="A24">
    <cfRule type="expression" dxfId="446" priority="384" stopIfTrue="1">
      <formula>$A24="S"</formula>
    </cfRule>
  </conditionalFormatting>
  <conditionalFormatting sqref="A27">
    <cfRule type="expression" dxfId="445" priority="385" stopIfTrue="1">
      <formula>$A27="S"</formula>
    </cfRule>
  </conditionalFormatting>
  <conditionalFormatting sqref="A21">
    <cfRule type="expression" dxfId="444" priority="386" stopIfTrue="1">
      <formula>$A21="S"</formula>
    </cfRule>
  </conditionalFormatting>
  <conditionalFormatting sqref="A21">
    <cfRule type="expression" dxfId="443" priority="387" stopIfTrue="1">
      <formula>$A21="S"</formula>
    </cfRule>
  </conditionalFormatting>
  <conditionalFormatting sqref="A21">
    <cfRule type="expression" dxfId="442" priority="388" stopIfTrue="1">
      <formula>$A21="S"</formula>
    </cfRule>
  </conditionalFormatting>
  <conditionalFormatting sqref="A26">
    <cfRule type="expression" dxfId="441" priority="389" stopIfTrue="1">
      <formula>$A26="S"</formula>
    </cfRule>
  </conditionalFormatting>
  <conditionalFormatting sqref="A26:A27">
    <cfRule type="expression" dxfId="440" priority="390" stopIfTrue="1">
      <formula>$A26="S"</formula>
    </cfRule>
  </conditionalFormatting>
  <conditionalFormatting sqref="A21">
    <cfRule type="expression" dxfId="439" priority="391" stopIfTrue="1">
      <formula>$A21="S"</formula>
    </cfRule>
  </conditionalFormatting>
  <conditionalFormatting sqref="A21">
    <cfRule type="expression" dxfId="438" priority="392" stopIfTrue="1">
      <formula>$A21="S"</formula>
    </cfRule>
  </conditionalFormatting>
  <conditionalFormatting sqref="A21">
    <cfRule type="expression" dxfId="437" priority="393" stopIfTrue="1">
      <formula>$A21="S"</formula>
    </cfRule>
  </conditionalFormatting>
  <conditionalFormatting sqref="A21">
    <cfRule type="expression" dxfId="436" priority="394" stopIfTrue="1">
      <formula>$A21="S"</formula>
    </cfRule>
  </conditionalFormatting>
  <conditionalFormatting sqref="A27">
    <cfRule type="expression" dxfId="435" priority="395" stopIfTrue="1">
      <formula>$A27="S"</formula>
    </cfRule>
  </conditionalFormatting>
  <conditionalFormatting sqref="A26:A27">
    <cfRule type="expression" dxfId="434" priority="396" stopIfTrue="1">
      <formula>$A26="S"</formula>
    </cfRule>
  </conditionalFormatting>
  <conditionalFormatting sqref="A23">
    <cfRule type="expression" dxfId="433" priority="397" stopIfTrue="1">
      <formula>$A23="S"</formula>
    </cfRule>
  </conditionalFormatting>
  <conditionalFormatting sqref="A24">
    <cfRule type="expression" dxfId="432" priority="398" stopIfTrue="1">
      <formula>$A24="S"</formula>
    </cfRule>
  </conditionalFormatting>
  <conditionalFormatting sqref="A25">
    <cfRule type="expression" dxfId="431" priority="399" stopIfTrue="1">
      <formula>$A25="S"</formula>
    </cfRule>
  </conditionalFormatting>
  <conditionalFormatting sqref="A22">
    <cfRule type="expression" dxfId="430" priority="400" stopIfTrue="1">
      <formula>$A22="S"</formula>
    </cfRule>
  </conditionalFormatting>
  <conditionalFormatting sqref="A22">
    <cfRule type="expression" dxfId="429" priority="401" stopIfTrue="1">
      <formula>$A22="S"</formula>
    </cfRule>
  </conditionalFormatting>
  <conditionalFormatting sqref="A23">
    <cfRule type="expression" dxfId="428" priority="402" stopIfTrue="1">
      <formula>$A23="S"</formula>
    </cfRule>
  </conditionalFormatting>
  <conditionalFormatting sqref="A26">
    <cfRule type="expression" dxfId="427" priority="403" stopIfTrue="1">
      <formula>$A26="S"</formula>
    </cfRule>
  </conditionalFormatting>
  <conditionalFormatting sqref="A26">
    <cfRule type="expression" dxfId="426" priority="404" stopIfTrue="1">
      <formula>$A26="S"</formula>
    </cfRule>
  </conditionalFormatting>
  <conditionalFormatting sqref="A34">
    <cfRule type="expression" dxfId="425" priority="405" stopIfTrue="1">
      <formula>$A34="S"</formula>
    </cfRule>
  </conditionalFormatting>
  <conditionalFormatting sqref="A26">
    <cfRule type="expression" dxfId="424" priority="406" stopIfTrue="1">
      <formula>$A26="S"</formula>
    </cfRule>
  </conditionalFormatting>
  <conditionalFormatting sqref="A26">
    <cfRule type="expression" dxfId="423" priority="407" stopIfTrue="1">
      <formula>$A26="S"</formula>
    </cfRule>
  </conditionalFormatting>
  <conditionalFormatting sqref="A23">
    <cfRule type="expression" dxfId="422" priority="408" stopIfTrue="1">
      <formula>$A23="S"</formula>
    </cfRule>
  </conditionalFormatting>
  <conditionalFormatting sqref="A27">
    <cfRule type="expression" dxfId="421" priority="409" stopIfTrue="1">
      <formula>$A27="S"</formula>
    </cfRule>
  </conditionalFormatting>
  <conditionalFormatting sqref="A23">
    <cfRule type="expression" dxfId="420" priority="410" stopIfTrue="1">
      <formula>$A23="S"</formula>
    </cfRule>
  </conditionalFormatting>
  <conditionalFormatting sqref="A27">
    <cfRule type="expression" dxfId="419" priority="411" stopIfTrue="1">
      <formula>$A27="S"</formula>
    </cfRule>
  </conditionalFormatting>
  <conditionalFormatting sqref="A24">
    <cfRule type="expression" dxfId="418" priority="412" stopIfTrue="1">
      <formula>$A24="S"</formula>
    </cfRule>
  </conditionalFormatting>
  <conditionalFormatting sqref="A24">
    <cfRule type="expression" dxfId="417" priority="413" stopIfTrue="1">
      <formula>$A24="S"</formula>
    </cfRule>
  </conditionalFormatting>
  <conditionalFormatting sqref="A25">
    <cfRule type="expression" dxfId="416" priority="414" stopIfTrue="1">
      <formula>$A25="S"</formula>
    </cfRule>
  </conditionalFormatting>
  <conditionalFormatting sqref="A23">
    <cfRule type="expression" dxfId="415" priority="415" stopIfTrue="1">
      <formula>$A23="S"</formula>
    </cfRule>
  </conditionalFormatting>
  <conditionalFormatting sqref="A24">
    <cfRule type="expression" dxfId="414" priority="416" stopIfTrue="1">
      <formula>$A24="S"</formula>
    </cfRule>
  </conditionalFormatting>
  <conditionalFormatting sqref="A27">
    <cfRule type="expression" dxfId="413" priority="417" stopIfTrue="1">
      <formula>$A27="S"</formula>
    </cfRule>
  </conditionalFormatting>
  <conditionalFormatting sqref="A27">
    <cfRule type="expression" dxfId="412" priority="418" stopIfTrue="1">
      <formula>$A27="S"</formula>
    </cfRule>
  </conditionalFormatting>
  <conditionalFormatting sqref="A24">
    <cfRule type="expression" dxfId="411" priority="419" stopIfTrue="1">
      <formula>$A24="S"</formula>
    </cfRule>
  </conditionalFormatting>
  <conditionalFormatting sqref="A25">
    <cfRule type="expression" dxfId="410" priority="420" stopIfTrue="1">
      <formula>$A25="S"</formula>
    </cfRule>
  </conditionalFormatting>
  <conditionalFormatting sqref="A22">
    <cfRule type="expression" dxfId="409" priority="421" stopIfTrue="1">
      <formula>$A22="S"</formula>
    </cfRule>
  </conditionalFormatting>
  <conditionalFormatting sqref="A27">
    <cfRule type="expression" dxfId="408" priority="422" stopIfTrue="1">
      <formula>$A27="S"</formula>
    </cfRule>
  </conditionalFormatting>
  <conditionalFormatting sqref="A24">
    <cfRule type="expression" dxfId="407" priority="423" stopIfTrue="1">
      <formula>$A24="S"</formula>
    </cfRule>
  </conditionalFormatting>
  <conditionalFormatting sqref="A24">
    <cfRule type="expression" dxfId="406" priority="424" stopIfTrue="1">
      <formula>$A24="S"</formula>
    </cfRule>
  </conditionalFormatting>
  <conditionalFormatting sqref="A25">
    <cfRule type="expression" dxfId="405" priority="425" stopIfTrue="1">
      <formula>$A25="S"</formula>
    </cfRule>
  </conditionalFormatting>
  <conditionalFormatting sqref="A25">
    <cfRule type="expression" dxfId="404" priority="426" stopIfTrue="1">
      <formula>$A25="S"</formula>
    </cfRule>
  </conditionalFormatting>
  <conditionalFormatting sqref="A22">
    <cfRule type="expression" dxfId="403" priority="427" stopIfTrue="1">
      <formula>$A22="S"</formula>
    </cfRule>
  </conditionalFormatting>
  <conditionalFormatting sqref="A26">
    <cfRule type="expression" dxfId="402" priority="428" stopIfTrue="1">
      <formula>$A26="S"</formula>
    </cfRule>
  </conditionalFormatting>
  <conditionalFormatting sqref="A29">
    <cfRule type="expression" dxfId="401" priority="429" stopIfTrue="1">
      <formula>$A29="S"</formula>
    </cfRule>
  </conditionalFormatting>
  <conditionalFormatting sqref="A32">
    <cfRule type="expression" dxfId="400" priority="430" stopIfTrue="1">
      <formula>$A32="S"</formula>
    </cfRule>
  </conditionalFormatting>
  <conditionalFormatting sqref="A38">
    <cfRule type="expression" dxfId="399" priority="431" stopIfTrue="1">
      <formula>$A38="S"</formula>
    </cfRule>
  </conditionalFormatting>
  <conditionalFormatting sqref="J14:K14">
    <cfRule type="expression" dxfId="398" priority="432" stopIfTrue="1">
      <formula>$A14="S"</formula>
    </cfRule>
  </conditionalFormatting>
  <conditionalFormatting sqref="J22:K22">
    <cfRule type="expression" dxfId="397" priority="433" stopIfTrue="1">
      <formula>$A22="S"</formula>
    </cfRule>
  </conditionalFormatting>
  <conditionalFormatting sqref="J37:K37">
    <cfRule type="expression" dxfId="396" priority="434" stopIfTrue="1">
      <formula>$A37="S"</formula>
    </cfRule>
  </conditionalFormatting>
  <conditionalFormatting sqref="J38:K38">
    <cfRule type="expression" dxfId="395" priority="435" stopIfTrue="1">
      <formula>$A38="S"</formula>
    </cfRule>
  </conditionalFormatting>
  <conditionalFormatting sqref="S36">
    <cfRule type="expression" dxfId="394" priority="436" stopIfTrue="1">
      <formula>$A36="S"</formula>
    </cfRule>
  </conditionalFormatting>
  <conditionalFormatting sqref="S37">
    <cfRule type="expression" dxfId="393" priority="437" stopIfTrue="1">
      <formula>$A37="S"</formula>
    </cfRule>
  </conditionalFormatting>
  <conditionalFormatting sqref="B8:B38">
    <cfRule type="expression" dxfId="392" priority="438" stopIfTrue="1">
      <formula>$A8="S"</formula>
    </cfRule>
  </conditionalFormatting>
  <conditionalFormatting sqref="A24">
    <cfRule type="expression" dxfId="391" priority="439" stopIfTrue="1">
      <formula>$A24="S"</formula>
    </cfRule>
  </conditionalFormatting>
  <conditionalFormatting sqref="A15:A16">
    <cfRule type="expression" dxfId="390" priority="440" stopIfTrue="1">
      <formula>$A15="S"</formula>
    </cfRule>
  </conditionalFormatting>
  <conditionalFormatting sqref="A15:A20">
    <cfRule type="expression" dxfId="389" priority="441" stopIfTrue="1">
      <formula>$A15="S"</formula>
    </cfRule>
  </conditionalFormatting>
  <conditionalFormatting sqref="A15:A20">
    <cfRule type="expression" dxfId="388" priority="442" stopIfTrue="1">
      <formula>$A15="S"</formula>
    </cfRule>
  </conditionalFormatting>
  <conditionalFormatting sqref="A19">
    <cfRule type="expression" dxfId="387" priority="443" stopIfTrue="1">
      <formula>$A19="S"</formula>
    </cfRule>
  </conditionalFormatting>
  <conditionalFormatting sqref="A15:A16">
    <cfRule type="expression" dxfId="386" priority="444" stopIfTrue="1">
      <formula>$A15="S"</formula>
    </cfRule>
  </conditionalFormatting>
  <conditionalFormatting sqref="A15:A20">
    <cfRule type="expression" dxfId="385" priority="445" stopIfTrue="1">
      <formula>$A15="S"</formula>
    </cfRule>
  </conditionalFormatting>
  <conditionalFormatting sqref="A20">
    <cfRule type="expression" dxfId="384" priority="446" stopIfTrue="1">
      <formula>$A20="S"</formula>
    </cfRule>
  </conditionalFormatting>
  <conditionalFormatting sqref="A15:A19">
    <cfRule type="expression" dxfId="383" priority="447" stopIfTrue="1">
      <formula>$A15="S"</formula>
    </cfRule>
  </conditionalFormatting>
  <conditionalFormatting sqref="A15:A20">
    <cfRule type="expression" dxfId="382" priority="448" stopIfTrue="1">
      <formula>$A15="S"</formula>
    </cfRule>
  </conditionalFormatting>
  <conditionalFormatting sqref="A16:A20">
    <cfRule type="expression" dxfId="381" priority="449" stopIfTrue="1">
      <formula>$A16="S"</formula>
    </cfRule>
  </conditionalFormatting>
  <conditionalFormatting sqref="A19">
    <cfRule type="expression" dxfId="380" priority="450" stopIfTrue="1">
      <formula>$A19="S"</formula>
    </cfRule>
  </conditionalFormatting>
  <conditionalFormatting sqref="A16:A20">
    <cfRule type="expression" dxfId="379" priority="451" stopIfTrue="1">
      <formula>$A16="S"</formula>
    </cfRule>
  </conditionalFormatting>
  <conditionalFormatting sqref="A20">
    <cfRule type="expression" dxfId="378" priority="452" stopIfTrue="1">
      <formula>$A20="S"</formula>
    </cfRule>
  </conditionalFormatting>
  <conditionalFormatting sqref="A20">
    <cfRule type="expression" dxfId="377" priority="453" stopIfTrue="1">
      <formula>$A20="S"</formula>
    </cfRule>
  </conditionalFormatting>
  <conditionalFormatting sqref="A15:A20">
    <cfRule type="expression" dxfId="376" priority="454" stopIfTrue="1">
      <formula>$A15="S"</formula>
    </cfRule>
  </conditionalFormatting>
  <conditionalFormatting sqref="A16:A20">
    <cfRule type="expression" dxfId="375" priority="455" stopIfTrue="1">
      <formula>$A16="S"</formula>
    </cfRule>
  </conditionalFormatting>
  <conditionalFormatting sqref="A20">
    <cfRule type="expression" dxfId="374" priority="456" stopIfTrue="1">
      <formula>$A20="S"</formula>
    </cfRule>
  </conditionalFormatting>
  <conditionalFormatting sqref="A17">
    <cfRule type="expression" dxfId="373" priority="457" stopIfTrue="1">
      <formula>$A17="S"</formula>
    </cfRule>
  </conditionalFormatting>
  <conditionalFormatting sqref="A17">
    <cfRule type="expression" dxfId="372" priority="458" stopIfTrue="1">
      <formula>$A17="S"</formula>
    </cfRule>
  </conditionalFormatting>
  <conditionalFormatting sqref="A18">
    <cfRule type="expression" dxfId="371" priority="459" stopIfTrue="1">
      <formula>$A18="S"</formula>
    </cfRule>
  </conditionalFormatting>
  <conditionalFormatting sqref="A18">
    <cfRule type="expression" dxfId="370" priority="460" stopIfTrue="1">
      <formula>$A18="S"</formula>
    </cfRule>
  </conditionalFormatting>
  <conditionalFormatting sqref="A18">
    <cfRule type="expression" dxfId="369" priority="461" stopIfTrue="1">
      <formula>$A18="S"</formula>
    </cfRule>
  </conditionalFormatting>
  <conditionalFormatting sqref="A20">
    <cfRule type="expression" dxfId="368" priority="462" stopIfTrue="1">
      <formula>$A20="S"</formula>
    </cfRule>
  </conditionalFormatting>
  <conditionalFormatting sqref="A17">
    <cfRule type="expression" dxfId="367" priority="463" stopIfTrue="1">
      <formula>$A17="S"</formula>
    </cfRule>
  </conditionalFormatting>
  <conditionalFormatting sqref="A17">
    <cfRule type="expression" dxfId="366" priority="464" stopIfTrue="1">
      <formula>$A17="S"</formula>
    </cfRule>
  </conditionalFormatting>
  <conditionalFormatting sqref="A18">
    <cfRule type="expression" dxfId="365" priority="465" stopIfTrue="1">
      <formula>$A18="S"</formula>
    </cfRule>
  </conditionalFormatting>
  <conditionalFormatting sqref="A17">
    <cfRule type="expression" dxfId="364" priority="466" stopIfTrue="1">
      <formula>$A17="S"</formula>
    </cfRule>
  </conditionalFormatting>
  <conditionalFormatting sqref="A18">
    <cfRule type="expression" dxfId="363" priority="467" stopIfTrue="1">
      <formula>$A18="S"</formula>
    </cfRule>
  </conditionalFormatting>
  <conditionalFormatting sqref="A27">
    <cfRule type="expression" dxfId="362" priority="468" stopIfTrue="1">
      <formula>$A27="S"</formula>
    </cfRule>
  </conditionalFormatting>
  <conditionalFormatting sqref="A27">
    <cfRule type="expression" dxfId="361" priority="469" stopIfTrue="1">
      <formula>$A27="S"</formula>
    </cfRule>
  </conditionalFormatting>
  <conditionalFormatting sqref="A22:A23">
    <cfRule type="expression" dxfId="360" priority="470" stopIfTrue="1">
      <formula>$A22="S"</formula>
    </cfRule>
  </conditionalFormatting>
  <conditionalFormatting sqref="A26">
    <cfRule type="expression" dxfId="359" priority="471" stopIfTrue="1">
      <formula>$A26="S"</formula>
    </cfRule>
  </conditionalFormatting>
  <conditionalFormatting sqref="A15:A16">
    <cfRule type="expression" dxfId="358" priority="472" stopIfTrue="1">
      <formula>$A15="S"</formula>
    </cfRule>
  </conditionalFormatting>
  <conditionalFormatting sqref="A15:A19">
    <cfRule type="expression" dxfId="357" priority="473" stopIfTrue="1">
      <formula>$A15="S"</formula>
    </cfRule>
  </conditionalFormatting>
  <conditionalFormatting sqref="A15:A19">
    <cfRule type="expression" dxfId="356" priority="474" stopIfTrue="1">
      <formula>$A15="S"</formula>
    </cfRule>
  </conditionalFormatting>
  <conditionalFormatting sqref="A15:A16">
    <cfRule type="expression" dxfId="355" priority="475" stopIfTrue="1">
      <formula>$A15="S"</formula>
    </cfRule>
  </conditionalFormatting>
  <conditionalFormatting sqref="A15:A16">
    <cfRule type="expression" dxfId="354" priority="476" stopIfTrue="1">
      <formula>$A15="S"</formula>
    </cfRule>
  </conditionalFormatting>
  <conditionalFormatting sqref="A17">
    <cfRule type="expression" dxfId="353" priority="477" stopIfTrue="1">
      <formula>$A17="S"</formula>
    </cfRule>
  </conditionalFormatting>
  <conditionalFormatting sqref="A18">
    <cfRule type="expression" dxfId="352" priority="478" stopIfTrue="1">
      <formula>$A18="S"</formula>
    </cfRule>
  </conditionalFormatting>
  <conditionalFormatting sqref="A19">
    <cfRule type="expression" dxfId="351" priority="479" stopIfTrue="1">
      <formula>$A19="S"</formula>
    </cfRule>
  </conditionalFormatting>
  <conditionalFormatting sqref="A19">
    <cfRule type="expression" dxfId="350" priority="480" stopIfTrue="1">
      <formula>$A19="S"</formula>
    </cfRule>
  </conditionalFormatting>
  <conditionalFormatting sqref="A15:A16">
    <cfRule type="expression" dxfId="349" priority="481" stopIfTrue="1">
      <formula>$A15="S"</formula>
    </cfRule>
  </conditionalFormatting>
  <conditionalFormatting sqref="A19">
    <cfRule type="expression" dxfId="348" priority="482" stopIfTrue="1">
      <formula>$A19="S"</formula>
    </cfRule>
  </conditionalFormatting>
  <conditionalFormatting sqref="A19">
    <cfRule type="expression" dxfId="347" priority="483" stopIfTrue="1">
      <formula>$A19="S"</formula>
    </cfRule>
  </conditionalFormatting>
  <conditionalFormatting sqref="A19">
    <cfRule type="expression" dxfId="346" priority="484" stopIfTrue="1">
      <formula>$A19="S"</formula>
    </cfRule>
  </conditionalFormatting>
  <conditionalFormatting sqref="A20">
    <cfRule type="expression" dxfId="345" priority="485" stopIfTrue="1">
      <formula>$A20="S"</formula>
    </cfRule>
  </conditionalFormatting>
  <conditionalFormatting sqref="A18">
    <cfRule type="expression" dxfId="344" priority="486" stopIfTrue="1">
      <formula>$A18="S"</formula>
    </cfRule>
  </conditionalFormatting>
  <conditionalFormatting sqref="A17">
    <cfRule type="expression" dxfId="343" priority="487" stopIfTrue="1">
      <formula>$A17="S"</formula>
    </cfRule>
  </conditionalFormatting>
  <conditionalFormatting sqref="A18">
    <cfRule type="expression" dxfId="342" priority="488" stopIfTrue="1">
      <formula>$A18="S"</formula>
    </cfRule>
  </conditionalFormatting>
  <conditionalFormatting sqref="A19">
    <cfRule type="expression" dxfId="341" priority="489" stopIfTrue="1">
      <formula>$A19="S"</formula>
    </cfRule>
  </conditionalFormatting>
  <conditionalFormatting sqref="A18">
    <cfRule type="expression" dxfId="340" priority="490" stopIfTrue="1">
      <formula>$A18="S"</formula>
    </cfRule>
  </conditionalFormatting>
  <conditionalFormatting sqref="A19">
    <cfRule type="expression" dxfId="339" priority="491" stopIfTrue="1">
      <formula>$A19="S"</formula>
    </cfRule>
  </conditionalFormatting>
  <conditionalFormatting sqref="A15:A16">
    <cfRule type="expression" dxfId="338" priority="492" stopIfTrue="1">
      <formula>$A15="S"</formula>
    </cfRule>
  </conditionalFormatting>
  <conditionalFormatting sqref="A19">
    <cfRule type="expression" dxfId="337" priority="493" stopIfTrue="1">
      <formula>$A19="S"</formula>
    </cfRule>
  </conditionalFormatting>
  <conditionalFormatting sqref="A18">
    <cfRule type="expression" dxfId="336" priority="494" stopIfTrue="1">
      <formula>$A18="S"</formula>
    </cfRule>
  </conditionalFormatting>
  <conditionalFormatting sqref="A15:A16">
    <cfRule type="expression" dxfId="335" priority="495" stopIfTrue="1">
      <formula>$A15="S"</formula>
    </cfRule>
  </conditionalFormatting>
  <conditionalFormatting sqref="A15:A16">
    <cfRule type="expression" dxfId="334" priority="496" stopIfTrue="1">
      <formula>$A15="S"</formula>
    </cfRule>
  </conditionalFormatting>
  <conditionalFormatting sqref="A8:A12">
    <cfRule type="expression" dxfId="333" priority="497" stopIfTrue="1">
      <formula>$A8="S"</formula>
    </cfRule>
  </conditionalFormatting>
  <conditionalFormatting sqref="A9">
    <cfRule type="expression" dxfId="332" priority="498" stopIfTrue="1">
      <formula>$A9="S"</formula>
    </cfRule>
  </conditionalFormatting>
  <conditionalFormatting sqref="A19">
    <cfRule type="expression" dxfId="331" priority="499" stopIfTrue="1">
      <formula>$A19="S"</formula>
    </cfRule>
  </conditionalFormatting>
  <conditionalFormatting sqref="A14">
    <cfRule type="expression" dxfId="330" priority="500" stopIfTrue="1">
      <formula>$A14="S"</formula>
    </cfRule>
  </conditionalFormatting>
  <conditionalFormatting sqref="A12">
    <cfRule type="expression" dxfId="329" priority="501" stopIfTrue="1">
      <formula>$A12="S"</formula>
    </cfRule>
  </conditionalFormatting>
  <conditionalFormatting sqref="A8:A11">
    <cfRule type="expression" dxfId="328" priority="502" stopIfTrue="1">
      <formula>$A8="S"</formula>
    </cfRule>
  </conditionalFormatting>
  <conditionalFormatting sqref="A9">
    <cfRule type="expression" dxfId="327" priority="503" stopIfTrue="1">
      <formula>$A9="S"</formula>
    </cfRule>
  </conditionalFormatting>
  <conditionalFormatting sqref="A8:A9">
    <cfRule type="expression" dxfId="326" priority="504" stopIfTrue="1">
      <formula>$A8="S"</formula>
    </cfRule>
  </conditionalFormatting>
  <conditionalFormatting sqref="A10">
    <cfRule type="expression" dxfId="325" priority="505" stopIfTrue="1">
      <formula>$A10="S"</formula>
    </cfRule>
  </conditionalFormatting>
  <conditionalFormatting sqref="A8:A12">
    <cfRule type="expression" dxfId="324" priority="506" stopIfTrue="1">
      <formula>$A8="S"</formula>
    </cfRule>
  </conditionalFormatting>
  <conditionalFormatting sqref="A13">
    <cfRule type="expression" dxfId="323" priority="507" stopIfTrue="1">
      <formula>$A13="S"</formula>
    </cfRule>
  </conditionalFormatting>
  <conditionalFormatting sqref="A12:A14">
    <cfRule type="expression" dxfId="322" priority="508" stopIfTrue="1">
      <formula>$A12="S"</formula>
    </cfRule>
  </conditionalFormatting>
  <conditionalFormatting sqref="A13">
    <cfRule type="expression" dxfId="321" priority="509" stopIfTrue="1">
      <formula>$A13="S"</formula>
    </cfRule>
  </conditionalFormatting>
  <conditionalFormatting sqref="A9:A14">
    <cfRule type="expression" dxfId="320" priority="510" stopIfTrue="1">
      <formula>$A9="S"</formula>
    </cfRule>
  </conditionalFormatting>
  <conditionalFormatting sqref="A12:A14">
    <cfRule type="expression" dxfId="319" priority="511" stopIfTrue="1">
      <formula>$A12="S"</formula>
    </cfRule>
  </conditionalFormatting>
  <conditionalFormatting sqref="A9">
    <cfRule type="expression" dxfId="318" priority="512" stopIfTrue="1">
      <formula>$A9="S"</formula>
    </cfRule>
  </conditionalFormatting>
  <conditionalFormatting sqref="A10">
    <cfRule type="expression" dxfId="317" priority="513" stopIfTrue="1">
      <formula>$A10="S"</formula>
    </cfRule>
  </conditionalFormatting>
  <conditionalFormatting sqref="A13">
    <cfRule type="expression" dxfId="316" priority="514" stopIfTrue="1">
      <formula>$A13="S"</formula>
    </cfRule>
  </conditionalFormatting>
  <conditionalFormatting sqref="A9:A14">
    <cfRule type="expression" dxfId="315" priority="515" stopIfTrue="1">
      <formula>$A9="S"</formula>
    </cfRule>
  </conditionalFormatting>
  <conditionalFormatting sqref="A13">
    <cfRule type="expression" dxfId="314" priority="516" stopIfTrue="1">
      <formula>$A13="S"</formula>
    </cfRule>
  </conditionalFormatting>
  <conditionalFormatting sqref="A8:A9">
    <cfRule type="expression" dxfId="313" priority="517" stopIfTrue="1">
      <formula>$A8="S"</formula>
    </cfRule>
  </conditionalFormatting>
  <conditionalFormatting sqref="A8:A9">
    <cfRule type="expression" dxfId="312" priority="518" stopIfTrue="1">
      <formula>$A8="S"</formula>
    </cfRule>
  </conditionalFormatting>
  <conditionalFormatting sqref="A10">
    <cfRule type="expression" dxfId="311" priority="519" stopIfTrue="1">
      <formula>$A10="S"</formula>
    </cfRule>
  </conditionalFormatting>
  <conditionalFormatting sqref="A8:A13">
    <cfRule type="expression" dxfId="310" priority="520" stopIfTrue="1">
      <formula>$A8="S"</formula>
    </cfRule>
  </conditionalFormatting>
  <conditionalFormatting sqref="A10">
    <cfRule type="expression" dxfId="309" priority="521" stopIfTrue="1">
      <formula>$A10="S"</formula>
    </cfRule>
  </conditionalFormatting>
  <conditionalFormatting sqref="A8">
    <cfRule type="expression" dxfId="308" priority="522" stopIfTrue="1">
      <formula>$A8="S"</formula>
    </cfRule>
  </conditionalFormatting>
  <conditionalFormatting sqref="A12">
    <cfRule type="expression" dxfId="307" priority="523" stopIfTrue="1">
      <formula>$A12="S"</formula>
    </cfRule>
  </conditionalFormatting>
  <conditionalFormatting sqref="A8">
    <cfRule type="expression" dxfId="306" priority="524" stopIfTrue="1">
      <formula>$A8="S"</formula>
    </cfRule>
  </conditionalFormatting>
  <conditionalFormatting sqref="A11">
    <cfRule type="expression" dxfId="305" priority="525" stopIfTrue="1">
      <formula>$A11="S"</formula>
    </cfRule>
  </conditionalFormatting>
  <conditionalFormatting sqref="A14">
    <cfRule type="expression" dxfId="304" priority="526" stopIfTrue="1">
      <formula>$A14="S"</formula>
    </cfRule>
  </conditionalFormatting>
  <conditionalFormatting sqref="A14">
    <cfRule type="expression" dxfId="303" priority="527" stopIfTrue="1">
      <formula>$A14="S"</formula>
    </cfRule>
  </conditionalFormatting>
  <conditionalFormatting sqref="A11">
    <cfRule type="expression" dxfId="302" priority="528" stopIfTrue="1">
      <formula>$A11="S"</formula>
    </cfRule>
  </conditionalFormatting>
  <conditionalFormatting sqref="A14">
    <cfRule type="expression" dxfId="301" priority="529" stopIfTrue="1">
      <formula>$A14="S"</formula>
    </cfRule>
  </conditionalFormatting>
  <conditionalFormatting sqref="A8 A14">
    <cfRule type="expression" dxfId="300" priority="530" stopIfTrue="1">
      <formula>$A8="S"</formula>
    </cfRule>
  </conditionalFormatting>
  <conditionalFormatting sqref="A11">
    <cfRule type="expression" dxfId="299" priority="531" stopIfTrue="1">
      <formula>$A11="S"</formula>
    </cfRule>
  </conditionalFormatting>
  <conditionalFormatting sqref="A11">
    <cfRule type="expression" dxfId="298" priority="532" stopIfTrue="1">
      <formula>$A11="S"</formula>
    </cfRule>
  </conditionalFormatting>
  <conditionalFormatting sqref="A8">
    <cfRule type="expression" dxfId="297" priority="533" stopIfTrue="1">
      <formula>$A8="S"</formula>
    </cfRule>
  </conditionalFormatting>
  <conditionalFormatting sqref="A12">
    <cfRule type="expression" dxfId="296" priority="534" stopIfTrue="1">
      <formula>$A12="S"</formula>
    </cfRule>
  </conditionalFormatting>
  <conditionalFormatting sqref="A8">
    <cfRule type="expression" dxfId="295" priority="535" stopIfTrue="1">
      <formula>$A8="S"</formula>
    </cfRule>
  </conditionalFormatting>
  <conditionalFormatting sqref="A12">
    <cfRule type="expression" dxfId="294" priority="536" stopIfTrue="1">
      <formula>$A12="S"</formula>
    </cfRule>
  </conditionalFormatting>
  <conditionalFormatting sqref="A12">
    <cfRule type="expression" dxfId="293" priority="537" stopIfTrue="1">
      <formula>$A12="S"</formula>
    </cfRule>
  </conditionalFormatting>
  <conditionalFormatting sqref="A9">
    <cfRule type="expression" dxfId="292" priority="538" stopIfTrue="1">
      <formula>$A9="S"</formula>
    </cfRule>
  </conditionalFormatting>
  <conditionalFormatting sqref="A13">
    <cfRule type="expression" dxfId="291" priority="539" stopIfTrue="1">
      <formula>$A13="S"</formula>
    </cfRule>
  </conditionalFormatting>
  <conditionalFormatting sqref="A12:A14">
    <cfRule type="expression" dxfId="290" priority="540" stopIfTrue="1">
      <formula>$A12="S"</formula>
    </cfRule>
  </conditionalFormatting>
  <conditionalFormatting sqref="A12">
    <cfRule type="expression" dxfId="289" priority="541" stopIfTrue="1">
      <formula>$A12="S"</formula>
    </cfRule>
  </conditionalFormatting>
  <conditionalFormatting sqref="A19">
    <cfRule type="expression" dxfId="288" priority="542" stopIfTrue="1">
      <formula>$A19="S"</formula>
    </cfRule>
  </conditionalFormatting>
  <conditionalFormatting sqref="A18">
    <cfRule type="expression" dxfId="287" priority="543" stopIfTrue="1">
      <formula>$A18="S"</formula>
    </cfRule>
  </conditionalFormatting>
  <conditionalFormatting sqref="A18">
    <cfRule type="expression" dxfId="286" priority="544" stopIfTrue="1">
      <formula>$A18="S"</formula>
    </cfRule>
  </conditionalFormatting>
  <conditionalFormatting sqref="A18">
    <cfRule type="expression" dxfId="285" priority="545" stopIfTrue="1">
      <formula>$A18="S"</formula>
    </cfRule>
  </conditionalFormatting>
  <conditionalFormatting sqref="A18">
    <cfRule type="expression" dxfId="284" priority="546" stopIfTrue="1">
      <formula>$A18="S"</formula>
    </cfRule>
  </conditionalFormatting>
  <conditionalFormatting sqref="A15:A16">
    <cfRule type="expression" dxfId="283" priority="547" stopIfTrue="1">
      <formula>$A15="S"</formula>
    </cfRule>
  </conditionalFormatting>
  <conditionalFormatting sqref="A17">
    <cfRule type="expression" dxfId="282" priority="548" stopIfTrue="1">
      <formula>$A17="S"</formula>
    </cfRule>
  </conditionalFormatting>
  <conditionalFormatting sqref="A20">
    <cfRule type="expression" dxfId="281" priority="549" stopIfTrue="1">
      <formula>$A20="S"</formula>
    </cfRule>
  </conditionalFormatting>
  <conditionalFormatting sqref="A15:A16">
    <cfRule type="expression" dxfId="280" priority="550" stopIfTrue="1">
      <formula>$A15="S"</formula>
    </cfRule>
  </conditionalFormatting>
  <conditionalFormatting sqref="A15:A16">
    <cfRule type="expression" dxfId="279" priority="551" stopIfTrue="1">
      <formula>$A15="S"</formula>
    </cfRule>
  </conditionalFormatting>
  <conditionalFormatting sqref="A17">
    <cfRule type="expression" dxfId="278" priority="552" stopIfTrue="1">
      <formula>$A17="S"</formula>
    </cfRule>
  </conditionalFormatting>
  <conditionalFormatting sqref="A20">
    <cfRule type="expression" dxfId="277" priority="553" stopIfTrue="1">
      <formula>$A20="S"</formula>
    </cfRule>
  </conditionalFormatting>
  <conditionalFormatting sqref="A20">
    <cfRule type="expression" dxfId="276" priority="554" stopIfTrue="1">
      <formula>$A20="S"</formula>
    </cfRule>
  </conditionalFormatting>
  <conditionalFormatting sqref="A20">
    <cfRule type="expression" dxfId="275" priority="555" stopIfTrue="1">
      <formula>$A20="S"</formula>
    </cfRule>
  </conditionalFormatting>
  <conditionalFormatting sqref="A17">
    <cfRule type="expression" dxfId="274" priority="556" stopIfTrue="1">
      <formula>$A17="S"</formula>
    </cfRule>
  </conditionalFormatting>
  <conditionalFormatting sqref="A19">
    <cfRule type="expression" dxfId="273" priority="557" stopIfTrue="1">
      <formula>$A19="S"</formula>
    </cfRule>
  </conditionalFormatting>
  <conditionalFormatting sqref="A15:A16">
    <cfRule type="expression" dxfId="272" priority="558" stopIfTrue="1">
      <formula>$A15="S"</formula>
    </cfRule>
  </conditionalFormatting>
  <conditionalFormatting sqref="A15:A16">
    <cfRule type="expression" dxfId="271" priority="559" stopIfTrue="1">
      <formula>$A15="S"</formula>
    </cfRule>
  </conditionalFormatting>
  <conditionalFormatting sqref="A17">
    <cfRule type="expression" dxfId="270" priority="560" stopIfTrue="1">
      <formula>$A17="S"</formula>
    </cfRule>
  </conditionalFormatting>
  <conditionalFormatting sqref="A15:A16">
    <cfRule type="expression" dxfId="269" priority="561" stopIfTrue="1">
      <formula>$A15="S"</formula>
    </cfRule>
  </conditionalFormatting>
  <conditionalFormatting sqref="A20">
    <cfRule type="expression" dxfId="268" priority="562" stopIfTrue="1">
      <formula>$A20="S"</formula>
    </cfRule>
  </conditionalFormatting>
  <conditionalFormatting sqref="A20">
    <cfRule type="expression" dxfId="267" priority="563" stopIfTrue="1">
      <formula>$A20="S"</formula>
    </cfRule>
  </conditionalFormatting>
  <conditionalFormatting sqref="A17">
    <cfRule type="expression" dxfId="266" priority="564" stopIfTrue="1">
      <formula>$A17="S"</formula>
    </cfRule>
  </conditionalFormatting>
  <conditionalFormatting sqref="A20">
    <cfRule type="expression" dxfId="265" priority="565" stopIfTrue="1">
      <formula>$A20="S"</formula>
    </cfRule>
  </conditionalFormatting>
  <conditionalFormatting sqref="A20">
    <cfRule type="expression" dxfId="264" priority="566" stopIfTrue="1">
      <formula>$A20="S"</formula>
    </cfRule>
  </conditionalFormatting>
  <conditionalFormatting sqref="A17">
    <cfRule type="expression" dxfId="263" priority="567" stopIfTrue="1">
      <formula>$A17="S"</formula>
    </cfRule>
  </conditionalFormatting>
  <conditionalFormatting sqref="A17">
    <cfRule type="expression" dxfId="262" priority="568" stopIfTrue="1">
      <formula>$A17="S"</formula>
    </cfRule>
  </conditionalFormatting>
  <conditionalFormatting sqref="A14">
    <cfRule type="expression" dxfId="261" priority="569" stopIfTrue="1">
      <formula>$A14="S"</formula>
    </cfRule>
  </conditionalFormatting>
  <conditionalFormatting sqref="A9:A14">
    <cfRule type="expression" dxfId="260" priority="570" stopIfTrue="1">
      <formula>$A9="S"</formula>
    </cfRule>
  </conditionalFormatting>
  <conditionalFormatting sqref="A10">
    <cfRule type="expression" dxfId="259" priority="571" stopIfTrue="1">
      <formula>$A10="S"</formula>
    </cfRule>
  </conditionalFormatting>
  <conditionalFormatting sqref="A8">
    <cfRule type="expression" dxfId="258" priority="572" stopIfTrue="1">
      <formula>$A8="S"</formula>
    </cfRule>
  </conditionalFormatting>
  <conditionalFormatting sqref="A11">
    <cfRule type="expression" dxfId="257" priority="573" stopIfTrue="1">
      <formula>$A11="S"</formula>
    </cfRule>
  </conditionalFormatting>
  <conditionalFormatting sqref="A11">
    <cfRule type="expression" dxfId="256" priority="574" stopIfTrue="1">
      <formula>$A11="S"</formula>
    </cfRule>
  </conditionalFormatting>
  <conditionalFormatting sqref="A14">
    <cfRule type="expression" dxfId="255" priority="575" stopIfTrue="1">
      <formula>$A14="S"</formula>
    </cfRule>
  </conditionalFormatting>
  <conditionalFormatting sqref="A8 A14">
    <cfRule type="expression" dxfId="254" priority="576" stopIfTrue="1">
      <formula>$A8="S"</formula>
    </cfRule>
  </conditionalFormatting>
  <conditionalFormatting sqref="A11">
    <cfRule type="expression" dxfId="253" priority="577" stopIfTrue="1">
      <formula>$A11="S"</formula>
    </cfRule>
  </conditionalFormatting>
  <conditionalFormatting sqref="A14">
    <cfRule type="expression" dxfId="252" priority="578" stopIfTrue="1">
      <formula>$A14="S"</formula>
    </cfRule>
  </conditionalFormatting>
  <conditionalFormatting sqref="A14">
    <cfRule type="expression" dxfId="251" priority="579" stopIfTrue="1">
      <formula>$A14="S"</formula>
    </cfRule>
  </conditionalFormatting>
  <conditionalFormatting sqref="A11">
    <cfRule type="expression" dxfId="250" priority="580" stopIfTrue="1">
      <formula>$A11="S"</formula>
    </cfRule>
  </conditionalFormatting>
  <conditionalFormatting sqref="A13">
    <cfRule type="expression" dxfId="249" priority="581" stopIfTrue="1">
      <formula>$A13="S"</formula>
    </cfRule>
  </conditionalFormatting>
  <conditionalFormatting sqref="A13">
    <cfRule type="expression" dxfId="248" priority="582" stopIfTrue="1">
      <formula>$A13="S"</formula>
    </cfRule>
  </conditionalFormatting>
  <conditionalFormatting sqref="A14">
    <cfRule type="expression" dxfId="247" priority="583" stopIfTrue="1">
      <formula>$A14="S"</formula>
    </cfRule>
  </conditionalFormatting>
  <conditionalFormatting sqref="A8:A14">
    <cfRule type="expression" dxfId="246" priority="584" stopIfTrue="1">
      <formula>$A8="S"</formula>
    </cfRule>
  </conditionalFormatting>
  <conditionalFormatting sqref="A8">
    <cfRule type="expression" dxfId="245" priority="585" stopIfTrue="1">
      <formula>$A8="S"</formula>
    </cfRule>
  </conditionalFormatting>
  <conditionalFormatting sqref="A9">
    <cfRule type="expression" dxfId="244" priority="586" stopIfTrue="1">
      <formula>$A9="S"</formula>
    </cfRule>
  </conditionalFormatting>
  <conditionalFormatting sqref="A12">
    <cfRule type="expression" dxfId="243" priority="587" stopIfTrue="1">
      <formula>$A12="S"</formula>
    </cfRule>
  </conditionalFormatting>
  <conditionalFormatting sqref="A12">
    <cfRule type="expression" dxfId="242" priority="588" stopIfTrue="1">
      <formula>$A12="S"</formula>
    </cfRule>
  </conditionalFormatting>
  <conditionalFormatting sqref="A9">
    <cfRule type="expression" dxfId="241" priority="589" stopIfTrue="1">
      <formula>$A9="S"</formula>
    </cfRule>
  </conditionalFormatting>
  <conditionalFormatting sqref="A9">
    <cfRule type="expression" dxfId="240" priority="590" stopIfTrue="1">
      <formula>$A9="S"</formula>
    </cfRule>
  </conditionalFormatting>
  <conditionalFormatting sqref="A9">
    <cfRule type="expression" dxfId="239" priority="591" stopIfTrue="1">
      <formula>$A9="S"</formula>
    </cfRule>
  </conditionalFormatting>
  <conditionalFormatting sqref="A8">
    <cfRule type="expression" dxfId="238" priority="592" stopIfTrue="1">
      <formula>$A8="S"</formula>
    </cfRule>
  </conditionalFormatting>
  <conditionalFormatting sqref="A12">
    <cfRule type="expression" dxfId="237" priority="593" stopIfTrue="1">
      <formula>$A12="S"</formula>
    </cfRule>
  </conditionalFormatting>
  <conditionalFormatting sqref="A12">
    <cfRule type="expression" dxfId="236" priority="594" stopIfTrue="1">
      <formula>$A12="S"</formula>
    </cfRule>
  </conditionalFormatting>
  <conditionalFormatting sqref="A9">
    <cfRule type="expression" dxfId="235" priority="595" stopIfTrue="1">
      <formula>$A9="S"</formula>
    </cfRule>
  </conditionalFormatting>
  <conditionalFormatting sqref="A13">
    <cfRule type="expression" dxfId="234" priority="596" stopIfTrue="1">
      <formula>$A13="S"</formula>
    </cfRule>
  </conditionalFormatting>
  <conditionalFormatting sqref="A9">
    <cfRule type="expression" dxfId="233" priority="597" stopIfTrue="1">
      <formula>$A9="S"</formula>
    </cfRule>
  </conditionalFormatting>
  <conditionalFormatting sqref="A10">
    <cfRule type="expression" dxfId="232" priority="598" stopIfTrue="1">
      <formula>$A10="S"</formula>
    </cfRule>
  </conditionalFormatting>
  <conditionalFormatting sqref="A14">
    <cfRule type="expression" dxfId="231" priority="599" stopIfTrue="1">
      <formula>$A14="S"</formula>
    </cfRule>
  </conditionalFormatting>
  <conditionalFormatting sqref="A13">
    <cfRule type="expression" dxfId="230" priority="600" stopIfTrue="1">
      <formula>$A13="S"</formula>
    </cfRule>
  </conditionalFormatting>
  <conditionalFormatting sqref="A10">
    <cfRule type="expression" dxfId="229" priority="601" stopIfTrue="1">
      <formula>$A10="S"</formula>
    </cfRule>
  </conditionalFormatting>
  <conditionalFormatting sqref="A13">
    <cfRule type="expression" dxfId="228" priority="602" stopIfTrue="1">
      <formula>$A13="S"</formula>
    </cfRule>
  </conditionalFormatting>
  <conditionalFormatting sqref="A13">
    <cfRule type="expression" dxfId="227" priority="603" stopIfTrue="1">
      <formula>$A13="S"</formula>
    </cfRule>
  </conditionalFormatting>
  <conditionalFormatting sqref="A10">
    <cfRule type="expression" dxfId="226" priority="604" stopIfTrue="1">
      <formula>$A10="S"</formula>
    </cfRule>
  </conditionalFormatting>
  <conditionalFormatting sqref="A11">
    <cfRule type="expression" dxfId="225" priority="605" stopIfTrue="1">
      <formula>$A11="S"</formula>
    </cfRule>
  </conditionalFormatting>
  <conditionalFormatting sqref="A8">
    <cfRule type="expression" dxfId="224" priority="606" stopIfTrue="1">
      <formula>$A8="S"</formula>
    </cfRule>
  </conditionalFormatting>
  <conditionalFormatting sqref="A9">
    <cfRule type="expression" dxfId="223" priority="607" stopIfTrue="1">
      <formula>$A9="S"</formula>
    </cfRule>
  </conditionalFormatting>
  <conditionalFormatting sqref="A14">
    <cfRule type="expression" dxfId="222" priority="608" stopIfTrue="1">
      <formula>$A14="S"</formula>
    </cfRule>
  </conditionalFormatting>
  <conditionalFormatting sqref="A11">
    <cfRule type="expression" dxfId="221" priority="609" stopIfTrue="1">
      <formula>$A11="S"</formula>
    </cfRule>
  </conditionalFormatting>
  <conditionalFormatting sqref="A14">
    <cfRule type="expression" dxfId="220" priority="610" stopIfTrue="1">
      <formula>$A14="S"</formula>
    </cfRule>
  </conditionalFormatting>
  <conditionalFormatting sqref="A8 A14">
    <cfRule type="expression" dxfId="219" priority="611" stopIfTrue="1">
      <formula>$A8="S"</formula>
    </cfRule>
  </conditionalFormatting>
  <conditionalFormatting sqref="A11">
    <cfRule type="expression" dxfId="218" priority="612" stopIfTrue="1">
      <formula>$A11="S"</formula>
    </cfRule>
  </conditionalFormatting>
  <conditionalFormatting sqref="A11">
    <cfRule type="expression" dxfId="217" priority="613" stopIfTrue="1">
      <formula>$A11="S"</formula>
    </cfRule>
  </conditionalFormatting>
  <conditionalFormatting sqref="A8">
    <cfRule type="expression" dxfId="216" priority="614" stopIfTrue="1">
      <formula>$A8="S"</formula>
    </cfRule>
  </conditionalFormatting>
  <conditionalFormatting sqref="A12">
    <cfRule type="expression" dxfId="215" priority="615" stopIfTrue="1">
      <formula>$A12="S"</formula>
    </cfRule>
  </conditionalFormatting>
  <conditionalFormatting sqref="A8">
    <cfRule type="expression" dxfId="214" priority="616" stopIfTrue="1">
      <formula>$A8="S"</formula>
    </cfRule>
  </conditionalFormatting>
  <conditionalFormatting sqref="A8">
    <cfRule type="expression" dxfId="213" priority="617" stopIfTrue="1">
      <formula>$A8="S"</formula>
    </cfRule>
  </conditionalFormatting>
  <conditionalFormatting sqref="A9">
    <cfRule type="expression" dxfId="212" priority="618" stopIfTrue="1">
      <formula>$A9="S"</formula>
    </cfRule>
  </conditionalFormatting>
  <conditionalFormatting sqref="A12">
    <cfRule type="expression" dxfId="211" priority="619" stopIfTrue="1">
      <formula>$A12="S"</formula>
    </cfRule>
  </conditionalFormatting>
  <conditionalFormatting sqref="A19">
    <cfRule type="expression" dxfId="210" priority="620" stopIfTrue="1">
      <formula>$A19="S"</formula>
    </cfRule>
  </conditionalFormatting>
  <conditionalFormatting sqref="A16">
    <cfRule type="expression" dxfId="209" priority="621" stopIfTrue="1">
      <formula>$A16="S"</formula>
    </cfRule>
  </conditionalFormatting>
  <conditionalFormatting sqref="A16">
    <cfRule type="expression" dxfId="208" priority="622" stopIfTrue="1">
      <formula>$A16="S"</formula>
    </cfRule>
  </conditionalFormatting>
  <conditionalFormatting sqref="A12">
    <cfRule type="expression" dxfId="207" priority="623" stopIfTrue="1">
      <formula>$A12="S"</formula>
    </cfRule>
  </conditionalFormatting>
  <conditionalFormatting sqref="A17">
    <cfRule type="expression" dxfId="206" priority="624" stopIfTrue="1">
      <formula>$A17="S"</formula>
    </cfRule>
  </conditionalFormatting>
  <conditionalFormatting sqref="A15">
    <cfRule type="expression" dxfId="205" priority="625" stopIfTrue="1">
      <formula>$A15="S"</formula>
    </cfRule>
  </conditionalFormatting>
  <conditionalFormatting sqref="A18">
    <cfRule type="expression" dxfId="204" priority="626" stopIfTrue="1">
      <formula>$A18="S"</formula>
    </cfRule>
  </conditionalFormatting>
  <conditionalFormatting sqref="A18">
    <cfRule type="expression" dxfId="203" priority="627" stopIfTrue="1">
      <formula>$A18="S"</formula>
    </cfRule>
  </conditionalFormatting>
  <conditionalFormatting sqref="A15">
    <cfRule type="expression" dxfId="202" priority="628" stopIfTrue="1">
      <formula>$A15="S"</formula>
    </cfRule>
  </conditionalFormatting>
  <conditionalFormatting sqref="A15">
    <cfRule type="expression" dxfId="201" priority="629" stopIfTrue="1">
      <formula>$A15="S"</formula>
    </cfRule>
  </conditionalFormatting>
  <conditionalFormatting sqref="A15">
    <cfRule type="expression" dxfId="200" priority="630" stopIfTrue="1">
      <formula>$A15="S"</formula>
    </cfRule>
  </conditionalFormatting>
  <conditionalFormatting sqref="A19">
    <cfRule type="expression" dxfId="199" priority="631" stopIfTrue="1">
      <formula>$A19="S"</formula>
    </cfRule>
  </conditionalFormatting>
  <conditionalFormatting sqref="A17">
    <cfRule type="expression" dxfId="198" priority="632" stopIfTrue="1">
      <formula>$A17="S"</formula>
    </cfRule>
  </conditionalFormatting>
  <conditionalFormatting sqref="A15">
    <cfRule type="expression" dxfId="197" priority="633" stopIfTrue="1">
      <formula>$A15="S"</formula>
    </cfRule>
  </conditionalFormatting>
  <conditionalFormatting sqref="A18">
    <cfRule type="expression" dxfId="196" priority="634" stopIfTrue="1">
      <formula>$A18="S"</formula>
    </cfRule>
  </conditionalFormatting>
  <conditionalFormatting sqref="A18">
    <cfRule type="expression" dxfId="195" priority="635" stopIfTrue="1">
      <formula>$A18="S"</formula>
    </cfRule>
  </conditionalFormatting>
  <conditionalFormatting sqref="A19">
    <cfRule type="expression" dxfId="194" priority="636" stopIfTrue="1">
      <formula>$A19="S"</formula>
    </cfRule>
  </conditionalFormatting>
  <conditionalFormatting sqref="A18">
    <cfRule type="expression" dxfId="193" priority="637" stopIfTrue="1">
      <formula>$A18="S"</formula>
    </cfRule>
  </conditionalFormatting>
  <conditionalFormatting sqref="A20">
    <cfRule type="expression" dxfId="192" priority="638" stopIfTrue="1">
      <formula>$A20="S"</formula>
    </cfRule>
  </conditionalFormatting>
  <conditionalFormatting sqref="A15">
    <cfRule type="expression" dxfId="191" priority="639" stopIfTrue="1">
      <formula>$A15="S"</formula>
    </cfRule>
  </conditionalFormatting>
  <conditionalFormatting sqref="A19">
    <cfRule type="expression" dxfId="190" priority="640" stopIfTrue="1">
      <formula>$A19="S"</formula>
    </cfRule>
  </conditionalFormatting>
  <conditionalFormatting sqref="A16">
    <cfRule type="expression" dxfId="189" priority="641" stopIfTrue="1">
      <formula>$A16="S"</formula>
    </cfRule>
  </conditionalFormatting>
  <conditionalFormatting sqref="A19">
    <cfRule type="expression" dxfId="188" priority="642" stopIfTrue="1">
      <formula>$A19="S"</formula>
    </cfRule>
  </conditionalFormatting>
  <conditionalFormatting sqref="A19">
    <cfRule type="expression" dxfId="187" priority="643" stopIfTrue="1">
      <formula>$A19="S"</formula>
    </cfRule>
  </conditionalFormatting>
  <conditionalFormatting sqref="A16">
    <cfRule type="expression" dxfId="186" priority="644" stopIfTrue="1">
      <formula>$A16="S"</formula>
    </cfRule>
  </conditionalFormatting>
  <conditionalFormatting sqref="A20">
    <cfRule type="expression" dxfId="185" priority="645" stopIfTrue="1">
      <formula>$A20="S"</formula>
    </cfRule>
  </conditionalFormatting>
  <conditionalFormatting sqref="A10">
    <cfRule type="expression" dxfId="184" priority="646" stopIfTrue="1">
      <formula>$A10="S"</formula>
    </cfRule>
  </conditionalFormatting>
  <conditionalFormatting sqref="A14">
    <cfRule type="expression" dxfId="183" priority="647" stopIfTrue="1">
      <formula>$A14="S"</formula>
    </cfRule>
  </conditionalFormatting>
  <conditionalFormatting sqref="A10">
    <cfRule type="expression" dxfId="182" priority="648" stopIfTrue="1">
      <formula>$A10="S"</formula>
    </cfRule>
  </conditionalFormatting>
  <conditionalFormatting sqref="A14">
    <cfRule type="expression" dxfId="181" priority="649" stopIfTrue="1">
      <formula>$A14="S"</formula>
    </cfRule>
  </conditionalFormatting>
  <conditionalFormatting sqref="A9">
    <cfRule type="expression" dxfId="180" priority="650" stopIfTrue="1">
      <formula>$A9="S"</formula>
    </cfRule>
  </conditionalFormatting>
  <conditionalFormatting sqref="A10">
    <cfRule type="expression" dxfId="179" priority="651" stopIfTrue="1">
      <formula>$A10="S"</formula>
    </cfRule>
  </conditionalFormatting>
  <conditionalFormatting sqref="A13">
    <cfRule type="expression" dxfId="178" priority="652" stopIfTrue="1">
      <formula>$A13="S"</formula>
    </cfRule>
  </conditionalFormatting>
  <conditionalFormatting sqref="A19:A20">
    <cfRule type="expression" dxfId="177" priority="653" stopIfTrue="1">
      <formula>$A19="S"</formula>
    </cfRule>
  </conditionalFormatting>
  <conditionalFormatting sqref="A10">
    <cfRule type="expression" dxfId="176" priority="654" stopIfTrue="1">
      <formula>$A10="S"</formula>
    </cfRule>
  </conditionalFormatting>
  <conditionalFormatting sqref="A14">
    <cfRule type="expression" dxfId="175" priority="655" stopIfTrue="1">
      <formula>$A14="S"</formula>
    </cfRule>
  </conditionalFormatting>
  <conditionalFormatting sqref="A13">
    <cfRule type="expression" dxfId="174" priority="656" stopIfTrue="1">
      <formula>$A13="S"</formula>
    </cfRule>
  </conditionalFormatting>
  <conditionalFormatting sqref="A10">
    <cfRule type="expression" dxfId="173" priority="657" stopIfTrue="1">
      <formula>$A10="S"</formula>
    </cfRule>
  </conditionalFormatting>
  <conditionalFormatting sqref="A19:A20">
    <cfRule type="expression" dxfId="172" priority="658" stopIfTrue="1">
      <formula>$A19="S"</formula>
    </cfRule>
  </conditionalFormatting>
  <conditionalFormatting sqref="A20">
    <cfRule type="expression" dxfId="171" priority="659" stopIfTrue="1">
      <formula>$A20="S"</formula>
    </cfRule>
  </conditionalFormatting>
  <conditionalFormatting sqref="A16">
    <cfRule type="expression" dxfId="170" priority="660" stopIfTrue="1">
      <formula>$A16="S"</formula>
    </cfRule>
  </conditionalFormatting>
  <conditionalFormatting sqref="A17">
    <cfRule type="expression" dxfId="169" priority="661" stopIfTrue="1">
      <formula>$A17="S"</formula>
    </cfRule>
  </conditionalFormatting>
  <conditionalFormatting sqref="A17">
    <cfRule type="expression" dxfId="168" priority="662" stopIfTrue="1">
      <formula>$A17="S"</formula>
    </cfRule>
  </conditionalFormatting>
  <conditionalFormatting sqref="A15">
    <cfRule type="expression" dxfId="167" priority="663" stopIfTrue="1">
      <formula>$A15="S"</formula>
    </cfRule>
  </conditionalFormatting>
  <conditionalFormatting sqref="A18">
    <cfRule type="expression" dxfId="166" priority="664" stopIfTrue="1">
      <formula>$A18="S"</formula>
    </cfRule>
  </conditionalFormatting>
  <conditionalFormatting sqref="A20">
    <cfRule type="expression" dxfId="165" priority="665" stopIfTrue="1">
      <formula>$A20="S"</formula>
    </cfRule>
  </conditionalFormatting>
  <conditionalFormatting sqref="A19">
    <cfRule type="expression" dxfId="164" priority="666" stopIfTrue="1">
      <formula>$A19="S"</formula>
    </cfRule>
  </conditionalFormatting>
  <conditionalFormatting sqref="A16">
    <cfRule type="expression" dxfId="163" priority="667" stopIfTrue="1">
      <formula>$A16="S"</formula>
    </cfRule>
  </conditionalFormatting>
  <conditionalFormatting sqref="A16">
    <cfRule type="expression" dxfId="162" priority="668" stopIfTrue="1">
      <formula>$A16="S"</formula>
    </cfRule>
  </conditionalFormatting>
  <conditionalFormatting sqref="A11">
    <cfRule type="expression" dxfId="161" priority="669" stopIfTrue="1">
      <formula>$A11="S"</formula>
    </cfRule>
  </conditionalFormatting>
  <conditionalFormatting sqref="A20">
    <cfRule type="expression" dxfId="160" priority="670" stopIfTrue="1">
      <formula>$A20="S"</formula>
    </cfRule>
  </conditionalFormatting>
  <conditionalFormatting sqref="A18">
    <cfRule type="expression" dxfId="159" priority="671" stopIfTrue="1">
      <formula>$A18="S"</formula>
    </cfRule>
  </conditionalFormatting>
  <conditionalFormatting sqref="A15">
    <cfRule type="expression" dxfId="158" priority="672" stopIfTrue="1">
      <formula>$A15="S"</formula>
    </cfRule>
  </conditionalFormatting>
  <conditionalFormatting sqref="A16">
    <cfRule type="expression" dxfId="157" priority="673" stopIfTrue="1">
      <formula>$A16="S"</formula>
    </cfRule>
  </conditionalFormatting>
  <conditionalFormatting sqref="A19">
    <cfRule type="expression" dxfId="156" priority="674" stopIfTrue="1">
      <formula>$A19="S"</formula>
    </cfRule>
  </conditionalFormatting>
  <conditionalFormatting sqref="A19">
    <cfRule type="expression" dxfId="155" priority="675" stopIfTrue="1">
      <formula>$A19="S"</formula>
    </cfRule>
  </conditionalFormatting>
  <conditionalFormatting sqref="A15">
    <cfRule type="expression" dxfId="154" priority="676" stopIfTrue="1">
      <formula>$A15="S"</formula>
    </cfRule>
  </conditionalFormatting>
  <conditionalFormatting sqref="A16">
    <cfRule type="expression" dxfId="153" priority="677" stopIfTrue="1">
      <formula>$A16="S"</formula>
    </cfRule>
  </conditionalFormatting>
  <conditionalFormatting sqref="A16">
    <cfRule type="expression" dxfId="152" priority="678" stopIfTrue="1">
      <formula>$A16="S"</formula>
    </cfRule>
  </conditionalFormatting>
  <conditionalFormatting sqref="A19">
    <cfRule type="expression" dxfId="151" priority="679" stopIfTrue="1">
      <formula>$A19="S"</formula>
    </cfRule>
  </conditionalFormatting>
  <conditionalFormatting sqref="A18">
    <cfRule type="expression" dxfId="150" priority="680" stopIfTrue="1">
      <formula>$A18="S"</formula>
    </cfRule>
  </conditionalFormatting>
  <conditionalFormatting sqref="A17">
    <cfRule type="expression" dxfId="149" priority="681" stopIfTrue="1">
      <formula>$A17="S"</formula>
    </cfRule>
  </conditionalFormatting>
  <conditionalFormatting sqref="A20">
    <cfRule type="expression" dxfId="148" priority="682" stopIfTrue="1">
      <formula>$A20="S"</formula>
    </cfRule>
  </conditionalFormatting>
  <conditionalFormatting sqref="A20">
    <cfRule type="expression" dxfId="147" priority="683" stopIfTrue="1">
      <formula>$A20="S"</formula>
    </cfRule>
  </conditionalFormatting>
  <conditionalFormatting sqref="A20">
    <cfRule type="expression" dxfId="146" priority="684" stopIfTrue="1">
      <formula>$A20="S"</formula>
    </cfRule>
  </conditionalFormatting>
  <conditionalFormatting sqref="A17">
    <cfRule type="expression" dxfId="145" priority="685" stopIfTrue="1">
      <formula>$A17="S"</formula>
    </cfRule>
  </conditionalFormatting>
  <conditionalFormatting sqref="A15">
    <cfRule type="expression" dxfId="144" priority="686" stopIfTrue="1">
      <formula>$A15="S"</formula>
    </cfRule>
  </conditionalFormatting>
  <conditionalFormatting sqref="A16">
    <cfRule type="expression" dxfId="143" priority="687" stopIfTrue="1">
      <formula>$A16="S"</formula>
    </cfRule>
  </conditionalFormatting>
  <conditionalFormatting sqref="A19">
    <cfRule type="expression" dxfId="142" priority="688" stopIfTrue="1">
      <formula>$A19="S"</formula>
    </cfRule>
  </conditionalFormatting>
  <conditionalFormatting sqref="A19">
    <cfRule type="expression" dxfId="141" priority="689" stopIfTrue="1">
      <formula>$A19="S"</formula>
    </cfRule>
  </conditionalFormatting>
  <conditionalFormatting sqref="A22:A23">
    <cfRule type="expression" dxfId="140" priority="690" stopIfTrue="1">
      <formula>$A22="S"</formula>
    </cfRule>
  </conditionalFormatting>
  <conditionalFormatting sqref="A22:A27">
    <cfRule type="expression" dxfId="139" priority="691" stopIfTrue="1">
      <formula>$A22="S"</formula>
    </cfRule>
  </conditionalFormatting>
  <conditionalFormatting sqref="A26">
    <cfRule type="expression" dxfId="138" priority="692" stopIfTrue="1">
      <formula>$A26="S"</formula>
    </cfRule>
  </conditionalFormatting>
  <conditionalFormatting sqref="A22:A27">
    <cfRule type="expression" dxfId="137" priority="693" stopIfTrue="1">
      <formula>$A22="S"</formula>
    </cfRule>
  </conditionalFormatting>
  <conditionalFormatting sqref="A26">
    <cfRule type="expression" dxfId="136" priority="694" stopIfTrue="1">
      <formula>$A26="S"</formula>
    </cfRule>
  </conditionalFormatting>
  <conditionalFormatting sqref="A22:A23">
    <cfRule type="expression" dxfId="135" priority="695" stopIfTrue="1">
      <formula>$A22="S"</formula>
    </cfRule>
  </conditionalFormatting>
  <conditionalFormatting sqref="A22:A26">
    <cfRule type="expression" dxfId="134" priority="696" stopIfTrue="1">
      <formula>$A22="S"</formula>
    </cfRule>
  </conditionalFormatting>
  <conditionalFormatting sqref="A27">
    <cfRule type="expression" dxfId="133" priority="697" stopIfTrue="1">
      <formula>$A27="S"</formula>
    </cfRule>
  </conditionalFormatting>
  <conditionalFormatting sqref="A24">
    <cfRule type="expression" dxfId="132" priority="698" stopIfTrue="1">
      <formula>$A24="S"</formula>
    </cfRule>
  </conditionalFormatting>
  <conditionalFormatting sqref="A22:A23">
    <cfRule type="expression" dxfId="131" priority="699" stopIfTrue="1">
      <formula>$A22="S"</formula>
    </cfRule>
  </conditionalFormatting>
  <conditionalFormatting sqref="A22:A26">
    <cfRule type="expression" dxfId="130" priority="700" stopIfTrue="1">
      <formula>$A22="S"</formula>
    </cfRule>
  </conditionalFormatting>
  <conditionalFormatting sqref="A27">
    <cfRule type="expression" dxfId="129" priority="701" stopIfTrue="1">
      <formula>$A27="S"</formula>
    </cfRule>
  </conditionalFormatting>
  <conditionalFormatting sqref="A23:A27">
    <cfRule type="expression" dxfId="128" priority="702" stopIfTrue="1">
      <formula>$A23="S"</formula>
    </cfRule>
  </conditionalFormatting>
  <conditionalFormatting sqref="A27">
    <cfRule type="expression" dxfId="127" priority="703" stopIfTrue="1">
      <formula>$A27="S"</formula>
    </cfRule>
  </conditionalFormatting>
  <conditionalFormatting sqref="A22:A27">
    <cfRule type="expression" dxfId="126" priority="704" stopIfTrue="1">
      <formula>$A22="S"</formula>
    </cfRule>
  </conditionalFormatting>
  <conditionalFormatting sqref="A23:A27">
    <cfRule type="expression" dxfId="125" priority="705" stopIfTrue="1">
      <formula>$A23="S"</formula>
    </cfRule>
  </conditionalFormatting>
  <conditionalFormatting sqref="A27">
    <cfRule type="expression" dxfId="124" priority="706" stopIfTrue="1">
      <formula>$A27="S"</formula>
    </cfRule>
  </conditionalFormatting>
  <conditionalFormatting sqref="A25">
    <cfRule type="expression" dxfId="123" priority="707" stopIfTrue="1">
      <formula>$A25="S"</formula>
    </cfRule>
  </conditionalFormatting>
  <conditionalFormatting sqref="A24">
    <cfRule type="expression" dxfId="122" priority="708" stopIfTrue="1">
      <formula>$A24="S"</formula>
    </cfRule>
  </conditionalFormatting>
  <conditionalFormatting sqref="A25">
    <cfRule type="expression" dxfId="121" priority="709" stopIfTrue="1">
      <formula>$A25="S"</formula>
    </cfRule>
  </conditionalFormatting>
  <conditionalFormatting sqref="A25">
    <cfRule type="expression" dxfId="120" priority="710" stopIfTrue="1">
      <formula>$A25="S"</formula>
    </cfRule>
  </conditionalFormatting>
  <conditionalFormatting sqref="A24">
    <cfRule type="expression" dxfId="119" priority="711" stopIfTrue="1">
      <formula>$A24="S"</formula>
    </cfRule>
  </conditionalFormatting>
  <conditionalFormatting sqref="A24">
    <cfRule type="expression" dxfId="118" priority="712" stopIfTrue="1">
      <formula>$A24="S"</formula>
    </cfRule>
  </conditionalFormatting>
  <conditionalFormatting sqref="A25">
    <cfRule type="expression" dxfId="117" priority="713" stopIfTrue="1">
      <formula>$A25="S"</formula>
    </cfRule>
  </conditionalFormatting>
  <conditionalFormatting sqref="A24">
    <cfRule type="expression" dxfId="116" priority="714" stopIfTrue="1">
      <formula>$A24="S"</formula>
    </cfRule>
  </conditionalFormatting>
  <conditionalFormatting sqref="A18">
    <cfRule type="expression" dxfId="115" priority="715" stopIfTrue="1">
      <formula>$A18="S"</formula>
    </cfRule>
  </conditionalFormatting>
  <conditionalFormatting sqref="A15">
    <cfRule type="expression" dxfId="114" priority="716" stopIfTrue="1">
      <formula>$A15="S"</formula>
    </cfRule>
  </conditionalFormatting>
  <conditionalFormatting sqref="A19">
    <cfRule type="expression" dxfId="113" priority="717" stopIfTrue="1">
      <formula>$A19="S"</formula>
    </cfRule>
  </conditionalFormatting>
  <conditionalFormatting sqref="A18">
    <cfRule type="expression" dxfId="112" priority="718" stopIfTrue="1">
      <formula>$A18="S"</formula>
    </cfRule>
  </conditionalFormatting>
  <conditionalFormatting sqref="A17">
    <cfRule type="expression" dxfId="111" priority="719" stopIfTrue="1">
      <formula>$A17="S"</formula>
    </cfRule>
  </conditionalFormatting>
  <conditionalFormatting sqref="A17">
    <cfRule type="expression" dxfId="110" priority="720" stopIfTrue="1">
      <formula>$A17="S"</formula>
    </cfRule>
  </conditionalFormatting>
  <conditionalFormatting sqref="A16">
    <cfRule type="expression" dxfId="109" priority="721" stopIfTrue="1">
      <formula>$A16="S"</formula>
    </cfRule>
  </conditionalFormatting>
  <conditionalFormatting sqref="A17">
    <cfRule type="expression" dxfId="108" priority="722" stopIfTrue="1">
      <formula>$A17="S"</formula>
    </cfRule>
  </conditionalFormatting>
  <conditionalFormatting sqref="A20">
    <cfRule type="expression" dxfId="107" priority="723" stopIfTrue="1">
      <formula>$A20="S"</formula>
    </cfRule>
  </conditionalFormatting>
  <conditionalFormatting sqref="A20">
    <cfRule type="expression" dxfId="106" priority="724" stopIfTrue="1">
      <formula>$A20="S"</formula>
    </cfRule>
  </conditionalFormatting>
  <conditionalFormatting sqref="A17">
    <cfRule type="expression" dxfId="105" priority="725" stopIfTrue="1">
      <formula>$A17="S"</formula>
    </cfRule>
  </conditionalFormatting>
  <conditionalFormatting sqref="A20">
    <cfRule type="expression" dxfId="104" priority="726" stopIfTrue="1">
      <formula>$A20="S"</formula>
    </cfRule>
  </conditionalFormatting>
  <conditionalFormatting sqref="A17">
    <cfRule type="expression" dxfId="103" priority="727" stopIfTrue="1">
      <formula>$A17="S"</formula>
    </cfRule>
  </conditionalFormatting>
  <conditionalFormatting sqref="A20">
    <cfRule type="expression" dxfId="102" priority="728" stopIfTrue="1">
      <formula>$A20="S"</formula>
    </cfRule>
  </conditionalFormatting>
  <conditionalFormatting sqref="A17">
    <cfRule type="expression" dxfId="101" priority="729" stopIfTrue="1">
      <formula>$A17="S"</formula>
    </cfRule>
  </conditionalFormatting>
  <conditionalFormatting sqref="A17">
    <cfRule type="expression" dxfId="100" priority="730" stopIfTrue="1">
      <formula>$A17="S"</formula>
    </cfRule>
  </conditionalFormatting>
  <conditionalFormatting sqref="A18">
    <cfRule type="expression" dxfId="99" priority="731" stopIfTrue="1">
      <formula>$A18="S"</formula>
    </cfRule>
  </conditionalFormatting>
  <conditionalFormatting sqref="A15">
    <cfRule type="expression" dxfId="98" priority="732" stopIfTrue="1">
      <formula>$A15="S"</formula>
    </cfRule>
  </conditionalFormatting>
  <conditionalFormatting sqref="A18">
    <cfRule type="expression" dxfId="97" priority="733" stopIfTrue="1">
      <formula>$A18="S"</formula>
    </cfRule>
  </conditionalFormatting>
  <conditionalFormatting sqref="A22:A27">
    <cfRule type="expression" dxfId="96" priority="734" stopIfTrue="1">
      <formula>$A22="S"</formula>
    </cfRule>
  </conditionalFormatting>
  <conditionalFormatting sqref="A22:A27">
    <cfRule type="expression" dxfId="95" priority="735" stopIfTrue="1">
      <formula>$A22="S"</formula>
    </cfRule>
  </conditionalFormatting>
  <conditionalFormatting sqref="A23:A27">
    <cfRule type="expression" dxfId="94" priority="736" stopIfTrue="1">
      <formula>$A23="S"</formula>
    </cfRule>
  </conditionalFormatting>
  <conditionalFormatting sqref="A22:A23">
    <cfRule type="expression" dxfId="93" priority="737" stopIfTrue="1">
      <formula>$A22="S"</formula>
    </cfRule>
  </conditionalFormatting>
  <conditionalFormatting sqref="A22:A26">
    <cfRule type="expression" dxfId="92" priority="738" stopIfTrue="1">
      <formula>$A22="S"</formula>
    </cfRule>
  </conditionalFormatting>
  <conditionalFormatting sqref="A25">
    <cfRule type="expression" dxfId="91" priority="739" stopIfTrue="1">
      <formula>$A25="S"</formula>
    </cfRule>
  </conditionalFormatting>
  <conditionalFormatting sqref="A26">
    <cfRule type="expression" dxfId="90" priority="740" stopIfTrue="1">
      <formula>$A26="S"</formula>
    </cfRule>
  </conditionalFormatting>
  <conditionalFormatting sqref="D16:I16 M16:V16">
    <cfRule type="expression" dxfId="89" priority="741" stopIfTrue="1">
      <formula>$A16="S"</formula>
    </cfRule>
  </conditionalFormatting>
  <conditionalFormatting sqref="A25">
    <cfRule type="expression" dxfId="88" priority="742" stopIfTrue="1">
      <formula>$A25="S"</formula>
    </cfRule>
  </conditionalFormatting>
  <conditionalFormatting sqref="A22:A23">
    <cfRule type="expression" dxfId="87" priority="743" stopIfTrue="1">
      <formula>$A22="S"</formula>
    </cfRule>
  </conditionalFormatting>
  <conditionalFormatting sqref="A22:A23">
    <cfRule type="expression" dxfId="86" priority="744" stopIfTrue="1">
      <formula>$A22="S"</formula>
    </cfRule>
  </conditionalFormatting>
  <conditionalFormatting sqref="A26">
    <cfRule type="expression" dxfId="85" priority="745" stopIfTrue="1">
      <formula>$A26="S"</formula>
    </cfRule>
  </conditionalFormatting>
  <conditionalFormatting sqref="A22:A23">
    <cfRule type="expression" dxfId="84" priority="746" stopIfTrue="1">
      <formula>$A22="S"</formula>
    </cfRule>
  </conditionalFormatting>
  <conditionalFormatting sqref="A25">
    <cfRule type="expression" dxfId="83" priority="747" stopIfTrue="1">
      <formula>$A25="S"</formula>
    </cfRule>
  </conditionalFormatting>
  <conditionalFormatting sqref="A24">
    <cfRule type="expression" dxfId="82" priority="748" stopIfTrue="1">
      <formula>$A24="S"</formula>
    </cfRule>
  </conditionalFormatting>
  <conditionalFormatting sqref="A25">
    <cfRule type="expression" dxfId="81" priority="749" stopIfTrue="1">
      <formula>$A25="S"</formula>
    </cfRule>
  </conditionalFormatting>
  <conditionalFormatting sqref="A26">
    <cfRule type="expression" dxfId="80" priority="750" stopIfTrue="1">
      <formula>$A26="S"</formula>
    </cfRule>
  </conditionalFormatting>
  <conditionalFormatting sqref="A25">
    <cfRule type="expression" dxfId="79" priority="751" stopIfTrue="1">
      <formula>$A25="S"</formula>
    </cfRule>
  </conditionalFormatting>
  <conditionalFormatting sqref="A26">
    <cfRule type="expression" dxfId="78" priority="752" stopIfTrue="1">
      <formula>$A26="S"</formula>
    </cfRule>
  </conditionalFormatting>
  <conditionalFormatting sqref="A22:A23">
    <cfRule type="expression" dxfId="77" priority="753" stopIfTrue="1">
      <formula>$A22="S"</formula>
    </cfRule>
  </conditionalFormatting>
  <conditionalFormatting sqref="A26">
    <cfRule type="expression" dxfId="76" priority="754" stopIfTrue="1">
      <formula>$A26="S"</formula>
    </cfRule>
  </conditionalFormatting>
  <conditionalFormatting sqref="A25">
    <cfRule type="expression" dxfId="75" priority="755" stopIfTrue="1">
      <formula>$A25="S"</formula>
    </cfRule>
  </conditionalFormatting>
  <conditionalFormatting sqref="A26">
    <cfRule type="expression" dxfId="74" priority="756" stopIfTrue="1">
      <formula>$A26="S"</formula>
    </cfRule>
  </conditionalFormatting>
  <conditionalFormatting sqref="A26">
    <cfRule type="expression" dxfId="73" priority="757" stopIfTrue="1">
      <formula>$A26="S"</formula>
    </cfRule>
  </conditionalFormatting>
  <conditionalFormatting sqref="A24">
    <cfRule type="expression" dxfId="72" priority="758" stopIfTrue="1">
      <formula>$A24="S"</formula>
    </cfRule>
  </conditionalFormatting>
  <conditionalFormatting sqref="A27">
    <cfRule type="expression" dxfId="71" priority="759" stopIfTrue="1">
      <formula>$A27="S"</formula>
    </cfRule>
  </conditionalFormatting>
  <conditionalFormatting sqref="A27">
    <cfRule type="expression" dxfId="70" priority="760" stopIfTrue="1">
      <formula>$A27="S"</formula>
    </cfRule>
  </conditionalFormatting>
  <conditionalFormatting sqref="A26">
    <cfRule type="expression" dxfId="69" priority="761" stopIfTrue="1">
      <formula>$A26="S"</formula>
    </cfRule>
  </conditionalFormatting>
  <conditionalFormatting sqref="A22:A23">
    <cfRule type="expression" dxfId="68" priority="762" stopIfTrue="1">
      <formula>$A22="S"</formula>
    </cfRule>
  </conditionalFormatting>
  <conditionalFormatting sqref="A22:A23">
    <cfRule type="expression" dxfId="67" priority="763" stopIfTrue="1">
      <formula>$A22="S"</formula>
    </cfRule>
  </conditionalFormatting>
  <conditionalFormatting sqref="A26">
    <cfRule type="expression" dxfId="66" priority="764" stopIfTrue="1">
      <formula>$A26="S"</formula>
    </cfRule>
  </conditionalFormatting>
  <conditionalFormatting sqref="A22:A23">
    <cfRule type="expression" dxfId="65" priority="765" stopIfTrue="1">
      <formula>$A22="S"</formula>
    </cfRule>
  </conditionalFormatting>
  <conditionalFormatting sqref="A24">
    <cfRule type="expression" dxfId="64" priority="766" stopIfTrue="1">
      <formula>$A24="S"</formula>
    </cfRule>
  </conditionalFormatting>
  <conditionalFormatting sqref="A22:A23">
    <cfRule type="expression" dxfId="63" priority="767" stopIfTrue="1">
      <formula>$A22="S"</formula>
    </cfRule>
  </conditionalFormatting>
  <conditionalFormatting sqref="A22:A23">
    <cfRule type="expression" dxfId="62" priority="768" stopIfTrue="1">
      <formula>$A22="S"</formula>
    </cfRule>
  </conditionalFormatting>
  <conditionalFormatting sqref="A24">
    <cfRule type="expression" dxfId="61" priority="769" stopIfTrue="1">
      <formula>$A24="S"</formula>
    </cfRule>
  </conditionalFormatting>
  <conditionalFormatting sqref="A27">
    <cfRule type="expression" dxfId="60" priority="770" stopIfTrue="1">
      <formula>$A27="S"</formula>
    </cfRule>
  </conditionalFormatting>
  <conditionalFormatting sqref="A27">
    <cfRule type="expression" dxfId="59" priority="771" stopIfTrue="1">
      <formula>$A27="S"</formula>
    </cfRule>
  </conditionalFormatting>
  <conditionalFormatting sqref="A38">
    <cfRule type="expression" dxfId="58" priority="772" stopIfTrue="1">
      <formula>$A38="S"</formula>
    </cfRule>
  </conditionalFormatting>
  <conditionalFormatting sqref="A38">
    <cfRule type="expression" dxfId="57" priority="773" stopIfTrue="1">
      <formula>$A38="S"</formula>
    </cfRule>
  </conditionalFormatting>
  <conditionalFormatting sqref="A38">
    <cfRule type="expression" dxfId="56" priority="774" stopIfTrue="1">
      <formula>$A38="S"</formula>
    </cfRule>
  </conditionalFormatting>
  <conditionalFormatting sqref="A38">
    <cfRule type="expression" dxfId="55" priority="775" stopIfTrue="1">
      <formula>$A38="S"</formula>
    </cfRule>
  </conditionalFormatting>
  <conditionalFormatting sqref="A38">
    <cfRule type="expression" dxfId="54" priority="776" stopIfTrue="1">
      <formula>$A38="S"</formula>
    </cfRule>
  </conditionalFormatting>
  <conditionalFormatting sqref="A36">
    <cfRule type="expression" dxfId="53" priority="777" stopIfTrue="1">
      <formula>$A36="S"</formula>
    </cfRule>
  </conditionalFormatting>
  <conditionalFormatting sqref="A37">
    <cfRule type="expression" dxfId="52" priority="778" stopIfTrue="1">
      <formula>$A37="S"</formula>
    </cfRule>
  </conditionalFormatting>
  <conditionalFormatting sqref="A37">
    <cfRule type="expression" dxfId="51" priority="779" stopIfTrue="1">
      <formula>$A37="S"</formula>
    </cfRule>
  </conditionalFormatting>
  <conditionalFormatting sqref="A36">
    <cfRule type="expression" dxfId="50" priority="780" stopIfTrue="1">
      <formula>$A36="S"</formula>
    </cfRule>
  </conditionalFormatting>
  <conditionalFormatting sqref="A37">
    <cfRule type="expression" dxfId="49" priority="781" stopIfTrue="1">
      <formula>$A37="S"</formula>
    </cfRule>
  </conditionalFormatting>
  <conditionalFormatting sqref="A36">
    <cfRule type="expression" dxfId="48" priority="782" stopIfTrue="1">
      <formula>$A36="S"</formula>
    </cfRule>
  </conditionalFormatting>
  <conditionalFormatting sqref="A37">
    <cfRule type="expression" dxfId="47" priority="783" stopIfTrue="1">
      <formula>$A37="S"</formula>
    </cfRule>
  </conditionalFormatting>
  <conditionalFormatting sqref="A38">
    <cfRule type="expression" dxfId="46" priority="784" stopIfTrue="1">
      <formula>$A38="S"</formula>
    </cfRule>
  </conditionalFormatting>
  <conditionalFormatting sqref="A38">
    <cfRule type="expression" dxfId="45" priority="785" stopIfTrue="1">
      <formula>$A38="S"</formula>
    </cfRule>
  </conditionalFormatting>
  <conditionalFormatting sqref="A37">
    <cfRule type="expression" dxfId="44" priority="786" stopIfTrue="1">
      <formula>$A37="S"</formula>
    </cfRule>
  </conditionalFormatting>
  <conditionalFormatting sqref="A38">
    <cfRule type="expression" dxfId="43" priority="787" stopIfTrue="1">
      <formula>$A38="S"</formula>
    </cfRule>
  </conditionalFormatting>
  <conditionalFormatting sqref="A36">
    <cfRule type="expression" dxfId="42" priority="788" stopIfTrue="1">
      <formula>$A36="S"</formula>
    </cfRule>
  </conditionalFormatting>
  <conditionalFormatting sqref="A36">
    <cfRule type="expression" dxfId="41" priority="789" stopIfTrue="1">
      <formula>$A36="S"</formula>
    </cfRule>
  </conditionalFormatting>
  <conditionalFormatting sqref="A36">
    <cfRule type="expression" dxfId="40" priority="790" stopIfTrue="1">
      <formula>$A36="S"</formula>
    </cfRule>
  </conditionalFormatting>
  <conditionalFormatting sqref="A37">
    <cfRule type="expression" dxfId="39" priority="791" stopIfTrue="1">
      <formula>$A37="S"</formula>
    </cfRule>
  </conditionalFormatting>
  <conditionalFormatting sqref="A10">
    <cfRule type="expression" dxfId="38" priority="792" stopIfTrue="1">
      <formula>$A10="S"</formula>
    </cfRule>
  </conditionalFormatting>
  <conditionalFormatting sqref="A11">
    <cfRule type="expression" dxfId="37" priority="793" stopIfTrue="1">
      <formula>$A11="S"</formula>
    </cfRule>
  </conditionalFormatting>
  <conditionalFormatting sqref="A13">
    <cfRule type="expression" dxfId="36" priority="794" stopIfTrue="1">
      <formula>$A13="S"</formula>
    </cfRule>
  </conditionalFormatting>
  <conditionalFormatting sqref="A18">
    <cfRule type="expression" dxfId="35" priority="795" stopIfTrue="1">
      <formula>$A18="S"</formula>
    </cfRule>
  </conditionalFormatting>
  <conditionalFormatting sqref="A15">
    <cfRule type="expression" dxfId="34" priority="796" stopIfTrue="1">
      <formula>$A15="S"</formula>
    </cfRule>
  </conditionalFormatting>
  <conditionalFormatting sqref="A18">
    <cfRule type="expression" dxfId="33" priority="797" stopIfTrue="1">
      <formula>$A18="S"</formula>
    </cfRule>
  </conditionalFormatting>
  <conditionalFormatting sqref="A15">
    <cfRule type="expression" dxfId="32" priority="798" stopIfTrue="1">
      <formula>$A15="S"</formula>
    </cfRule>
  </conditionalFormatting>
  <conditionalFormatting sqref="A16">
    <cfRule type="expression" dxfId="31" priority="799" stopIfTrue="1">
      <formula>$A16="S"</formula>
    </cfRule>
  </conditionalFormatting>
  <conditionalFormatting sqref="A20">
    <cfRule type="expression" dxfId="30" priority="800" stopIfTrue="1">
      <formula>$A20="S"</formula>
    </cfRule>
  </conditionalFormatting>
  <conditionalFormatting sqref="A20">
    <cfRule type="expression" dxfId="29" priority="801" stopIfTrue="1">
      <formula>$A20="S"</formula>
    </cfRule>
  </conditionalFormatting>
  <conditionalFormatting sqref="A17">
    <cfRule type="expression" dxfId="28" priority="802" stopIfTrue="1">
      <formula>$A17="S"</formula>
    </cfRule>
  </conditionalFormatting>
  <conditionalFormatting sqref="A19:A20">
    <cfRule type="expression" dxfId="27" priority="803" stopIfTrue="1">
      <formula>$A19="S"</formula>
    </cfRule>
  </conditionalFormatting>
  <conditionalFormatting sqref="J12:K12">
    <cfRule type="expression" dxfId="26" priority="804" stopIfTrue="1">
      <formula>$A12="S"</formula>
    </cfRule>
  </conditionalFormatting>
  <conditionalFormatting sqref="J13:K13">
    <cfRule type="expression" dxfId="25" priority="805" stopIfTrue="1">
      <formula>$A13="S"</formula>
    </cfRule>
  </conditionalFormatting>
  <conditionalFormatting sqref="J15:K15">
    <cfRule type="expression" dxfId="24" priority="806" stopIfTrue="1">
      <formula>$A15="S"</formula>
    </cfRule>
  </conditionalFormatting>
  <conditionalFormatting sqref="J16:K16">
    <cfRule type="expression" dxfId="23" priority="807" stopIfTrue="1">
      <formula>$A16="S"</formula>
    </cfRule>
  </conditionalFormatting>
  <conditionalFormatting sqref="J17:K17">
    <cfRule type="expression" dxfId="22" priority="808" stopIfTrue="1">
      <formula>$A17="S"</formula>
    </cfRule>
  </conditionalFormatting>
  <conditionalFormatting sqref="J18:K18">
    <cfRule type="expression" dxfId="21" priority="809" stopIfTrue="1">
      <formula>$A18="S"</formula>
    </cfRule>
  </conditionalFormatting>
  <conditionalFormatting sqref="J19:K19">
    <cfRule type="expression" dxfId="20" priority="810" stopIfTrue="1">
      <formula>$A19="S"</formula>
    </cfRule>
  </conditionalFormatting>
  <conditionalFormatting sqref="J20:K20">
    <cfRule type="expression" dxfId="19" priority="811" stopIfTrue="1">
      <formula>$A20="S"</formula>
    </cfRule>
  </conditionalFormatting>
  <conditionalFormatting sqref="J21:K21">
    <cfRule type="expression" dxfId="18" priority="812" stopIfTrue="1">
      <formula>$A21="S"</formula>
    </cfRule>
  </conditionalFormatting>
  <conditionalFormatting sqref="J23:K23">
    <cfRule type="expression" dxfId="17" priority="813" stopIfTrue="1">
      <formula>$A23="S"</formula>
    </cfRule>
  </conditionalFormatting>
  <conditionalFormatting sqref="J24:K24">
    <cfRule type="expression" dxfId="16" priority="814" stopIfTrue="1">
      <formula>$A24="S"</formula>
    </cfRule>
  </conditionalFormatting>
  <conditionalFormatting sqref="J25:K25">
    <cfRule type="expression" dxfId="15" priority="815" stopIfTrue="1">
      <formula>$A25="S"</formula>
    </cfRule>
  </conditionalFormatting>
  <conditionalFormatting sqref="J26:K26">
    <cfRule type="expression" dxfId="14" priority="816" stopIfTrue="1">
      <formula>$A26="S"</formula>
    </cfRule>
  </conditionalFormatting>
  <conditionalFormatting sqref="J27:K27">
    <cfRule type="expression" dxfId="13" priority="817" stopIfTrue="1">
      <formula>$A27="S"</formula>
    </cfRule>
  </conditionalFormatting>
  <conditionalFormatting sqref="P28">
    <cfRule type="expression" dxfId="12" priority="818" stopIfTrue="1">
      <formula>$A28="S"</formula>
    </cfRule>
  </conditionalFormatting>
  <conditionalFormatting sqref="J34:K34">
    <cfRule type="expression" dxfId="11" priority="819" stopIfTrue="1">
      <formula>$A34="S"</formula>
    </cfRule>
  </conditionalFormatting>
  <conditionalFormatting sqref="J35:K36">
    <cfRule type="expression" dxfId="10" priority="820" stopIfTrue="1">
      <formula>$A35="S"</formula>
    </cfRule>
  </conditionalFormatting>
  <conditionalFormatting sqref="S34">
    <cfRule type="expression" dxfId="9" priority="821" stopIfTrue="1">
      <formula>$A34="S"</formula>
    </cfRule>
  </conditionalFormatting>
  <conditionalFormatting sqref="S38">
    <cfRule type="expression" dxfId="8" priority="822" stopIfTrue="1">
      <formula>$A38="S"</formula>
    </cfRule>
  </conditionalFormatting>
  <pageMargins left="0.7" right="0.7" top="0.75" bottom="0.75" header="0.3" footer="0.3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5.140625" defaultRowHeight="15" customHeight="1"/>
  <cols>
    <col min="1" max="1" width="25.7109375" customWidth="1"/>
    <col min="2" max="2" width="24" customWidth="1"/>
    <col min="3" max="3" width="15.42578125" customWidth="1"/>
    <col min="4" max="4" width="10.42578125" customWidth="1"/>
    <col min="5" max="5" width="12" customWidth="1"/>
    <col min="6" max="6" width="11.42578125" customWidth="1"/>
    <col min="7" max="7" width="24.42578125" customWidth="1"/>
    <col min="8" max="8" width="16.140625" customWidth="1"/>
    <col min="9" max="9" width="14.85546875" customWidth="1"/>
    <col min="10" max="10" width="7" customWidth="1"/>
    <col min="11" max="11" width="8.7109375" customWidth="1"/>
    <col min="12" max="19" width="7" customWidth="1"/>
    <col min="20" max="26" width="13.28515625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5" t="s">
        <v>186</v>
      </c>
      <c r="B2" s="2"/>
      <c r="C2" s="2"/>
      <c r="D2" s="2"/>
      <c r="E2" s="2"/>
      <c r="F2" s="2"/>
      <c r="G2" s="90"/>
      <c r="H2" s="90"/>
      <c r="I2" s="90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5" t="s">
        <v>187</v>
      </c>
      <c r="B3" s="2"/>
      <c r="C3" s="2"/>
      <c r="D3" s="2"/>
      <c r="E3" s="2"/>
      <c r="F3" s="2"/>
      <c r="G3" s="90"/>
      <c r="H3" s="90"/>
      <c r="I3" s="90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91"/>
      <c r="B4" s="2"/>
      <c r="C4" s="2"/>
      <c r="D4" s="2"/>
      <c r="E4" s="2"/>
      <c r="F4" s="2"/>
      <c r="G4" s="90"/>
      <c r="H4" s="90"/>
      <c r="I4" s="90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/>
      <c r="B5" s="2"/>
      <c r="C5" s="2"/>
      <c r="D5" s="2"/>
      <c r="E5" s="2"/>
      <c r="F5" s="2"/>
      <c r="G5" s="92">
        <v>42736</v>
      </c>
      <c r="H5" s="92" t="s">
        <v>188</v>
      </c>
      <c r="I5" s="92">
        <v>42825</v>
      </c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93" t="s">
        <v>189</v>
      </c>
      <c r="B6" s="93" t="s">
        <v>190</v>
      </c>
      <c r="C6" s="94" t="s">
        <v>191</v>
      </c>
      <c r="D6" s="94" t="s">
        <v>192</v>
      </c>
      <c r="E6" s="93" t="s">
        <v>193</v>
      </c>
      <c r="F6" s="94" t="s">
        <v>194</v>
      </c>
      <c r="G6" s="71"/>
      <c r="H6" s="71"/>
      <c r="I6" s="7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95">
        <v>10</v>
      </c>
      <c r="B7" s="95" t="s">
        <v>185</v>
      </c>
      <c r="C7" s="90" t="s">
        <v>195</v>
      </c>
      <c r="D7" s="90"/>
      <c r="E7" s="96" t="s">
        <v>196</v>
      </c>
      <c r="F7" s="90"/>
      <c r="G7" s="90"/>
      <c r="H7" s="90"/>
      <c r="I7" s="90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95">
        <v>20</v>
      </c>
      <c r="B8" s="95" t="s">
        <v>197</v>
      </c>
      <c r="C8" s="90" t="s">
        <v>198</v>
      </c>
      <c r="D8" s="90"/>
      <c r="E8" s="96" t="s">
        <v>199</v>
      </c>
      <c r="F8" s="90"/>
      <c r="G8" s="90"/>
      <c r="H8" s="90"/>
      <c r="I8" s="90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95">
        <v>30</v>
      </c>
      <c r="B9" s="95" t="s">
        <v>200</v>
      </c>
      <c r="C9" s="90" t="s">
        <v>195</v>
      </c>
      <c r="D9" s="90"/>
      <c r="E9" s="96" t="s">
        <v>201</v>
      </c>
      <c r="F9" s="90"/>
      <c r="G9" s="90"/>
      <c r="H9" s="90"/>
      <c r="I9" s="90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95">
        <v>40</v>
      </c>
      <c r="B10" s="95" t="s">
        <v>202</v>
      </c>
      <c r="C10" s="90" t="s">
        <v>195</v>
      </c>
      <c r="D10" s="90"/>
      <c r="E10" s="96" t="s">
        <v>203</v>
      </c>
      <c r="F10" s="90"/>
      <c r="G10" s="90"/>
      <c r="H10" s="90"/>
      <c r="I10" s="90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95">
        <v>50</v>
      </c>
      <c r="B11" s="95" t="s">
        <v>205</v>
      </c>
      <c r="C11" s="90" t="s">
        <v>195</v>
      </c>
      <c r="D11" s="90"/>
      <c r="E11" s="96" t="s">
        <v>206</v>
      </c>
      <c r="F11" s="90"/>
      <c r="G11" s="90"/>
      <c r="H11" s="90"/>
      <c r="I11" s="90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95">
        <v>60</v>
      </c>
      <c r="B12" s="95" t="s">
        <v>207</v>
      </c>
      <c r="C12" s="90" t="s">
        <v>195</v>
      </c>
      <c r="D12" s="90"/>
      <c r="E12" s="96" t="s">
        <v>206</v>
      </c>
      <c r="F12" s="90"/>
      <c r="G12" s="90"/>
      <c r="H12" s="90"/>
      <c r="I12" s="90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95">
        <v>70</v>
      </c>
      <c r="B13" s="95" t="s">
        <v>208</v>
      </c>
      <c r="C13" s="90" t="s">
        <v>195</v>
      </c>
      <c r="D13" s="90"/>
      <c r="E13" s="96" t="s">
        <v>206</v>
      </c>
      <c r="F13" s="90"/>
      <c r="G13" s="90"/>
      <c r="H13" s="90"/>
      <c r="I13" s="90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95">
        <v>80</v>
      </c>
      <c r="B14" s="95" t="s">
        <v>209</v>
      </c>
      <c r="C14" s="90" t="s">
        <v>195</v>
      </c>
      <c r="D14" s="90"/>
      <c r="E14" s="96" t="s">
        <v>210</v>
      </c>
      <c r="F14" s="90"/>
      <c r="G14" s="90"/>
      <c r="H14" s="90"/>
      <c r="I14" s="90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95"/>
      <c r="B15" s="95"/>
      <c r="C15" s="90"/>
      <c r="D15" s="90"/>
      <c r="E15" s="96"/>
      <c r="F15" s="90"/>
      <c r="G15" s="90"/>
      <c r="H15" s="90"/>
      <c r="I15" s="90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6:I1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showGridLines="0" workbookViewId="0"/>
  </sheetViews>
  <sheetFormatPr defaultColWidth="15.140625" defaultRowHeight="15" customHeight="1"/>
  <cols>
    <col min="1" max="1" width="2.85546875" customWidth="1"/>
    <col min="2" max="2" width="26.28515625" customWidth="1"/>
    <col min="3" max="3" width="13.28515625" customWidth="1"/>
    <col min="4" max="4" width="3.85546875" customWidth="1"/>
    <col min="5" max="5" width="6.28515625" customWidth="1"/>
    <col min="6" max="7" width="3.85546875" customWidth="1"/>
    <col min="8" max="9" width="6.28515625" customWidth="1"/>
    <col min="10" max="10" width="15" customWidth="1"/>
    <col min="11" max="11" width="14.85546875" customWidth="1"/>
    <col min="12" max="12" width="3" customWidth="1"/>
    <col min="13" max="13" width="11.140625" customWidth="1"/>
    <col min="14" max="14" width="5.42578125" customWidth="1"/>
    <col min="15" max="30" width="6.7109375" customWidth="1"/>
    <col min="31" max="35" width="7.28515625" customWidth="1"/>
    <col min="36" max="38" width="8.140625" customWidth="1"/>
    <col min="39" max="43" width="7.28515625" customWidth="1"/>
  </cols>
  <sheetData>
    <row r="1" spans="1:43" ht="21" customHeight="1">
      <c r="A1" s="100"/>
      <c r="B1" s="101"/>
      <c r="C1" s="102"/>
      <c r="D1" s="102"/>
      <c r="E1" s="102"/>
      <c r="F1" s="102"/>
      <c r="G1" s="102"/>
      <c r="H1" s="102"/>
      <c r="I1" s="102"/>
      <c r="J1" s="103" t="s">
        <v>211</v>
      </c>
      <c r="K1" s="104"/>
      <c r="L1" s="100"/>
      <c r="M1" s="100"/>
      <c r="N1" s="100"/>
      <c r="O1" s="10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05">
        <v>42521</v>
      </c>
      <c r="AF1" s="105">
        <v>42551</v>
      </c>
      <c r="AG1" s="105">
        <v>42582</v>
      </c>
      <c r="AH1" s="105">
        <v>42613</v>
      </c>
      <c r="AI1" s="105">
        <v>42643</v>
      </c>
      <c r="AJ1" s="105">
        <v>42674</v>
      </c>
      <c r="AK1" s="105">
        <v>42704</v>
      </c>
      <c r="AL1" s="105">
        <v>42735</v>
      </c>
      <c r="AM1" s="105">
        <v>42766</v>
      </c>
      <c r="AN1" s="105">
        <v>42794</v>
      </c>
      <c r="AO1" s="105">
        <v>42825</v>
      </c>
      <c r="AP1" s="105">
        <v>42855</v>
      </c>
      <c r="AQ1" s="105">
        <v>42886</v>
      </c>
    </row>
    <row r="2" spans="1:43" ht="18.75" customHeight="1">
      <c r="A2" s="100"/>
      <c r="B2" s="106" t="s">
        <v>212</v>
      </c>
      <c r="C2" s="100"/>
      <c r="D2" s="100"/>
      <c r="E2" s="100"/>
      <c r="F2" s="107"/>
      <c r="G2" s="107"/>
      <c r="H2" s="107"/>
      <c r="I2" s="107"/>
      <c r="J2" s="103" t="s">
        <v>213</v>
      </c>
      <c r="K2" s="104"/>
      <c r="L2" s="100"/>
      <c r="M2" s="100"/>
      <c r="N2" s="100"/>
      <c r="O2" s="100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8.75" customHeight="1">
      <c r="A3" s="100"/>
      <c r="B3" s="106">
        <v>42766</v>
      </c>
      <c r="C3" s="100"/>
      <c r="D3" s="100"/>
      <c r="E3" s="100"/>
      <c r="F3" s="107"/>
      <c r="G3" s="107"/>
      <c r="H3" s="107"/>
      <c r="I3" s="107"/>
      <c r="J3" s="103" t="s">
        <v>214</v>
      </c>
      <c r="K3" s="104"/>
      <c r="L3" s="100"/>
      <c r="M3" s="100"/>
      <c r="N3" s="100"/>
      <c r="O3" s="100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6.5" customHeight="1">
      <c r="A4" s="100"/>
      <c r="B4" s="100"/>
      <c r="C4" s="100"/>
      <c r="D4" s="100"/>
      <c r="E4" s="100"/>
      <c r="F4" s="107"/>
      <c r="G4" s="107"/>
      <c r="H4" s="107"/>
      <c r="I4" s="107"/>
      <c r="J4" s="103" t="s">
        <v>215</v>
      </c>
      <c r="K4" s="104"/>
      <c r="L4" s="100"/>
      <c r="M4" s="100"/>
      <c r="N4" s="100"/>
      <c r="O4" s="100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6.5" customHeight="1">
      <c r="A5" s="100"/>
      <c r="B5" s="100"/>
      <c r="C5" s="100"/>
      <c r="D5" s="100"/>
      <c r="E5" s="100"/>
      <c r="F5" s="107"/>
      <c r="G5" s="107"/>
      <c r="H5" s="107"/>
      <c r="I5" s="107"/>
      <c r="J5" s="103" t="s">
        <v>216</v>
      </c>
      <c r="K5" s="104"/>
      <c r="L5" s="108" t="s">
        <v>217</v>
      </c>
      <c r="M5" s="109" t="str">
        <f>IF(L5="Y","If JE is Non Reversing change to N","If JE is Reversing change to Y")</f>
        <v>If JE is Reversing change to Y</v>
      </c>
      <c r="N5" s="110"/>
      <c r="O5" s="110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8.75" customHeight="1">
      <c r="A6" s="100"/>
      <c r="B6" s="111"/>
      <c r="C6" s="100"/>
      <c r="D6" s="100"/>
      <c r="E6" s="100"/>
      <c r="F6" s="107"/>
      <c r="G6" s="107"/>
      <c r="H6" s="107"/>
      <c r="I6" s="107"/>
      <c r="J6" s="103" t="s">
        <v>218</v>
      </c>
      <c r="K6" s="104"/>
      <c r="L6" s="100"/>
      <c r="M6" s="100"/>
      <c r="N6" s="100"/>
      <c r="O6" s="100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8.75" customHeight="1">
      <c r="A7" s="112"/>
      <c r="B7" s="111"/>
      <c r="C7" s="100"/>
      <c r="D7" s="107"/>
      <c r="E7" s="107"/>
      <c r="F7" s="107"/>
      <c r="G7" s="107"/>
      <c r="H7" s="107"/>
      <c r="I7" s="107"/>
      <c r="J7" s="100"/>
      <c r="K7" s="104"/>
      <c r="L7" s="100"/>
      <c r="M7" s="100"/>
      <c r="N7" s="100"/>
      <c r="O7" s="100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customHeight="1">
      <c r="A8" s="112"/>
      <c r="B8" s="113"/>
      <c r="C8" s="15"/>
      <c r="D8" s="15"/>
      <c r="E8" s="15"/>
      <c r="F8" s="114"/>
      <c r="G8" s="114"/>
      <c r="H8" s="114"/>
      <c r="I8" s="114"/>
      <c r="J8" s="115"/>
      <c r="K8" s="20"/>
      <c r="L8" s="100"/>
      <c r="M8" s="100"/>
      <c r="N8" s="100"/>
      <c r="O8" s="100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6.5" customHeight="1">
      <c r="A9" s="100"/>
      <c r="B9" s="116" t="s">
        <v>219</v>
      </c>
      <c r="C9" s="116" t="s">
        <v>220</v>
      </c>
      <c r="D9" s="116" t="s">
        <v>221</v>
      </c>
      <c r="E9" s="116" t="s">
        <v>222</v>
      </c>
      <c r="F9" s="116" t="s">
        <v>223</v>
      </c>
      <c r="G9" s="116" t="s">
        <v>224</v>
      </c>
      <c r="H9" s="116" t="s">
        <v>225</v>
      </c>
      <c r="I9" s="116" t="s">
        <v>226</v>
      </c>
      <c r="J9" s="116" t="s">
        <v>227</v>
      </c>
      <c r="K9" s="116" t="s">
        <v>228</v>
      </c>
      <c r="L9" s="100"/>
      <c r="M9" s="117" t="s">
        <v>229</v>
      </c>
      <c r="N9" s="117" t="s">
        <v>230</v>
      </c>
      <c r="O9" s="100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75" customHeight="1">
      <c r="A10" s="118">
        <v>1</v>
      </c>
      <c r="B10" s="119"/>
      <c r="C10" s="119"/>
      <c r="D10" s="120" t="str">
        <f t="shared" ref="D10:D13" si="0">IF(J10&lt;&gt;0,"40","50")</f>
        <v>50</v>
      </c>
      <c r="E10" s="121"/>
      <c r="F10" s="121"/>
      <c r="G10" s="121"/>
      <c r="H10" s="121"/>
      <c r="I10" s="121"/>
      <c r="J10" s="122"/>
      <c r="K10" s="122"/>
      <c r="L10" s="118">
        <f t="shared" ref="L10:L13" si="1">A10</f>
        <v>1</v>
      </c>
      <c r="M10" s="123">
        <f t="shared" ref="M10:M13" si="2">ABS(J10+K10)</f>
        <v>0</v>
      </c>
      <c r="N10" s="124" t="str">
        <f t="shared" ref="N10:N13" si="3">IF(D10="40","50","40")</f>
        <v>40</v>
      </c>
      <c r="O10" s="10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>
      <c r="A11" s="118">
        <f t="shared" ref="A11:A13" si="4">+A10+1</f>
        <v>2</v>
      </c>
      <c r="B11" s="119"/>
      <c r="C11" s="119"/>
      <c r="D11" s="120" t="str">
        <f t="shared" si="0"/>
        <v>50</v>
      </c>
      <c r="E11" s="121"/>
      <c r="F11" s="121"/>
      <c r="G11" s="121"/>
      <c r="H11" s="121"/>
      <c r="I11" s="121"/>
      <c r="J11" s="122"/>
      <c r="K11" s="122"/>
      <c r="L11" s="118">
        <f t="shared" si="1"/>
        <v>2</v>
      </c>
      <c r="M11" s="123">
        <f t="shared" si="2"/>
        <v>0</v>
      </c>
      <c r="N11" s="124" t="str">
        <f t="shared" si="3"/>
        <v>40</v>
      </c>
      <c r="O11" s="10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>
      <c r="A12" s="118">
        <f t="shared" si="4"/>
        <v>3</v>
      </c>
      <c r="B12" s="119"/>
      <c r="C12" s="119"/>
      <c r="D12" s="120" t="str">
        <f t="shared" si="0"/>
        <v>50</v>
      </c>
      <c r="E12" s="121"/>
      <c r="F12" s="121"/>
      <c r="G12" s="121"/>
      <c r="H12" s="121"/>
      <c r="I12" s="121"/>
      <c r="J12" s="122"/>
      <c r="K12" s="122"/>
      <c r="L12" s="118">
        <f t="shared" si="1"/>
        <v>3</v>
      </c>
      <c r="M12" s="123">
        <f t="shared" si="2"/>
        <v>0</v>
      </c>
      <c r="N12" s="124" t="str">
        <f t="shared" si="3"/>
        <v>40</v>
      </c>
      <c r="O12" s="10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>
      <c r="A13" s="118">
        <f t="shared" si="4"/>
        <v>4</v>
      </c>
      <c r="B13" s="119"/>
      <c r="C13" s="119"/>
      <c r="D13" s="120" t="str">
        <f t="shared" si="0"/>
        <v>50</v>
      </c>
      <c r="E13" s="121"/>
      <c r="F13" s="121"/>
      <c r="G13" s="121"/>
      <c r="H13" s="121"/>
      <c r="I13" s="121"/>
      <c r="J13" s="122"/>
      <c r="K13" s="122"/>
      <c r="L13" s="118">
        <f t="shared" si="1"/>
        <v>4</v>
      </c>
      <c r="M13" s="123">
        <f t="shared" si="2"/>
        <v>0</v>
      </c>
      <c r="N13" s="124" t="str">
        <f t="shared" si="3"/>
        <v>40</v>
      </c>
      <c r="O13" s="10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>
      <c r="A14" s="100"/>
      <c r="B14" s="125"/>
      <c r="C14" s="126"/>
      <c r="D14" s="126"/>
      <c r="E14" s="121"/>
      <c r="F14" s="121"/>
      <c r="G14" s="121"/>
      <c r="H14" s="121"/>
      <c r="I14" s="121"/>
      <c r="J14" s="122"/>
      <c r="K14" s="122"/>
      <c r="L14" s="100"/>
      <c r="M14" s="127"/>
      <c r="N14" s="128"/>
      <c r="O14" s="100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>
      <c r="A15" s="100"/>
      <c r="B15" s="129"/>
      <c r="C15" s="130"/>
      <c r="D15" s="130"/>
      <c r="E15" s="131"/>
      <c r="F15" s="131"/>
      <c r="G15" s="131"/>
      <c r="H15" s="131"/>
      <c r="I15" s="131"/>
      <c r="J15" s="132"/>
      <c r="K15" s="132"/>
      <c r="L15" s="100"/>
      <c r="M15" s="127"/>
      <c r="N15" s="128"/>
      <c r="O15" s="100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>
      <c r="A16" s="100"/>
      <c r="B16" s="133"/>
      <c r="C16" s="134"/>
      <c r="D16" s="134"/>
      <c r="E16" s="133"/>
      <c r="F16" s="135"/>
      <c r="G16" s="135"/>
      <c r="H16" s="135"/>
      <c r="I16" s="135"/>
      <c r="J16" s="136">
        <f t="shared" ref="J16:K16" si="5">SUM(J10:J15)</f>
        <v>0</v>
      </c>
      <c r="K16" s="136">
        <f t="shared" si="5"/>
        <v>0</v>
      </c>
      <c r="L16" s="100"/>
      <c r="M16" s="137">
        <f>SUM(M10:M14)</f>
        <v>0</v>
      </c>
      <c r="N16" s="128"/>
      <c r="O16" s="100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>
      <c r="A17" s="100"/>
      <c r="B17" s="100"/>
      <c r="C17" s="138"/>
      <c r="D17" s="138"/>
      <c r="E17" s="139" t="s">
        <v>231</v>
      </c>
      <c r="F17" s="140"/>
      <c r="G17" s="140"/>
      <c r="H17" s="140"/>
      <c r="I17" s="140"/>
      <c r="J17" s="141">
        <f>+J16-K16</f>
        <v>0</v>
      </c>
      <c r="K17" s="142"/>
      <c r="L17" s="100"/>
      <c r="M17" s="88"/>
      <c r="N17" s="100"/>
      <c r="O17" s="100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>
      <c r="A18" s="100"/>
      <c r="B18" s="143" t="s">
        <v>232</v>
      </c>
      <c r="C18" s="138"/>
      <c r="D18" s="138"/>
      <c r="E18" s="144"/>
      <c r="F18" s="145"/>
      <c r="G18" s="145"/>
      <c r="H18" s="145"/>
      <c r="I18" s="145"/>
      <c r="J18" s="142"/>
      <c r="K18" s="142"/>
      <c r="L18" s="100"/>
      <c r="M18" s="100"/>
      <c r="N18" s="100"/>
      <c r="O18" s="100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>
      <c r="A19" s="100"/>
      <c r="B19" s="100"/>
      <c r="C19" s="138"/>
      <c r="D19" s="138"/>
      <c r="E19" s="144"/>
      <c r="F19" s="145"/>
      <c r="G19" s="145"/>
      <c r="H19" s="145"/>
      <c r="I19" s="145"/>
      <c r="J19" s="142"/>
      <c r="K19" s="142"/>
      <c r="L19" s="100"/>
      <c r="M19" s="100"/>
      <c r="N19" s="100"/>
      <c r="O19" s="100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ht="15.75" customHeight="1">
      <c r="A20" s="100"/>
      <c r="B20" s="146">
        <f>+B7</f>
        <v>0</v>
      </c>
      <c r="C20" s="147"/>
      <c r="D20" s="147"/>
      <c r="E20" s="148"/>
      <c r="F20" s="149"/>
      <c r="G20" s="149"/>
      <c r="H20" s="149"/>
      <c r="I20" s="149"/>
      <c r="J20" s="150"/>
      <c r="K20" s="150"/>
      <c r="L20" s="100"/>
      <c r="M20" s="100"/>
      <c r="N20" s="100"/>
      <c r="O20" s="10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</sheetData>
  <autoFilter ref="A9:N13"/>
  <conditionalFormatting sqref="F1:I20">
    <cfRule type="cellIs" dxfId="7" priority="1" operator="equal">
      <formula>1030</formula>
    </cfRule>
  </conditionalFormatting>
  <conditionalFormatting sqref="F1:I20">
    <cfRule type="cellIs" dxfId="6" priority="2" stopIfTrue="1" operator="equal">
      <formula>1000</formula>
    </cfRule>
  </conditionalFormatting>
  <conditionalFormatting sqref="F1:I1000">
    <cfRule type="cellIs" dxfId="5" priority="3" operator="equal">
      <formula>1010</formula>
    </cfRule>
  </conditionalFormatting>
  <conditionalFormatting sqref="F1:I1000">
    <cfRule type="cellIs" dxfId="4" priority="4" operator="equal">
      <formula>2020</formula>
    </cfRule>
  </conditionalFormatting>
  <conditionalFormatting sqref="D7:E7">
    <cfRule type="cellIs" dxfId="3" priority="5" operator="equal">
      <formula>1030</formula>
    </cfRule>
  </conditionalFormatting>
  <conditionalFormatting sqref="D7:E7">
    <cfRule type="cellIs" dxfId="2" priority="6" stopIfTrue="1" operator="equal">
      <formula>1000</formula>
    </cfRule>
  </conditionalFormatting>
  <conditionalFormatting sqref="D7:E7">
    <cfRule type="cellIs" dxfId="1" priority="7" operator="equal">
      <formula>1010</formula>
    </cfRule>
  </conditionalFormatting>
  <conditionalFormatting sqref="D7:E7">
    <cfRule type="cellIs" dxfId="0" priority="8" operator="equal">
      <formula>2020</formula>
    </cfRule>
  </conditionalFormatting>
  <dataValidations count="1">
    <dataValidation type="list" allowBlank="1" showErrorMessage="1" sqref="B3">
      <formula1>$AE$1:$AQ$1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5.140625" defaultRowHeight="15" customHeight="1"/>
  <cols>
    <col min="1" max="1" width="7.85546875" customWidth="1"/>
    <col min="2" max="2" width="33.28515625" customWidth="1"/>
    <col min="3" max="3" width="8" customWidth="1"/>
    <col min="4" max="7" width="7" customWidth="1"/>
    <col min="8" max="8" width="14.7109375" customWidth="1"/>
    <col min="9" max="9" width="13" customWidth="1"/>
    <col min="10" max="10" width="6.28515625" customWidth="1"/>
    <col min="11" max="11" width="7" customWidth="1"/>
    <col min="12" max="12" width="11.28515625" customWidth="1"/>
    <col min="13" max="14" width="7.7109375" customWidth="1"/>
    <col min="15" max="24" width="7" customWidth="1"/>
    <col min="25" max="26" width="13.28515625" customWidth="1"/>
  </cols>
  <sheetData>
    <row r="1" spans="1:26" ht="12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8" t="s">
        <v>233</v>
      </c>
      <c r="B2" s="8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8" t="s">
        <v>234</v>
      </c>
      <c r="B3" s="8"/>
      <c r="C3" s="65"/>
      <c r="D3" s="65"/>
      <c r="E3" s="65"/>
      <c r="F3" s="65"/>
      <c r="G3" s="65"/>
      <c r="H3" s="8" t="s">
        <v>233</v>
      </c>
      <c r="I3" s="8"/>
      <c r="J3" s="8"/>
      <c r="K3" s="8"/>
      <c r="L3" s="15"/>
      <c r="M3" s="15"/>
      <c r="N3" s="15"/>
      <c r="O3" s="15"/>
      <c r="P3" s="65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65"/>
      <c r="B4" s="65"/>
      <c r="C4" s="65"/>
      <c r="D4" s="65"/>
      <c r="E4" s="65"/>
      <c r="F4" s="65"/>
      <c r="G4" s="65"/>
      <c r="H4" s="8" t="s">
        <v>235</v>
      </c>
      <c r="I4" s="8"/>
      <c r="J4" s="8"/>
      <c r="K4" s="8"/>
      <c r="L4" s="15"/>
      <c r="M4" s="15"/>
      <c r="N4" s="15"/>
      <c r="O4" s="15"/>
      <c r="P4" s="65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71" t="s">
        <v>158</v>
      </c>
      <c r="B5" s="71" t="s">
        <v>159</v>
      </c>
      <c r="C5" s="71" t="s">
        <v>236</v>
      </c>
      <c r="D5" s="65"/>
      <c r="E5" s="65"/>
      <c r="F5" s="65"/>
      <c r="G5" s="65"/>
      <c r="H5" s="15"/>
      <c r="I5" s="15"/>
      <c r="J5" s="15"/>
      <c r="K5" s="15"/>
      <c r="L5" s="15"/>
      <c r="M5" s="15"/>
      <c r="N5" s="15"/>
      <c r="O5" s="15"/>
      <c r="P5" s="65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65">
        <v>100</v>
      </c>
      <c r="B6" s="65" t="s">
        <v>237</v>
      </c>
      <c r="C6" s="65" t="s">
        <v>238</v>
      </c>
      <c r="D6" s="65"/>
      <c r="E6" s="65"/>
      <c r="F6" s="65"/>
      <c r="G6" s="65"/>
      <c r="H6" s="112"/>
      <c r="I6" s="15"/>
      <c r="J6" s="15"/>
      <c r="K6" s="15"/>
      <c r="L6" s="15"/>
      <c r="M6" s="15"/>
      <c r="N6" s="15"/>
      <c r="O6" s="15"/>
      <c r="P6" s="65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65">
        <v>200</v>
      </c>
      <c r="B7" s="65" t="s">
        <v>239</v>
      </c>
      <c r="C7" s="65" t="s">
        <v>238</v>
      </c>
      <c r="D7" s="65"/>
      <c r="E7" s="65"/>
      <c r="F7" s="65"/>
      <c r="G7" s="65"/>
      <c r="H7" s="15"/>
      <c r="I7" s="15"/>
      <c r="J7" s="15"/>
      <c r="K7" s="15"/>
      <c r="L7" s="15"/>
      <c r="M7" s="15"/>
      <c r="N7" s="15"/>
      <c r="O7" s="15"/>
      <c r="P7" s="65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65">
        <f t="shared" ref="A8:A28" si="0">A7+100</f>
        <v>300</v>
      </c>
      <c r="B8" s="65" t="s">
        <v>240</v>
      </c>
      <c r="C8" s="65" t="s">
        <v>238</v>
      </c>
      <c r="D8" s="65"/>
      <c r="E8" s="65"/>
      <c r="F8" s="65"/>
      <c r="G8" s="65"/>
      <c r="H8" s="151" t="s">
        <v>241</v>
      </c>
      <c r="I8" s="151" t="s">
        <v>179</v>
      </c>
      <c r="J8" s="151" t="s">
        <v>242</v>
      </c>
      <c r="K8" s="151" t="s">
        <v>236</v>
      </c>
      <c r="L8" s="151" t="s">
        <v>133</v>
      </c>
      <c r="M8" s="152" t="s">
        <v>243</v>
      </c>
      <c r="N8" s="152" t="s">
        <v>244</v>
      </c>
      <c r="O8" s="65"/>
      <c r="P8" s="65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65">
        <f t="shared" si="0"/>
        <v>400</v>
      </c>
      <c r="B9" s="65" t="s">
        <v>245</v>
      </c>
      <c r="C9" s="65" t="s">
        <v>238</v>
      </c>
      <c r="D9" s="65"/>
      <c r="E9" s="65"/>
      <c r="F9" s="65"/>
      <c r="G9" s="65"/>
      <c r="H9" s="153">
        <v>1000</v>
      </c>
      <c r="I9" s="65" t="s">
        <v>246</v>
      </c>
      <c r="J9" s="65"/>
      <c r="K9" s="65"/>
      <c r="L9" s="65"/>
      <c r="M9" s="68"/>
      <c r="N9" s="65"/>
      <c r="O9" s="65"/>
      <c r="P9" s="65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65">
        <f t="shared" si="0"/>
        <v>500</v>
      </c>
      <c r="B10" s="65" t="s">
        <v>247</v>
      </c>
      <c r="C10" s="65" t="s">
        <v>238</v>
      </c>
      <c r="D10" s="65"/>
      <c r="E10" s="65"/>
      <c r="F10" s="65"/>
      <c r="G10" s="65"/>
      <c r="H10" s="153">
        <v>2000</v>
      </c>
      <c r="I10" s="65" t="s">
        <v>248</v>
      </c>
      <c r="J10" s="65"/>
      <c r="K10" s="65"/>
      <c r="L10" s="65"/>
      <c r="M10" s="68"/>
      <c r="N10" s="65"/>
      <c r="O10" s="65"/>
      <c r="P10" s="6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65">
        <f t="shared" si="0"/>
        <v>600</v>
      </c>
      <c r="B11" s="65" t="s">
        <v>249</v>
      </c>
      <c r="C11" s="65" t="s">
        <v>238</v>
      </c>
      <c r="D11" s="65"/>
      <c r="E11" s="65"/>
      <c r="F11" s="65"/>
      <c r="G11" s="65"/>
      <c r="H11" s="153">
        <v>3000</v>
      </c>
      <c r="I11" s="65" t="s">
        <v>250</v>
      </c>
      <c r="J11" s="65"/>
      <c r="K11" s="65"/>
      <c r="L11" s="65"/>
      <c r="M11" s="68"/>
      <c r="N11" s="65"/>
      <c r="O11" s="65"/>
      <c r="P11" s="6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65">
        <f t="shared" si="0"/>
        <v>700</v>
      </c>
      <c r="B12" s="65" t="s">
        <v>251</v>
      </c>
      <c r="C12" s="65" t="s">
        <v>238</v>
      </c>
      <c r="D12" s="65"/>
      <c r="E12" s="65"/>
      <c r="F12" s="65"/>
      <c r="G12" s="65"/>
      <c r="H12" s="153">
        <v>4000</v>
      </c>
      <c r="I12" s="65" t="s">
        <v>252</v>
      </c>
      <c r="J12" s="65"/>
      <c r="K12" s="65"/>
      <c r="L12" s="65"/>
      <c r="M12" s="68"/>
      <c r="N12" s="65"/>
      <c r="O12" s="65"/>
      <c r="P12" s="6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65">
        <f t="shared" si="0"/>
        <v>800</v>
      </c>
      <c r="B13" s="65" t="s">
        <v>253</v>
      </c>
      <c r="C13" s="65" t="s">
        <v>238</v>
      </c>
      <c r="D13" s="65"/>
      <c r="E13" s="65"/>
      <c r="F13" s="65"/>
      <c r="G13" s="65"/>
      <c r="H13" s="153">
        <v>5000</v>
      </c>
      <c r="I13" s="65" t="s">
        <v>254</v>
      </c>
      <c r="J13" s="65"/>
      <c r="K13" s="65"/>
      <c r="L13" s="65"/>
      <c r="M13" s="68"/>
      <c r="N13" s="65"/>
      <c r="O13" s="65"/>
      <c r="P13" s="6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65">
        <f t="shared" si="0"/>
        <v>900</v>
      </c>
      <c r="B14" s="65" t="s">
        <v>255</v>
      </c>
      <c r="C14" s="65" t="s">
        <v>238</v>
      </c>
      <c r="D14" s="65"/>
      <c r="E14" s="65"/>
      <c r="F14" s="65"/>
      <c r="G14" s="65"/>
      <c r="H14" s="153">
        <v>6000</v>
      </c>
      <c r="I14" s="65" t="s">
        <v>256</v>
      </c>
      <c r="J14" s="65"/>
      <c r="K14" s="65"/>
      <c r="L14" s="65"/>
      <c r="M14" s="68"/>
      <c r="N14" s="65"/>
      <c r="O14" s="65"/>
      <c r="P14" s="6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65">
        <f t="shared" si="0"/>
        <v>1000</v>
      </c>
      <c r="B15" s="65" t="s">
        <v>257</v>
      </c>
      <c r="C15" s="65" t="s">
        <v>238</v>
      </c>
      <c r="D15" s="65"/>
      <c r="E15" s="65"/>
      <c r="F15" s="65"/>
      <c r="G15" s="65"/>
      <c r="H15" s="153">
        <v>9000</v>
      </c>
      <c r="I15" s="65" t="s">
        <v>258</v>
      </c>
      <c r="J15" s="65"/>
      <c r="K15" s="65"/>
      <c r="L15" s="65"/>
      <c r="M15" s="68"/>
      <c r="N15" s="65"/>
      <c r="O15" s="65"/>
      <c r="P15" s="6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65">
        <f t="shared" si="0"/>
        <v>1100</v>
      </c>
      <c r="B16" s="65" t="s">
        <v>259</v>
      </c>
      <c r="C16" s="65" t="s">
        <v>238</v>
      </c>
      <c r="D16" s="65"/>
      <c r="E16" s="65"/>
      <c r="F16" s="65"/>
      <c r="G16" s="65"/>
      <c r="H16" s="153">
        <v>10000</v>
      </c>
      <c r="I16" s="65" t="s">
        <v>260</v>
      </c>
      <c r="J16" s="65"/>
      <c r="K16" s="65"/>
      <c r="L16" s="65"/>
      <c r="M16" s="68"/>
      <c r="N16" s="65"/>
      <c r="O16" s="65"/>
      <c r="P16" s="6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65">
        <f t="shared" si="0"/>
        <v>1200</v>
      </c>
      <c r="B17" s="65" t="s">
        <v>261</v>
      </c>
      <c r="C17" s="65" t="s">
        <v>238</v>
      </c>
      <c r="D17" s="65"/>
      <c r="E17" s="65"/>
      <c r="F17" s="65"/>
      <c r="G17" s="65"/>
      <c r="H17" s="153">
        <v>11000</v>
      </c>
      <c r="I17" s="65" t="s">
        <v>262</v>
      </c>
      <c r="J17" s="65"/>
      <c r="K17" s="65"/>
      <c r="L17" s="65"/>
      <c r="M17" s="68"/>
      <c r="N17" s="65"/>
      <c r="O17" s="65"/>
      <c r="P17" s="6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65">
        <f t="shared" si="0"/>
        <v>1300</v>
      </c>
      <c r="B18" s="65" t="s">
        <v>263</v>
      </c>
      <c r="C18" s="65" t="s">
        <v>238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65">
        <f t="shared" si="0"/>
        <v>1400</v>
      </c>
      <c r="B19" s="65" t="s">
        <v>264</v>
      </c>
      <c r="C19" s="65" t="s">
        <v>238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65">
        <f t="shared" si="0"/>
        <v>1500</v>
      </c>
      <c r="B20" s="65" t="s">
        <v>265</v>
      </c>
      <c r="C20" s="65" t="s">
        <v>238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65">
        <f t="shared" si="0"/>
        <v>1600</v>
      </c>
      <c r="B21" s="65" t="s">
        <v>266</v>
      </c>
      <c r="C21" s="65" t="s">
        <v>238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65">
        <f t="shared" si="0"/>
        <v>1700</v>
      </c>
      <c r="B22" s="65" t="s">
        <v>267</v>
      </c>
      <c r="C22" s="65" t="s">
        <v>238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65">
        <f t="shared" si="0"/>
        <v>1800</v>
      </c>
      <c r="B23" s="65" t="s">
        <v>268</v>
      </c>
      <c r="C23" s="65" t="s">
        <v>238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65">
        <f t="shared" si="0"/>
        <v>1900</v>
      </c>
      <c r="B24" s="65" t="s">
        <v>269</v>
      </c>
      <c r="C24" s="65" t="s">
        <v>238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65">
        <f t="shared" si="0"/>
        <v>2000</v>
      </c>
      <c r="B25" s="65" t="s">
        <v>270</v>
      </c>
      <c r="C25" s="65" t="s">
        <v>238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65">
        <f t="shared" si="0"/>
        <v>2100</v>
      </c>
      <c r="B26" s="65" t="s">
        <v>271</v>
      </c>
      <c r="C26" s="65" t="s">
        <v>238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65">
        <f t="shared" si="0"/>
        <v>2200</v>
      </c>
      <c r="B27" s="65" t="s">
        <v>272</v>
      </c>
      <c r="C27" s="65" t="s">
        <v>238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54">
        <f t="shared" si="0"/>
        <v>2300</v>
      </c>
      <c r="B28" s="154" t="s">
        <v>273</v>
      </c>
      <c r="C28" s="154" t="s">
        <v>238</v>
      </c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55">
        <v>23001</v>
      </c>
      <c r="B29" s="156" t="s">
        <v>274</v>
      </c>
      <c r="C29" s="155" t="s">
        <v>238</v>
      </c>
      <c r="D29" s="65" t="s">
        <v>275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55">
        <v>23002</v>
      </c>
      <c r="B30" s="156" t="s">
        <v>276</v>
      </c>
      <c r="C30" s="155" t="s">
        <v>238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55">
        <v>23004</v>
      </c>
      <c r="B31" s="156" t="s">
        <v>277</v>
      </c>
      <c r="C31" s="155" t="s">
        <v>238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55"/>
      <c r="B32" s="155"/>
      <c r="C32" s="15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65">
        <f>A28+100</f>
        <v>2400</v>
      </c>
      <c r="B33" s="65" t="s">
        <v>278</v>
      </c>
      <c r="C33" s="65" t="s">
        <v>238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65">
        <f t="shared" ref="A34:A51" si="1">A33+100</f>
        <v>2500</v>
      </c>
      <c r="B34" s="65" t="s">
        <v>279</v>
      </c>
      <c r="C34" s="65" t="s">
        <v>238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65">
        <f t="shared" si="1"/>
        <v>2600</v>
      </c>
      <c r="B35" s="65" t="s">
        <v>280</v>
      </c>
      <c r="C35" s="65" t="s">
        <v>238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65">
        <f t="shared" si="1"/>
        <v>2700</v>
      </c>
      <c r="B36" s="65" t="s">
        <v>281</v>
      </c>
      <c r="C36" s="65" t="s">
        <v>238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65">
        <f t="shared" si="1"/>
        <v>2800</v>
      </c>
      <c r="B37" s="65" t="s">
        <v>282</v>
      </c>
      <c r="C37" s="65" t="s">
        <v>238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65">
        <f t="shared" si="1"/>
        <v>2900</v>
      </c>
      <c r="B38" s="65" t="s">
        <v>172</v>
      </c>
      <c r="C38" s="65" t="s">
        <v>238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65">
        <f t="shared" si="1"/>
        <v>3000</v>
      </c>
      <c r="B39" s="65" t="s">
        <v>283</v>
      </c>
      <c r="C39" s="65" t="s">
        <v>238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65">
        <f t="shared" si="1"/>
        <v>3100</v>
      </c>
      <c r="B40" s="65" t="s">
        <v>284</v>
      </c>
      <c r="C40" s="65" t="s">
        <v>238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65">
        <f t="shared" si="1"/>
        <v>3200</v>
      </c>
      <c r="B41" s="65" t="s">
        <v>285</v>
      </c>
      <c r="C41" s="65" t="s">
        <v>238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65">
        <f t="shared" si="1"/>
        <v>3300</v>
      </c>
      <c r="B42" s="65" t="s">
        <v>286</v>
      </c>
      <c r="C42" s="65" t="s">
        <v>238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65">
        <f t="shared" si="1"/>
        <v>3400</v>
      </c>
      <c r="B43" s="65" t="s">
        <v>287</v>
      </c>
      <c r="C43" s="65" t="s">
        <v>238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65">
        <f t="shared" si="1"/>
        <v>3500</v>
      </c>
      <c r="B44" s="65" t="s">
        <v>288</v>
      </c>
      <c r="C44" s="65" t="s">
        <v>238</v>
      </c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65">
        <f t="shared" si="1"/>
        <v>3600</v>
      </c>
      <c r="B45" s="65" t="s">
        <v>289</v>
      </c>
      <c r="C45" s="65" t="s">
        <v>238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65">
        <f t="shared" si="1"/>
        <v>3700</v>
      </c>
      <c r="B46" s="65" t="s">
        <v>290</v>
      </c>
      <c r="C46" s="65" t="s">
        <v>238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65">
        <f t="shared" si="1"/>
        <v>3800</v>
      </c>
      <c r="B47" s="65" t="s">
        <v>291</v>
      </c>
      <c r="C47" s="65" t="s">
        <v>238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65">
        <f t="shared" si="1"/>
        <v>3900</v>
      </c>
      <c r="B48" s="65" t="s">
        <v>292</v>
      </c>
      <c r="C48" s="65" t="s">
        <v>238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65">
        <f t="shared" si="1"/>
        <v>4000</v>
      </c>
      <c r="B49" s="65" t="s">
        <v>293</v>
      </c>
      <c r="C49" s="65" t="s">
        <v>238</v>
      </c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65">
        <f t="shared" si="1"/>
        <v>4100</v>
      </c>
      <c r="B50" s="65" t="s">
        <v>294</v>
      </c>
      <c r="C50" s="65" t="s">
        <v>238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65">
        <f t="shared" si="1"/>
        <v>4200</v>
      </c>
      <c r="B51" s="65" t="s">
        <v>295</v>
      </c>
      <c r="C51" s="65" t="s">
        <v>238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5:C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 Dash Borad</vt:lpstr>
      <vt:lpstr>A- Company</vt:lpstr>
      <vt:lpstr>A-Outlet</vt:lpstr>
      <vt:lpstr>A-User</vt:lpstr>
      <vt:lpstr>A-User Role</vt:lpstr>
      <vt:lpstr>A-Product Category</vt:lpstr>
      <vt:lpstr>A-Cash Projection </vt:lpstr>
      <vt:lpstr>A-AP</vt:lpstr>
      <vt:lpstr>A-AR</vt:lpstr>
      <vt:lpstr>Sales &amp; Product Costing</vt:lpstr>
      <vt:lpstr>Expense </vt:lpstr>
      <vt:lpstr>Sales Forecast </vt:lpstr>
      <vt:lpstr>Cash Projection - Saad</vt:lpstr>
      <vt:lpstr>Jan July 2017 Income Statement</vt:lpstr>
      <vt:lpstr>Jan July 2017 Balance sheet</vt:lpstr>
      <vt:lpstr>Report and Data input Formats </vt:lpstr>
      <vt:lpstr>Recommended Accounting System</vt:lpstr>
      <vt:lpstr>BS and Income Statement</vt:lpstr>
      <vt:lpstr>Bank Reconciliation Format</vt:lpstr>
      <vt:lpstr>Accounting adjustment workplan</vt:lpstr>
      <vt:lpstr>Journal Entry Template</vt:lpstr>
      <vt:lpstr>Chart of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Muzzamil</dc:creator>
  <cp:lastModifiedBy>akhtar</cp:lastModifiedBy>
  <dcterms:created xsi:type="dcterms:W3CDTF">2017-05-24T00:07:45Z</dcterms:created>
  <dcterms:modified xsi:type="dcterms:W3CDTF">2017-08-22T15:44:41Z</dcterms:modified>
</cp:coreProperties>
</file>