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rfan\OneDrive\Documents\ALB_FISHERIES_NAVUNDA\ALB ANALYSIS\excel\"/>
    </mc:Choice>
  </mc:AlternateContent>
  <xr:revisionPtr revIDLastSave="0" documentId="13_ncr:1_{8552549F-A2E2-4FC9-8872-7636D35AC8B5}" xr6:coauthVersionLast="47" xr6:coauthVersionMax="47" xr10:uidLastSave="{00000000-0000-0000-0000-000000000000}"/>
  <bookViews>
    <workbookView xWindow="-120" yWindow="-120" windowWidth="20730" windowHeight="11040" firstSheet="5" activeTab="12" xr2:uid="{6E95A4B5-0E9D-4FAA-8435-F4B44C787FF0}"/>
  </bookViews>
  <sheets>
    <sheet name="RTN 01" sheetId="1" r:id="rId1"/>
    <sheet name="RTN 02" sheetId="2" r:id="rId2"/>
    <sheet name="RTN 03" sheetId="3" r:id="rId3"/>
    <sheet name="ALIBAG 01" sheetId="4" r:id="rId4"/>
    <sheet name="RTN 04" sheetId="5" r:id="rId5"/>
    <sheet name="RTN 05" sheetId="6" r:id="rId6"/>
    <sheet name="RTN 06" sheetId="7" r:id="rId7"/>
    <sheet name="RTN 07" sheetId="8" r:id="rId8"/>
    <sheet name="RTN 08" sheetId="9" r:id="rId9"/>
    <sheet name="RTN 09" sheetId="12" r:id="rId10"/>
    <sheet name="RTN 10" sheetId="13" r:id="rId11"/>
    <sheet name="RTN 11" sheetId="14" r:id="rId12"/>
    <sheet name="RTN 12" sheetId="15" r:id="rId13"/>
    <sheet name="RTN 13" sheetId="17" r:id="rId14"/>
    <sheet name="RTN 14" sheetId="18" r:id="rId15"/>
    <sheet name="ALIBAG 2" sheetId="19" r:id="rId16"/>
    <sheet name="RTN 15" sheetId="21" r:id="rId17"/>
    <sheet name="RTN 16" sheetId="22" r:id="rId18"/>
    <sheet name="RTN 17" sheetId="25" r:id="rId19"/>
    <sheet name="RTN 18" sheetId="26" r:id="rId20"/>
    <sheet name="RTN 19" sheetId="28" r:id="rId21"/>
    <sheet name="ALIBAG 03" sheetId="27" r:id="rId22"/>
    <sheet name="RTN 20" sheetId="29" r:id="rId23"/>
    <sheet name="RTN 21 " sheetId="30" r:id="rId24"/>
    <sheet name="RTN 22" sheetId="31" r:id="rId25"/>
    <sheet name="RTN 23" sheetId="32" r:id="rId26"/>
    <sheet name="RTN 24" sheetId="33" r:id="rId27"/>
    <sheet name="RTN 25" sheetId="34" r:id="rId28"/>
    <sheet name="RTN 26" sheetId="35" r:id="rId29"/>
    <sheet name="RTN 27" sheetId="38" r:id="rId30"/>
    <sheet name="RTN 28" sheetId="39" r:id="rId31"/>
    <sheet name="RTN 29" sheetId="40" r:id="rId32"/>
    <sheet name="RTN 30" sheetId="41" r:id="rId33"/>
    <sheet name="RTN 31" sheetId="42" r:id="rId34"/>
    <sheet name="RTN 32" sheetId="43" r:id="rId35"/>
    <sheet name="RTN 33" sheetId="44" r:id="rId36"/>
    <sheet name="RTN 34" sheetId="45" r:id="rId37"/>
    <sheet name="RTN 35" sheetId="46" r:id="rId38"/>
    <sheet name="RTN 36" sheetId="47" r:id="rId39"/>
    <sheet name="RTN 37" sheetId="48" r:id="rId40"/>
    <sheet name="RTN 38" sheetId="49" r:id="rId41"/>
    <sheet name="RTN 39" sheetId="50" r:id="rId42"/>
    <sheet name="RTN 40" sheetId="51" r:id="rId43"/>
    <sheet name="ALIBAG 04" sheetId="52" r:id="rId44"/>
    <sheet name="Sheet2" sheetId="54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2" l="1"/>
  <c r="E17" i="52"/>
  <c r="G3" i="52"/>
  <c r="H17" i="51"/>
  <c r="E17" i="51"/>
  <c r="G3" i="51"/>
  <c r="G3" i="48"/>
  <c r="H17" i="50" l="1"/>
  <c r="E17" i="50"/>
  <c r="G3" i="50"/>
  <c r="H15" i="49"/>
  <c r="E15" i="49"/>
  <c r="G3" i="49"/>
  <c r="G3" i="45"/>
  <c r="G3" i="44" l="1"/>
  <c r="H20" i="48"/>
  <c r="E20" i="48"/>
  <c r="H15" i="47"/>
  <c r="E15" i="47"/>
  <c r="G3" i="47"/>
  <c r="G3" i="43"/>
  <c r="G3" i="42"/>
  <c r="G3" i="46"/>
  <c r="H15" i="46"/>
  <c r="E15" i="46"/>
  <c r="H15" i="45"/>
  <c r="E15" i="45"/>
  <c r="H15" i="44"/>
  <c r="E15" i="44"/>
  <c r="H15" i="43" l="1"/>
  <c r="E15" i="43"/>
  <c r="H15" i="42"/>
  <c r="E15" i="42"/>
  <c r="H15" i="41"/>
  <c r="E15" i="41"/>
  <c r="G3" i="41"/>
  <c r="H15" i="40"/>
  <c r="E15" i="40"/>
  <c r="G3" i="40"/>
  <c r="H15" i="39"/>
  <c r="E15" i="39"/>
  <c r="G3" i="39"/>
  <c r="G3" i="38"/>
  <c r="H15" i="38"/>
  <c r="E15" i="38"/>
  <c r="H15" i="35" l="1"/>
  <c r="E15" i="35"/>
  <c r="G3" i="35"/>
  <c r="F15" i="30" l="1"/>
  <c r="E15" i="30"/>
  <c r="H15" i="34"/>
  <c r="E15" i="34"/>
  <c r="G3" i="34"/>
  <c r="G3" i="31"/>
  <c r="H7" i="29"/>
  <c r="G3" i="27" l="1"/>
  <c r="H15" i="33"/>
  <c r="E15" i="33"/>
  <c r="G3" i="33"/>
  <c r="H15" i="32"/>
  <c r="E15" i="32"/>
  <c r="G3" i="32"/>
  <c r="H15" i="31"/>
  <c r="E15" i="31"/>
  <c r="H8" i="29"/>
  <c r="H15" i="30"/>
  <c r="G3" i="30"/>
  <c r="H14" i="29"/>
  <c r="G3" i="29"/>
  <c r="E7" i="28"/>
  <c r="H10" i="28"/>
  <c r="E10" i="28"/>
  <c r="G3" i="28"/>
  <c r="E14" i="29" l="1"/>
  <c r="H18" i="27" l="1"/>
  <c r="E18" i="27"/>
  <c r="G3" i="26"/>
  <c r="H15" i="26"/>
  <c r="E15" i="26"/>
  <c r="G3" i="25" l="1"/>
  <c r="H12" i="25"/>
  <c r="E12" i="25"/>
  <c r="H14" i="22"/>
  <c r="E14" i="22"/>
  <c r="G3" i="22"/>
  <c r="G3" i="21"/>
  <c r="H14" i="21"/>
  <c r="E14" i="21"/>
  <c r="G3" i="18"/>
  <c r="G4" i="19"/>
  <c r="H15" i="19"/>
  <c r="E15" i="19"/>
  <c r="H10" i="18"/>
  <c r="E10" i="18"/>
  <c r="H9" i="17"/>
  <c r="E9" i="17"/>
  <c r="G3" i="17"/>
  <c r="G3" i="14"/>
  <c r="G3" i="13"/>
  <c r="G3" i="12"/>
  <c r="G3" i="9"/>
  <c r="H12" i="15" l="1"/>
  <c r="E12" i="15"/>
  <c r="G3" i="15"/>
  <c r="H13" i="14"/>
  <c r="E13" i="14"/>
  <c r="H16" i="13"/>
  <c r="E16" i="13"/>
  <c r="H11" i="12"/>
  <c r="E11" i="12"/>
  <c r="H20" i="9"/>
  <c r="E20" i="9"/>
  <c r="H11" i="8"/>
  <c r="E11" i="8"/>
  <c r="G3" i="8"/>
  <c r="G3" i="7"/>
  <c r="H15" i="7" l="1"/>
  <c r="E15" i="7"/>
  <c r="G4" i="6"/>
  <c r="H15" i="6"/>
  <c r="E15" i="6"/>
  <c r="H13" i="5"/>
  <c r="E13" i="5"/>
  <c r="G4" i="5"/>
  <c r="H20" i="4"/>
  <c r="E20" i="4"/>
  <c r="G4" i="4"/>
  <c r="H13" i="3"/>
  <c r="E13" i="3"/>
  <c r="G3" i="3"/>
  <c r="H16" i="2"/>
  <c r="E16" i="2"/>
  <c r="G3" i="2"/>
  <c r="G3" i="1"/>
  <c r="H21" i="1" l="1"/>
  <c r="E21" i="1"/>
</calcChain>
</file>

<file path=xl/sharedStrings.xml><?xml version="1.0" encoding="utf-8"?>
<sst xmlns="http://schemas.openxmlformats.org/spreadsheetml/2006/main" count="1385" uniqueCount="246">
  <si>
    <t xml:space="preserve">TP NO </t>
  </si>
  <si>
    <t>LORRY NO</t>
  </si>
  <si>
    <t>TP DATE</t>
  </si>
  <si>
    <t>TRIP NO</t>
  </si>
  <si>
    <t>TOTAL BOX</t>
  </si>
  <si>
    <t>TOTAL BOX MATCHING</t>
  </si>
  <si>
    <t>KA20-AB-5293</t>
  </si>
  <si>
    <t>DATE</t>
  </si>
  <si>
    <t>PARTY NAME</t>
  </si>
  <si>
    <t>BOX</t>
  </si>
  <si>
    <t>ADVANCE</t>
  </si>
  <si>
    <t>ADV NO</t>
  </si>
  <si>
    <t>AMOUNT</t>
  </si>
  <si>
    <t>Total</t>
  </si>
  <si>
    <t>PURCHASE</t>
  </si>
  <si>
    <t>AMBALABUJA  ZAMZAM</t>
  </si>
  <si>
    <t>KARIVATTA   CHS</t>
  </si>
  <si>
    <t>KAYIKOLAM     AFK</t>
  </si>
  <si>
    <t>ADOOR AS</t>
  </si>
  <si>
    <t>YETMANUR  EBF</t>
  </si>
  <si>
    <t xml:space="preserve">PAIPAD PMM </t>
  </si>
  <si>
    <t>CHANGANACHERY MR</t>
  </si>
  <si>
    <t>CHAKKAVALLI THAWAKKAL</t>
  </si>
  <si>
    <t>KUMBAJA ZULFI</t>
  </si>
  <si>
    <t xml:space="preserve">NADUMANGAD SHA </t>
  </si>
  <si>
    <t>YANGARAMOD YSN</t>
  </si>
  <si>
    <t>ALANGOD  BISMI</t>
  </si>
  <si>
    <t>KA20-AC-0723</t>
  </si>
  <si>
    <t>CHERTHALA AKT</t>
  </si>
  <si>
    <t>KALAVOOR  FREIENDS</t>
  </si>
  <si>
    <t>KAIKOLAM AFK</t>
  </si>
  <si>
    <t>K PALLI  HMS</t>
  </si>
  <si>
    <t>K PALLI BH</t>
  </si>
  <si>
    <t>K PALLI EPN</t>
  </si>
  <si>
    <t>K PALLI LH</t>
  </si>
  <si>
    <t>KA20-AA-1066</t>
  </si>
  <si>
    <t>NICK NAME</t>
  </si>
  <si>
    <t>NIYYATINKARA</t>
  </si>
  <si>
    <t>BISMI</t>
  </si>
  <si>
    <t>ARYANAD</t>
  </si>
  <si>
    <t>TSF</t>
  </si>
  <si>
    <t>ADOOR</t>
  </si>
  <si>
    <t>AS</t>
  </si>
  <si>
    <t>KARUVATTA</t>
  </si>
  <si>
    <t>CHS</t>
  </si>
  <si>
    <t>YETTUMANUR</t>
  </si>
  <si>
    <t>EBF</t>
  </si>
  <si>
    <t>THODUPUZHA</t>
  </si>
  <si>
    <t>NFT</t>
  </si>
  <si>
    <t>KA20-AB-6393</t>
  </si>
  <si>
    <t xml:space="preserve">KANHANGAD </t>
  </si>
  <si>
    <t>CHA / CHS</t>
  </si>
  <si>
    <t>KASARAGOD</t>
  </si>
  <si>
    <t>ASF</t>
  </si>
  <si>
    <t>ALUVA</t>
  </si>
  <si>
    <t>PMJ</t>
  </si>
  <si>
    <t>KAYAKULAM</t>
  </si>
  <si>
    <t>AFK</t>
  </si>
  <si>
    <t>CHERTHALA</t>
  </si>
  <si>
    <t>AKT</t>
  </si>
  <si>
    <t>CHAMBAKERE</t>
  </si>
  <si>
    <t>PAV</t>
  </si>
  <si>
    <t>KUNNAKOLAM</t>
  </si>
  <si>
    <t>OMS</t>
  </si>
  <si>
    <t>THALLIPURAM</t>
  </si>
  <si>
    <t>KMG</t>
  </si>
  <si>
    <t>NILESHWARA</t>
  </si>
  <si>
    <t>MKS</t>
  </si>
  <si>
    <t>MALPE</t>
  </si>
  <si>
    <t>MS</t>
  </si>
  <si>
    <t>KANNUR</t>
  </si>
  <si>
    <t>AMS</t>
  </si>
  <si>
    <t>KA20-AB-5295</t>
  </si>
  <si>
    <t xml:space="preserve">PANACHAMOODU </t>
  </si>
  <si>
    <t>RSF-PMD</t>
  </si>
  <si>
    <t>VENJARAMOODU</t>
  </si>
  <si>
    <t>YSN</t>
  </si>
  <si>
    <t>NEDUMANGAD</t>
  </si>
  <si>
    <t>SHA</t>
  </si>
  <si>
    <t>PALLAM</t>
  </si>
  <si>
    <t>LF</t>
  </si>
  <si>
    <t>NEYYATTINKARA</t>
  </si>
  <si>
    <t>NB-BISMI</t>
  </si>
  <si>
    <t>BH AND CO</t>
  </si>
  <si>
    <t>BH</t>
  </si>
  <si>
    <t>KOTTARAKKARA</t>
  </si>
  <si>
    <t>JNS</t>
  </si>
  <si>
    <t>H.M.S</t>
  </si>
  <si>
    <t>K-PALLI</t>
  </si>
  <si>
    <t>M.A WAHAB</t>
  </si>
  <si>
    <t>KA20-AC-1055</t>
  </si>
  <si>
    <t>PPC</t>
  </si>
  <si>
    <t>CALICUT BEACH</t>
  </si>
  <si>
    <t>KMK</t>
  </si>
  <si>
    <t>THIROOR</t>
  </si>
  <si>
    <t>TTS</t>
  </si>
  <si>
    <t>EPN</t>
  </si>
  <si>
    <t>E PODUMON</t>
  </si>
  <si>
    <t>HARIPAD</t>
  </si>
  <si>
    <t>KNH</t>
  </si>
  <si>
    <t>VALANCHERY</t>
  </si>
  <si>
    <t>BFC</t>
  </si>
  <si>
    <t>CALICUT</t>
  </si>
  <si>
    <t>PERAMBA</t>
  </si>
  <si>
    <t>FRS</t>
  </si>
  <si>
    <t>K.M.K</t>
  </si>
  <si>
    <t>THALICHERY</t>
  </si>
  <si>
    <t>MKM</t>
  </si>
  <si>
    <t>ALANGOD</t>
  </si>
  <si>
    <t>CM</t>
  </si>
  <si>
    <t xml:space="preserve">KALAVOOR </t>
  </si>
  <si>
    <t>FRIENDS</t>
  </si>
  <si>
    <t>YENJARAMOD</t>
  </si>
  <si>
    <t>NIYYATIGERA</t>
  </si>
  <si>
    <t>SHAFI</t>
  </si>
  <si>
    <t>MARTHANDA</t>
  </si>
  <si>
    <t>KA20-AB-8828</t>
  </si>
  <si>
    <t>NIYYATIGERE</t>
  </si>
  <si>
    <t>PANCHAMOD</t>
  </si>
  <si>
    <t>KALAVOOR</t>
  </si>
  <si>
    <t>THIRUR</t>
  </si>
  <si>
    <t>YETMANUR</t>
  </si>
  <si>
    <t>KARIVATTA</t>
  </si>
  <si>
    <t>HMS</t>
  </si>
  <si>
    <t>K PALLI</t>
  </si>
  <si>
    <t>HARI-PADU</t>
  </si>
  <si>
    <t>ST XAVIOUR</t>
  </si>
  <si>
    <t>RSF PMD</t>
  </si>
  <si>
    <t>KA20-AC-0724</t>
  </si>
  <si>
    <t>PANCHAMOODU</t>
  </si>
  <si>
    <t>TALIPARAMBA</t>
  </si>
  <si>
    <t>KUNDOTTY</t>
  </si>
  <si>
    <t>KAYAMKULAM</t>
  </si>
  <si>
    <t>ANNAI  POONDI MATHA</t>
  </si>
  <si>
    <t>KUNNAKULAM</t>
  </si>
  <si>
    <t>CHS   KVJ</t>
  </si>
  <si>
    <t>MPR   ST FRANCIS XAVIOUR</t>
  </si>
  <si>
    <t xml:space="preserve">KOTTARAKARA </t>
  </si>
  <si>
    <t>KA20 AB 5295</t>
  </si>
  <si>
    <t>KA19 AC 5382</t>
  </si>
  <si>
    <t>ALIBAG - 02</t>
  </si>
  <si>
    <t>KA20 AB 6393</t>
  </si>
  <si>
    <t>CHAKKUVALLY</t>
  </si>
  <si>
    <t>TWK</t>
  </si>
  <si>
    <t>NB</t>
  </si>
  <si>
    <t>RSF</t>
  </si>
  <si>
    <t>PANACHAMOODU</t>
  </si>
  <si>
    <t>KA20 AC 1055</t>
  </si>
  <si>
    <t>HMS - KPALLI</t>
  </si>
  <si>
    <t>K PALL</t>
  </si>
  <si>
    <t xml:space="preserve">PAIPAD </t>
  </si>
  <si>
    <t>PMM</t>
  </si>
  <si>
    <t>CHANGANACHERRY</t>
  </si>
  <si>
    <t>MRM</t>
  </si>
  <si>
    <t>KA20 AB 5293</t>
  </si>
  <si>
    <t>PONDI MATHA</t>
  </si>
  <si>
    <t xml:space="preserve">NIYYATTINKARA </t>
  </si>
  <si>
    <t xml:space="preserve">PANCHAMOOD </t>
  </si>
  <si>
    <t>2ND</t>
  </si>
  <si>
    <t>VENJARAMOD</t>
  </si>
  <si>
    <t>KA20 AC 0723</t>
  </si>
  <si>
    <t>KOLLAKADAVU</t>
  </si>
  <si>
    <t>SULFI</t>
  </si>
  <si>
    <t>PAIPAD</t>
  </si>
  <si>
    <t>KUMBAZHA</t>
  </si>
  <si>
    <t>CHANGANCHERY</t>
  </si>
  <si>
    <t>RS</t>
  </si>
  <si>
    <t xml:space="preserve">KUNDOTY </t>
  </si>
  <si>
    <t>THALLICHERY</t>
  </si>
  <si>
    <t>CALICUT CENTRAL</t>
  </si>
  <si>
    <t>KSB</t>
  </si>
  <si>
    <t xml:space="preserve">K PALLI </t>
  </si>
  <si>
    <t>LH</t>
  </si>
  <si>
    <t>CHAKKUVALLI</t>
  </si>
  <si>
    <t xml:space="preserve"> BH</t>
  </si>
  <si>
    <t>STAR</t>
  </si>
  <si>
    <t xml:space="preserve">THODUPUZHA </t>
  </si>
  <si>
    <t xml:space="preserve">ADOOR </t>
  </si>
  <si>
    <t>KUNNAMKULAM</t>
  </si>
  <si>
    <t xml:space="preserve">NEDUMANGAD </t>
  </si>
  <si>
    <t xml:space="preserve">ARYANADU </t>
  </si>
  <si>
    <t>KA20 AA 1066</t>
  </si>
  <si>
    <t>Y-PIN</t>
  </si>
  <si>
    <t xml:space="preserve">CHAKKUVALLI </t>
  </si>
  <si>
    <t>KNSF</t>
  </si>
  <si>
    <t>KA20 AB 7130</t>
  </si>
  <si>
    <t>KA20 AC 6393</t>
  </si>
  <si>
    <t>KALAMUKKU</t>
  </si>
  <si>
    <t>CHAKKUWALLI</t>
  </si>
  <si>
    <t>\</t>
  </si>
  <si>
    <t>*</t>
  </si>
  <si>
    <t>KA20 D 3384</t>
  </si>
  <si>
    <t xml:space="preserve">KUNNAKOLAM </t>
  </si>
  <si>
    <t xml:space="preserve">THIROOR </t>
  </si>
  <si>
    <t>KALLIKALA</t>
  </si>
  <si>
    <t xml:space="preserve">TRIVENDRUM </t>
  </si>
  <si>
    <t>GFR</t>
  </si>
  <si>
    <t>TRIVENDRUM</t>
  </si>
  <si>
    <t>ARYANADU</t>
  </si>
  <si>
    <t xml:space="preserve">PANCHAMOODU </t>
  </si>
  <si>
    <t>KKV</t>
  </si>
  <si>
    <t>KALIKALA</t>
  </si>
  <si>
    <t>NIYATINKARA</t>
  </si>
  <si>
    <t>7 STAR SEA FOOD</t>
  </si>
  <si>
    <t xml:space="preserve">LF </t>
  </si>
  <si>
    <t>KALIYAKAVILAI</t>
  </si>
  <si>
    <t xml:space="preserve">THALASSERY </t>
  </si>
  <si>
    <t>ALVE</t>
  </si>
  <si>
    <t>PANACHAMOOFU</t>
  </si>
  <si>
    <t xml:space="preserve"> </t>
  </si>
  <si>
    <t>PALLOM</t>
  </si>
  <si>
    <t xml:space="preserve">NEW LF </t>
  </si>
  <si>
    <t>KALIYAKKAVILAI</t>
  </si>
  <si>
    <t>THALASSEY</t>
  </si>
  <si>
    <t>KOILANDI</t>
  </si>
  <si>
    <t>TIRUR</t>
  </si>
  <si>
    <t>KUNNAMKOLAM</t>
  </si>
  <si>
    <t>THRISSUR</t>
  </si>
  <si>
    <t>KPC SONS</t>
  </si>
  <si>
    <t>SEA DIAMOND</t>
  </si>
  <si>
    <t>NIYYATTINKERE</t>
  </si>
  <si>
    <t xml:space="preserve">MARTHANDA </t>
  </si>
  <si>
    <t>ANNAI</t>
  </si>
  <si>
    <t>MARTHANDAM</t>
  </si>
  <si>
    <t>KK</t>
  </si>
  <si>
    <t>KA20 D 5128</t>
  </si>
  <si>
    <t>MARIA LF</t>
  </si>
  <si>
    <t>PARAMPALLI</t>
  </si>
  <si>
    <t>ABV</t>
  </si>
  <si>
    <t>SSISH</t>
  </si>
  <si>
    <t>SPT</t>
  </si>
  <si>
    <t>ALAMCODE</t>
  </si>
  <si>
    <t>TRIVANDRUM</t>
  </si>
  <si>
    <t>TRIVENDRUM DATE NOT CLEAR</t>
  </si>
  <si>
    <t xml:space="preserve">KALAMUKKU </t>
  </si>
  <si>
    <t>M RASHEED</t>
  </si>
  <si>
    <t>KA20-D-6299</t>
  </si>
  <si>
    <t>E-PODUMON</t>
  </si>
  <si>
    <t>KAYAMKULAM OWN</t>
  </si>
  <si>
    <t xml:space="preserve">RENT </t>
  </si>
  <si>
    <t>LINE</t>
  </si>
  <si>
    <t>RENT</t>
  </si>
  <si>
    <t xml:space="preserve">PURCHASE </t>
  </si>
  <si>
    <t>ZAMZAM</t>
  </si>
  <si>
    <t>MR</t>
  </si>
  <si>
    <t>ZULFI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</si>
</sst>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14" fontId="2" fillId="4" borderId="2" xfId="0" applyNumberFormat="1" applyFont="1" applyFill="1" applyBorder="1"/>
    <xf numFmtId="0" fontId="0" fillId="3" borderId="0" xfId="0" applyFill="1"/>
    <xf numFmtId="164" fontId="0" fillId="3" borderId="0" xfId="0" applyNumberFormat="1" applyFill="1"/>
    <xf numFmtId="0" fontId="0" fillId="6" borderId="3" xfId="0" applyFill="1" applyBorder="1"/>
    <xf numFmtId="0" fontId="0" fillId="0" borderId="3" xfId="0" applyBorder="1"/>
    <xf numFmtId="0" fontId="0" fillId="6" borderId="0" xfId="0" applyFill="1"/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20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66FFFF"/>
          </stop>
          <stop position="1">
            <color theme="8" tint="0.40000610370189521"/>
          </stop>
        </gradient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none">
          <fgColor indexed="64"/>
          <bgColor auto="1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none">
          <fgColor indexed="64"/>
          <bgColor auto="1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rgb="FF000000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rgb="FF000000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indexed="64"/>
          <bgColor rgb="FFFFFF00"/>
        </patternFill>
      </fill>
    </dxf>
    <dxf>
      <font>
        <b/>
      </font>
      <fill>
        <patternFill patternType="none">
          <fgColor indexed="64"/>
          <bgColor rgb="FFFFFF00"/>
        </patternFill>
      </fill>
    </dxf>
    <dxf>
      <numFmt numFmtId="164" formatCode="00"/>
    </dxf>
    <dxf>
      <numFmt numFmtId="164" formatCode="00"/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dd/mm/yyyy"/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rgb="FFFFFF00"/>
        </patternFill>
      </fill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numFmt numFmtId="164" formatCode="00"/>
      <fill>
        <patternFill patternType="none">
          <fgColor indexed="64"/>
          <bgColor auto="1"/>
        </patternFill>
      </fill>
    </dxf>
    <dxf>
      <numFmt numFmtId="164" formatCode="00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9" formatCode="dd/mm/yyyy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rgb="FFFFFF00"/>
        </patternFill>
      </fill>
    </dxf>
    <dxf>
      <numFmt numFmtId="164" formatCode="00"/>
      <fill>
        <patternFill patternType="none">
          <fgColor indexed="64"/>
          <bgColor auto="1"/>
        </patternFill>
      </fill>
    </dxf>
    <dxf>
      <numFmt numFmtId="164" formatCode="00"/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rgb="FFFFFF00"/>
        </patternFill>
      </fill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numFmt numFmtId="164" formatCode="00"/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00"/>
    </dxf>
    <dxf>
      <font>
        <b/>
      </font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00"/>
    </dxf>
    <dxf>
      <font>
        <b/>
      </font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00"/>
    </dxf>
    <dxf>
      <font>
        <b/>
      </font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00"/>
    </dxf>
    <dxf>
      <font>
        <b/>
      </font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00"/>
    </dxf>
    <dxf>
      <font>
        <b/>
      </font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00"/>
    </dxf>
    <dxf>
      <font>
        <b/>
      </font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00"/>
    </dxf>
    <dxf>
      <font>
        <b/>
      </font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00"/>
    </dxf>
    <dxf>
      <font>
        <b/>
      </font>
    </dxf>
    <dxf>
      <numFmt numFmtId="164" formatCode="00"/>
    </dxf>
    <dxf>
      <numFmt numFmtId="164" formatCode="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  <numFmt numFmtId="164" formatCode="00"/>
    </dxf>
    <dxf>
      <font>
        <b/>
      </font>
      <numFmt numFmtId="19" formatCode="dd/mm/yyyy"/>
    </dxf>
    <dxf>
      <font>
        <b/>
      </font>
      <numFmt numFmtId="164" formatCode="00"/>
    </dxf>
    <dxf>
      <font>
        <b/>
      </font>
      <numFmt numFmtId="164" formatCode="00"/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FC4ECE"/>
      <color rgb="FFFC4E6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72495-058E-4DE4-971C-0ADBA1AB75DE}" name="RTN_201" displayName="RTN_201" ref="B2:J4" totalsRowShown="0" headerRowDxfId="1208" dataDxfId="1207">
  <autoFilter ref="B2:J4" xr:uid="{3A372495-058E-4DE4-971C-0ADBA1AB75DE}"/>
  <tableColumns count="9">
    <tableColumn id="1" xr3:uid="{DC829696-FF2B-419A-8BB3-384E7D868664}" name="TP NO " dataDxfId="1206"/>
    <tableColumn id="4" xr3:uid="{B612FF3C-8F0F-43C1-8C24-32119B173EA6}" name="LORRY NO" dataDxfId="1205"/>
    <tableColumn id="2" xr3:uid="{4DA86FF3-3F3F-4590-B47C-C3FB09A6915F}" name="TP DATE" dataDxfId="1204"/>
    <tableColumn id="3" xr3:uid="{2059A84A-5EF2-48BA-81C0-B843B60CCC46}" name="TRIP NO" dataDxfId="1203"/>
    <tableColumn id="5" xr3:uid="{E23DE2FB-4E7E-462A-ACDB-6356A0F8B521}" name="TOTAL BOX" dataDxfId="1202"/>
    <tableColumn id="6" xr3:uid="{C20DF6B4-DCCB-426C-BB8D-066CD9E04EA3}" name="TOTAL BOX MATCHING" dataDxfId="1201">
      <calculatedColumnFormula>IF(SUM(E8:E20)=RTN_201[[#This Row],[TOTAL BOX]],"MATCHING TOTAL BOX","NOT MATCHING ")</calculatedColumnFormula>
    </tableColumn>
    <tableColumn id="7" xr3:uid="{0D79056E-39A7-4843-899A-F009F216E2BC}" name="PURCHASE" dataDxfId="1200"/>
    <tableColumn id="8" xr3:uid="{39D64A55-08BB-41BF-961C-C9E4787A7C3F}" name="RENT " dataDxfId="1199"/>
    <tableColumn id="9" xr3:uid="{8B2D5382-B867-4CA0-AC8A-71B26369122B}" name="LINE" dataDxfId="119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2DC6CA-D7FF-422D-AB73-CA9F0D25DCE3}" name="R_04" displayName="R_04" ref="B6:H13" totalsRowCount="1" headerRowDxfId="1125">
  <autoFilter ref="B6:H12" xr:uid="{E42DC6CA-D7FF-422D-AB73-CA9F0D25DCE3}"/>
  <sortState xmlns:xlrd2="http://schemas.microsoft.com/office/spreadsheetml/2017/richdata2" ref="B7:H12">
    <sortCondition ref="B5:B12"/>
  </sortState>
  <tableColumns count="7">
    <tableColumn id="1" xr3:uid="{415C1DD0-BAB9-448D-AFA1-98EA76E55481}" name="DATE" totalsRowLabel="Total" dataDxfId="1124"/>
    <tableColumn id="2" xr3:uid="{9995FD06-24E6-4FF0-AE89-40D7B80C9777}" name="PARTY NAME"/>
    <tableColumn id="7" xr3:uid="{789DCEA7-C39D-4624-A50E-4E3C935AD9E2}" name="NICK NAME"/>
    <tableColumn id="3" xr3:uid="{D0B6BAA5-20EE-448F-B974-689B5EAE2CAA}" name="BOX" totalsRowFunction="custom" dataDxfId="1123" totalsRowDxfId="1122">
      <totalsRowFormula>SUM(R_04[BOX])</totalsRowFormula>
    </tableColumn>
    <tableColumn id="4" xr3:uid="{0B3C91CD-3C5F-4858-BD7A-4EAB988D067A}" name="ADVANCE" dataDxfId="1121"/>
    <tableColumn id="5" xr3:uid="{14D57B0D-3ED3-4E0D-9518-ED895C90CC48}" name="ADV NO" dataDxfId="1120"/>
    <tableColumn id="6" xr3:uid="{34890985-727A-423A-BBF1-021BAE973EEE}" name="AMOUNT" totalsRowFunction="sum" dataDxfId="11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8D2986-FE01-4EA6-AA47-76B3D3E6B3A5}" name="RTN_205" displayName="RTN_205" ref="B3:J5" totalsRowShown="0" headerRowDxfId="1118" dataDxfId="1117">
  <autoFilter ref="B3:J5" xr:uid="{878D2986-FE01-4EA6-AA47-76B3D3E6B3A5}"/>
  <tableColumns count="9">
    <tableColumn id="1" xr3:uid="{897C7548-0399-420B-A0C6-50F9EFD0234D}" name="TP NO " dataDxfId="1116"/>
    <tableColumn id="4" xr3:uid="{F4834C4D-04FA-4DBE-9E5C-58CF523943C7}" name="LORRY NO" dataDxfId="1115"/>
    <tableColumn id="2" xr3:uid="{E70E0582-2A03-4E44-96A1-08C3137604C4}" name="TP DATE" dataDxfId="1114"/>
    <tableColumn id="3" xr3:uid="{8AE3E9A8-ECA0-4A10-B883-52FF838395EB}" name="TRIP NO" dataDxfId="1113"/>
    <tableColumn id="5" xr3:uid="{1A26187E-B7FA-4652-B8E1-FD82A37B47A3}" name="TOTAL BOX" dataDxfId="1112"/>
    <tableColumn id="6" xr3:uid="{75D0D0D9-68B5-424A-96A6-CB4306998CD1}" name="TOTAL BOX MATCHING" dataDxfId="1111">
      <calculatedColumnFormula>IF(SUM(E7:E14)=RTN_205[[#This Row],[TOTAL BOX]],"MATCHING TOTAL BOX","NOT MATCHING ")</calculatedColumnFormula>
    </tableColumn>
    <tableColumn id="7" xr3:uid="{6A02E0CF-F450-4F35-8660-5FE5AC52D622}" name="PURCHASE" dataDxfId="1110"/>
    <tableColumn id="8" xr3:uid="{3444C8E8-00F3-4A80-919E-65F37083DEFA}" name="RENT" dataDxfId="1109"/>
    <tableColumn id="9" xr3:uid="{75C757D9-43F1-4AE0-AE45-CF3386A45510}" name="LINE" dataDxfId="110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D218F11-0732-477C-B822-5B7ADB24D987}" name="R_05" displayName="R_05" ref="B6:H15" totalsRowCount="1" headerRowDxfId="1107">
  <autoFilter ref="B6:H14" xr:uid="{6D218F11-0732-477C-B822-5B7ADB24D987}"/>
  <sortState xmlns:xlrd2="http://schemas.microsoft.com/office/spreadsheetml/2017/richdata2" ref="B7:H14">
    <sortCondition ref="B6:B14"/>
  </sortState>
  <tableColumns count="7">
    <tableColumn id="1" xr3:uid="{B8291B4A-A3FF-401A-BECD-6276B8C8B233}" name="DATE" totalsRowLabel="Total" dataDxfId="1106"/>
    <tableColumn id="2" xr3:uid="{2834B590-78E6-4526-B7AF-D0C763C8D6D4}" name="PARTY NAME"/>
    <tableColumn id="7" xr3:uid="{A2458D0D-0847-41FA-ADC5-E3FF9864121A}" name="NICK NAME"/>
    <tableColumn id="3" xr3:uid="{1121FF7D-62A4-48EF-86BB-14ACA29F6403}" name="BOX" totalsRowFunction="custom" dataDxfId="1105" totalsRowDxfId="1104">
      <totalsRowFormula>SUM(R_05[BOX])</totalsRowFormula>
    </tableColumn>
    <tableColumn id="4" xr3:uid="{C887C39A-A4E2-493D-B112-DD2A62971A25}" name="ADVANCE" dataDxfId="1103"/>
    <tableColumn id="5" xr3:uid="{B9304F7D-B4C6-441B-8A53-AAE02620D233}" name="ADV NO" dataDxfId="1102"/>
    <tableColumn id="6" xr3:uid="{81370CB9-0822-4EE2-A994-A6367DCF1FBF}" name="AMOUNT" totalsRowFunction="sum" dataDxfId="11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3650A8-A237-42B4-8AB8-4FE5224B5F68}" name="RTN_206" displayName="RTN_206" ref="B2:J4" totalsRowShown="0" headerRowDxfId="1100" dataDxfId="1099">
  <autoFilter ref="B2:J4" xr:uid="{2A3650A8-A237-42B4-8AB8-4FE5224B5F68}"/>
  <tableColumns count="9">
    <tableColumn id="1" xr3:uid="{E079E28B-4A57-4514-9C67-620870038143}" name="TP NO " dataDxfId="1098"/>
    <tableColumn id="4" xr3:uid="{4ACA30ED-FB1E-4E52-A19C-BFA9247E9885}" name="LORRY NO" dataDxfId="1097"/>
    <tableColumn id="2" xr3:uid="{B21B078F-612B-45A9-9C06-D9BBAB2BA982}" name="TP DATE" dataDxfId="1096"/>
    <tableColumn id="3" xr3:uid="{A73EFF23-AD5D-4588-8DFB-E70D5F5C56C7}" name="TRIP NO" dataDxfId="1095"/>
    <tableColumn id="5" xr3:uid="{1705C148-97CF-4BD6-91F1-BF540EFB001F}" name="TOTAL BOX" dataDxfId="1094"/>
    <tableColumn id="6" xr3:uid="{FC584D03-E7B9-4BB6-BDE3-FCDDD9FA6E87}" name="TOTAL BOX MATCHING" dataDxfId="1093">
      <calculatedColumnFormula>IF(SUM(E6:E14)=RTN_206[[#This Row],[TOTAL BOX]],"MATCHING TOTAL BOX","NOT MATCHING ")</calculatedColumnFormula>
    </tableColumn>
    <tableColumn id="7" xr3:uid="{BB32BD55-9FBA-4B08-A56E-18703520F025}" name="PURCHASE" dataDxfId="1092"/>
    <tableColumn id="8" xr3:uid="{6007609C-7C39-47DF-BF77-CE6B280E6BAD}" name="RENT" dataDxfId="1091"/>
    <tableColumn id="9" xr3:uid="{A2D5DB0A-49B7-4D75-BF0E-2478B6116C42}" name="LINE" dataDxfId="109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E51400-AEB2-45F0-A8F4-4DBB426B862A}" name="R_06" displayName="R_06" ref="B5:H15" totalsRowCount="1" headerRowDxfId="1089">
  <autoFilter ref="B5:H14" xr:uid="{6AE51400-AEB2-45F0-A8F4-4DBB426B862A}"/>
  <sortState xmlns:xlrd2="http://schemas.microsoft.com/office/spreadsheetml/2017/richdata2" ref="B6:H14">
    <sortCondition ref="B5:B14"/>
  </sortState>
  <tableColumns count="7">
    <tableColumn id="1" xr3:uid="{A82DA262-121A-4FAD-A271-AC3D17FFF023}" name="DATE" totalsRowLabel="Total" dataDxfId="1088"/>
    <tableColumn id="2" xr3:uid="{91AFAA1E-B353-4752-87DB-09153D6CF846}" name="PARTY NAME"/>
    <tableColumn id="7" xr3:uid="{F4D8AC2A-5BDB-4472-A2FE-C66A0D81CE32}" name="NICK NAME"/>
    <tableColumn id="3" xr3:uid="{67B5B3C1-EFCB-4B20-89AE-DB34886B60C6}" name="BOX" totalsRowFunction="custom" dataDxfId="1087" totalsRowDxfId="1086">
      <totalsRowFormula>SUM(R_06[BOX])</totalsRowFormula>
    </tableColumn>
    <tableColumn id="4" xr3:uid="{D4095A76-D9AE-40BB-8014-5E427DC98886}" name="ADVANCE" dataDxfId="1085"/>
    <tableColumn id="5" xr3:uid="{A96BF90B-60FB-4B70-BB8B-DFCEC5019138}" name="ADV NO" dataDxfId="1084"/>
    <tableColumn id="6" xr3:uid="{B3EBA471-0648-48D8-9C4E-15048BE5700F}" name="AMOUNT" totalsRowFunction="sum" dataDxfId="108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BCEEBC-3337-4347-81FF-531D2C28062E}" name="RTN_207" displayName="RTN_207" ref="B2:J4" totalsRowShown="0" headerRowDxfId="1082" dataDxfId="1081">
  <autoFilter ref="B2:J4" xr:uid="{33BCEEBC-3337-4347-81FF-531D2C28062E}"/>
  <tableColumns count="9">
    <tableColumn id="1" xr3:uid="{58880E0E-17D6-4956-A097-DC1FEED752EF}" name="TP NO " dataDxfId="1080"/>
    <tableColumn id="4" xr3:uid="{8432154F-6D8C-4C1F-9E23-BE95285584C8}" name="LORRY NO" dataDxfId="1079"/>
    <tableColumn id="2" xr3:uid="{7FB172C6-82CD-4AEC-912C-3BCCF937FBD5}" name="TP DATE" dataDxfId="1078"/>
    <tableColumn id="3" xr3:uid="{38E569BE-ADB5-47FC-96EF-27609FB6B18D}" name="TRIP NO" dataDxfId="1077"/>
    <tableColumn id="5" xr3:uid="{9DB65B7B-5A8C-4D6B-8666-0635D871C1CE}" name="TOTAL BOX" dataDxfId="1076"/>
    <tableColumn id="6" xr3:uid="{306C5E52-E998-47BC-9D28-E143F20C7B66}" name="TOTAL BOX MATCHING" dataDxfId="1075">
      <calculatedColumnFormula>IF(SUM(E6:E10)=RTN_207[[#This Row],[TOTAL BOX]],"MATCHING TOTAL BOX","NOT MATCHING ")</calculatedColumnFormula>
    </tableColumn>
    <tableColumn id="7" xr3:uid="{79A235AD-63EC-4D8B-8A36-571E9ABBF23D}" name="PURCHASE" dataDxfId="1074"/>
    <tableColumn id="8" xr3:uid="{FF64DE57-BE63-4031-BF2E-471B03AEB5A1}" name="RENT" dataDxfId="1073"/>
    <tableColumn id="9" xr3:uid="{9074540E-C0C8-4BE5-81DC-5E17E142536B}" name="LINE" dataDxfId="1072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E3CD226-99D3-4788-8603-DBA8809095EF}" name="R_07" displayName="R_07" ref="B5:H11" totalsRowCount="1" headerRowDxfId="1071">
  <autoFilter ref="B5:H10" xr:uid="{7E3CD226-99D3-4788-8603-DBA8809095EF}"/>
  <sortState xmlns:xlrd2="http://schemas.microsoft.com/office/spreadsheetml/2017/richdata2" ref="B6:H10">
    <sortCondition ref="B5:B10"/>
  </sortState>
  <tableColumns count="7">
    <tableColumn id="1" xr3:uid="{494270FE-FAFB-4257-8B76-21DA0783C1EE}" name="DATE" totalsRowLabel="Total" dataDxfId="1070"/>
    <tableColumn id="2" xr3:uid="{6663428A-84FD-4168-B820-FC637EA8CBE2}" name="PARTY NAME"/>
    <tableColumn id="7" xr3:uid="{75DC29B8-7D09-4122-A30D-2DD7272B3476}" name="NICK NAME"/>
    <tableColumn id="3" xr3:uid="{0BFF2086-A4C5-4F90-AE0C-A009BEEE3C9D}" name="BOX" totalsRowFunction="custom" dataDxfId="1069" totalsRowDxfId="1068">
      <totalsRowFormula>SUM(R_07[BOX])</totalsRowFormula>
    </tableColumn>
    <tableColumn id="4" xr3:uid="{E3F24F9C-CF30-4822-A71E-C6727DFFF65C}" name="ADVANCE" dataDxfId="1067"/>
    <tableColumn id="5" xr3:uid="{A74D16B5-F7D7-494E-814C-B616D2BCBEB0}" name="ADV NO" dataDxfId="1066"/>
    <tableColumn id="6" xr3:uid="{2563A043-6ED0-4C1B-9650-C8D98A63F9C8}" name="AMOUNT" totalsRowFunction="sum" dataDxfId="10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8B9CB9-DDE8-4280-9559-D45B364A3053}" name="RTN_208" displayName="RTN_208" ref="B2:J4" totalsRowShown="0" headerRowDxfId="1064" dataDxfId="1063">
  <autoFilter ref="B2:J4" xr:uid="{AA8B9CB9-DDE8-4280-9559-D45B364A3053}"/>
  <tableColumns count="9">
    <tableColumn id="1" xr3:uid="{DABDE486-E299-4A0B-9E6A-AC5F58EEBF3C}" name="TP NO " dataDxfId="1062"/>
    <tableColumn id="4" xr3:uid="{0C278F31-E09D-4D7B-AF55-B9CEED0CE1BC}" name="LORRY NO" dataDxfId="1061"/>
    <tableColumn id="2" xr3:uid="{F7BF1543-FAFD-460E-8F3A-8F5BEC7933FB}" name="TP DATE" dataDxfId="1060"/>
    <tableColumn id="3" xr3:uid="{320E51C0-705C-415B-A1A6-7DB69C5D1403}" name="TRIP NO" dataDxfId="1059"/>
    <tableColumn id="5" xr3:uid="{186D2C25-1E68-4504-B632-B7E12037B630}" name="TOTAL BOX" dataDxfId="1058"/>
    <tableColumn id="6" xr3:uid="{A92480C4-C8DA-4CED-ABC8-68D8A37426E5}" name="TOTAL BOX MATCHING" dataDxfId="1057">
      <calculatedColumnFormula>IF(SUM(E6:E19)=RTN_208[[#This Row],[TOTAL BOX]],"MATCHING TOTAL BOX","NOT MATCHING ")</calculatedColumnFormula>
    </tableColumn>
    <tableColumn id="7" xr3:uid="{887E38C2-75CB-47FC-8ECF-D98A5710690A}" name="PURCHASE " dataDxfId="1056"/>
    <tableColumn id="8" xr3:uid="{EEC5D50C-AD18-4650-A5F2-3641AB801160}" name="RENT" dataDxfId="1055"/>
    <tableColumn id="9" xr3:uid="{088FDBB6-ED99-47EE-8080-1B7D637EC8A1}" name="LINE" dataDxfId="1054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54AB96-13FA-4B6E-AE7C-7266F466F384}" name="R_08" displayName="R_08" ref="B5:H20" totalsRowCount="1" headerRowDxfId="1053">
  <autoFilter ref="B5:H19" xr:uid="{F954AB96-13FA-4B6E-AE7C-7266F466F384}"/>
  <sortState xmlns:xlrd2="http://schemas.microsoft.com/office/spreadsheetml/2017/richdata2" ref="B6:H19">
    <sortCondition ref="B5:B19"/>
  </sortState>
  <tableColumns count="7">
    <tableColumn id="1" xr3:uid="{FFF1AE70-57CF-43D8-BF50-3FE97D5A386C}" name="DATE" totalsRowLabel="Total" dataDxfId="1052"/>
    <tableColumn id="2" xr3:uid="{9E4AC840-F7A9-4978-8A97-2F9C23872188}" name="PARTY NAME"/>
    <tableColumn id="7" xr3:uid="{B1BD9C50-0819-4CA9-99D0-5EA5A19195F2}" name="NICK NAME"/>
    <tableColumn id="3" xr3:uid="{276A7245-0CFF-4854-8A52-E69A7B1EE2CE}" name="BOX" totalsRowFunction="custom" dataDxfId="1051" totalsRowDxfId="1050">
      <totalsRowFormula>SUM(R_08[BOX])</totalsRowFormula>
    </tableColumn>
    <tableColumn id="4" xr3:uid="{E41F1C75-BC36-4D0C-BC27-09E8D8DD27A5}" name="ADVANCE" dataDxfId="1049"/>
    <tableColumn id="5" xr3:uid="{405CAC98-566C-4CE6-8282-6816982BBD52}" name="ADV NO" dataDxfId="1048"/>
    <tableColumn id="6" xr3:uid="{B5728CE0-97AA-41C2-BB4A-5BBB02EB93DE}" name="AMOUNT" totalsRowFunction="sum" dataDxfId="10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EE41A8F-0179-41EA-8B54-92DFBAF3E44A}" name="RTN_209" displayName="RTN_209" ref="B2:J4" totalsRowShown="0" headerRowDxfId="1046" dataDxfId="1045">
  <autoFilter ref="B2:J4" xr:uid="{AA8B9CB9-DDE8-4280-9559-D45B364A3053}"/>
  <tableColumns count="9">
    <tableColumn id="1" xr3:uid="{E80DCD76-F015-4023-94EE-20238EB8D2E8}" name="TP NO " dataDxfId="1044"/>
    <tableColumn id="4" xr3:uid="{C474948B-3C7D-4731-8CE8-1B0C0AB31189}" name="LORRY NO" dataDxfId="1043"/>
    <tableColumn id="2" xr3:uid="{95621552-6B46-47FE-9559-7F7330428078}" name="TP DATE" dataDxfId="1042"/>
    <tableColumn id="3" xr3:uid="{E0BB2960-17D1-41ED-B844-B8542B721BC4}" name="TRIP NO" dataDxfId="1041"/>
    <tableColumn id="5" xr3:uid="{5F358F2E-6DF2-4B8B-8F0A-4F87773ED1D7}" name="TOTAL BOX" dataDxfId="1040"/>
    <tableColumn id="6" xr3:uid="{8A9A778A-529F-4968-AD93-AEC9BB55174A}" name="TOTAL BOX MATCHING" dataDxfId="1039">
      <calculatedColumnFormula>IF(SUM(E6:E10)=RTN_209[[#This Row],[TOTAL BOX]],"MATCHING TOTAL BOX","NOT MATCHING ")</calculatedColumnFormula>
    </tableColumn>
    <tableColumn id="7" xr3:uid="{3230BD53-0557-4503-B0B2-7EA07FA2E7E0}" name="PURCHASE" dataDxfId="1038"/>
    <tableColumn id="8" xr3:uid="{6297361C-3021-4D69-897C-AC7B25619900}" name="RENT" dataDxfId="1037"/>
    <tableColumn id="9" xr3:uid="{6CF31D54-0410-4645-AF96-E56C25B8E846}" name="LINE" dataDxfId="103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771061-67C8-4A88-86A1-D16E086EB84D}" name="R_01" displayName="R_01" ref="B7:H21" totalsRowCount="1" headerRowDxfId="1197">
  <autoFilter ref="B7:H20" xr:uid="{05771061-67C8-4A88-86A1-D16E086EB84D}"/>
  <sortState xmlns:xlrd2="http://schemas.microsoft.com/office/spreadsheetml/2017/richdata2" ref="B8:H20">
    <sortCondition ref="B7:B20"/>
  </sortState>
  <tableColumns count="7">
    <tableColumn id="1" xr3:uid="{B203A494-E46B-45A3-A89B-C30CB11345AE}" name="DATE" totalsRowLabel="Total" dataDxfId="1196"/>
    <tableColumn id="2" xr3:uid="{B2A64733-DC96-44AB-8F9D-AC43988899D5}" name="PARTY NAME"/>
    <tableColumn id="7" xr3:uid="{97EF3D27-3E3F-4954-8B3D-9E7A470D1EA8}" name="NICK NAME"/>
    <tableColumn id="3" xr3:uid="{D6124C78-0A1D-4960-8EFD-1A33A0F65F8F}" name="BOX" totalsRowFunction="custom" dataDxfId="1195" totalsRowDxfId="1194">
      <totalsRowFormula>SUM(R_01[BOX])</totalsRowFormula>
    </tableColumn>
    <tableColumn id="4" xr3:uid="{424F3D47-F875-448D-BE9D-25C5B16373BF}" name="ADVANCE" dataDxfId="1193"/>
    <tableColumn id="5" xr3:uid="{A00BAB62-9239-4012-9BD6-DEEA8F577F8A}" name="ADV NO" dataDxfId="1192"/>
    <tableColumn id="6" xr3:uid="{74FAA2A7-21A1-4E9A-A683-13B9B66F50B0}" name="AMOUNT" totalsRowFunction="sum" dataDxfId="119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D02E4B1-D7C6-449F-87A2-FCEF3F0D3115}" name="R_09" displayName="R_09" ref="B5:H11" totalsRowCount="1" headerRowDxfId="1035">
  <autoFilter ref="B5:H10" xr:uid="{F954AB96-13FA-4B6E-AE7C-7266F466F384}"/>
  <sortState xmlns:xlrd2="http://schemas.microsoft.com/office/spreadsheetml/2017/richdata2" ref="B6:H10">
    <sortCondition ref="B5:B10"/>
  </sortState>
  <tableColumns count="7">
    <tableColumn id="1" xr3:uid="{9993D9E9-C906-44F9-8B34-67440FA6B221}" name="DATE" totalsRowLabel="Total" dataDxfId="1034"/>
    <tableColumn id="2" xr3:uid="{63E03F43-190D-4281-97FF-F21A3F25BA58}" name="PARTY NAME"/>
    <tableColumn id="7" xr3:uid="{492A80CD-0D54-4A0D-AF72-37F48D8F615B}" name="NICK NAME"/>
    <tableColumn id="3" xr3:uid="{939C70FE-1474-42B9-88A1-37AF895F2654}" name="BOX" totalsRowFunction="custom" dataDxfId="1033" totalsRowDxfId="1032">
      <totalsRowFormula>SUM(R_09[BOX])</totalsRowFormula>
    </tableColumn>
    <tableColumn id="4" xr3:uid="{AA6F77E0-7E5E-4320-9872-C36DF194645F}" name="ADVANCE" dataDxfId="1031"/>
    <tableColumn id="5" xr3:uid="{3E86D102-B254-4C42-B2B5-E1EE7831BDF0}" name="ADV NO" dataDxfId="1030"/>
    <tableColumn id="6" xr3:uid="{1449DD22-ABD7-4EFD-993E-152DF1BB0843}" name="AMOUNT" totalsRowFunction="sum" dataDxfId="102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78CEDF8-4333-4CC9-8F32-C8B1D67C6BFC}" name="RTN_210" displayName="RTN_210" ref="B2:J4" totalsRowShown="0" headerRowDxfId="1028" dataDxfId="1027">
  <autoFilter ref="B2:J4" xr:uid="{AA8B9CB9-DDE8-4280-9559-D45B364A3053}"/>
  <tableColumns count="9">
    <tableColumn id="1" xr3:uid="{C14C4495-0F63-4ACB-9A0A-31D5B9879990}" name="TP NO " dataDxfId="1026"/>
    <tableColumn id="4" xr3:uid="{64BB6216-E483-415D-BA64-5BD498E56A25}" name="LORRY NO" dataDxfId="1025"/>
    <tableColumn id="2" xr3:uid="{1AFE7F36-25F8-4559-812F-97006B86361D}" name="TP DATE" dataDxfId="1024"/>
    <tableColumn id="3" xr3:uid="{096A9E1B-8AD1-4BBD-818B-1E51DAEABF6C}" name="TRIP NO" dataDxfId="1023"/>
    <tableColumn id="5" xr3:uid="{18C20A0E-491C-4CD0-B1EE-669B4E9E38C6}" name="TOTAL BOX" dataDxfId="1022"/>
    <tableColumn id="6" xr3:uid="{F1225442-E614-4A5F-A0F2-333D41D97AD1}" name="TOTAL BOX MATCHING" dataDxfId="1021">
      <calculatedColumnFormula>IF(SUM(E6:E15)=RTN_210[[#This Row],[TOTAL BOX]],"MATCHING TOTAL BOX","NOT MATCHING ")</calculatedColumnFormula>
    </tableColumn>
    <tableColumn id="7" xr3:uid="{9497B330-A0C9-4AC5-92B7-DC940C70A6DA}" name="PURCHASE" dataDxfId="1020"/>
    <tableColumn id="8" xr3:uid="{7E736550-AF87-4E0B-8439-F90F6191339D}" name="RENT" dataDxfId="1019"/>
    <tableColumn id="9" xr3:uid="{790CBD27-A27F-47AE-973C-40A8A2AFCAD4}" name="LINE" dataDxfId="1018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ADBBAF-FA38-44EE-B4D0-F3DD5770F696}" name="R_10" displayName="R_10" ref="B5:H16" totalsRowCount="1" headerRowDxfId="1017">
  <autoFilter ref="B5:H15" xr:uid="{F954AB96-13FA-4B6E-AE7C-7266F466F384}"/>
  <sortState xmlns:xlrd2="http://schemas.microsoft.com/office/spreadsheetml/2017/richdata2" ref="B6:H15">
    <sortCondition ref="B5:B15"/>
  </sortState>
  <tableColumns count="7">
    <tableColumn id="1" xr3:uid="{129E236E-C2FF-41C7-BACC-A4AF45E51584}" name="DATE" totalsRowLabel="Total" dataDxfId="1016"/>
    <tableColumn id="2" xr3:uid="{6A40303A-49E1-475A-8EFF-D05C79CC0BDB}" name="PARTY NAME"/>
    <tableColumn id="7" xr3:uid="{82E32889-F5DE-441D-B43A-FDFCCDEC0A11}" name="NICK NAME"/>
    <tableColumn id="3" xr3:uid="{4734EE85-80E4-4040-A170-4493C44C8DA9}" name="BOX" totalsRowFunction="custom" dataDxfId="1015" totalsRowDxfId="1014">
      <totalsRowFormula>SUM(R_10[BOX])</totalsRowFormula>
    </tableColumn>
    <tableColumn id="4" xr3:uid="{0036BFAC-74EC-49D9-B9E6-692A4AA4343C}" name="ADVANCE" dataDxfId="1013"/>
    <tableColumn id="5" xr3:uid="{CBA150DA-31A4-4BDD-B481-A25A566BA750}" name="ADV NO" dataDxfId="1012"/>
    <tableColumn id="6" xr3:uid="{3FCB52AF-D3F5-44A5-A8E5-39AA051F74C1}" name="AMOUNT" totalsRowFunction="sum" dataDxfId="101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5C04A3F-F983-4881-94CB-A81DD7D0FA6A}" name="RTN_211" displayName="RTN_211" ref="B2:J4" totalsRowShown="0" headerRowDxfId="1010" dataDxfId="1009">
  <autoFilter ref="B2:J4" xr:uid="{AA8B9CB9-DDE8-4280-9559-D45B364A3053}"/>
  <tableColumns count="9">
    <tableColumn id="1" xr3:uid="{BC532886-73CB-4C1D-B42D-EA3FAF721D28}" name="TP NO " dataDxfId="1008"/>
    <tableColumn id="4" xr3:uid="{0BC79AF3-C8CE-4355-8B41-77900D6613E6}" name="LORRY NO" dataDxfId="1007"/>
    <tableColumn id="2" xr3:uid="{0FA0286F-2BCB-4711-B4A9-649EA3343741}" name="TP DATE" dataDxfId="1006"/>
    <tableColumn id="3" xr3:uid="{C5DB02B3-5711-4DF2-AD3B-9371089803E2}" name="TRIP NO" dataDxfId="1005"/>
    <tableColumn id="5" xr3:uid="{A22F49B1-1BAA-42A9-ABFD-16D1A0E4811B}" name="TOTAL BOX" dataDxfId="1004"/>
    <tableColumn id="6" xr3:uid="{9245FC46-D86B-40C5-A9AE-EDF6DAEC3643}" name="TOTAL BOX MATCHING" dataDxfId="1003">
      <calculatedColumnFormula>IF(SUM(E6:E12)=RTN_211[[#This Row],[TOTAL BOX]],"MATCHING TOTAL BOX","NOT MATCHING ")</calculatedColumnFormula>
    </tableColumn>
    <tableColumn id="7" xr3:uid="{9FFB9C98-BCBA-44EC-B120-B856FBFA0794}" name="PURCHASE" dataDxfId="1002"/>
    <tableColumn id="8" xr3:uid="{74E20261-CE42-4F31-B1A7-9F28B1B2F308}" name="RENT" dataDxfId="1001"/>
    <tableColumn id="9" xr3:uid="{7E0A6A1E-031E-4B97-9AC6-2AD9262161C2}" name="LINE" dataDxfId="100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9699CD3-4D1F-42F0-9C1D-C9296BC21A8F}" name="R_11" displayName="R_11" ref="B5:H13" totalsRowCount="1" headerRowDxfId="999">
  <autoFilter ref="B5:H12" xr:uid="{F954AB96-13FA-4B6E-AE7C-7266F466F384}"/>
  <sortState xmlns:xlrd2="http://schemas.microsoft.com/office/spreadsheetml/2017/richdata2" ref="B6:H12">
    <sortCondition ref="B5:B12"/>
  </sortState>
  <tableColumns count="7">
    <tableColumn id="1" xr3:uid="{F05AC62B-73F4-4A19-A944-43E4D0BFA807}" name="DATE" totalsRowLabel="Total" dataDxfId="998"/>
    <tableColumn id="2" xr3:uid="{52B231C5-4B94-4477-8646-E0782EC4CF07}" name="PARTY NAME"/>
    <tableColumn id="7" xr3:uid="{9461A720-2F53-4D03-9B5B-27A23A152987}" name="NICK NAME"/>
    <tableColumn id="3" xr3:uid="{7C9C2AA6-CCC7-4981-A8E9-0D561F6FA507}" name="BOX" totalsRowFunction="custom" dataDxfId="997" totalsRowDxfId="996">
      <totalsRowFormula>SUM(R_11[BOX])</totalsRowFormula>
    </tableColumn>
    <tableColumn id="4" xr3:uid="{0B648666-8F42-43DC-87EE-E7A86E2577E8}" name="ADVANCE" dataDxfId="995"/>
    <tableColumn id="5" xr3:uid="{6E2BCA26-733B-41A4-AE51-BE41188D8A4C}" name="ADV NO" dataDxfId="994"/>
    <tableColumn id="6" xr3:uid="{F3D1CAB6-7701-4942-A14B-C6EEC7CA8B6E}" name="AMOUNT" totalsRowFunction="sum" dataDxfId="99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E7C54FD-5318-48FC-991E-F2CDCF422E71}" name="RTN_212" displayName="RTN_212" ref="B2:J4" totalsRowShown="0" headerRowDxfId="992" dataDxfId="991">
  <autoFilter ref="B2:J4" xr:uid="{AA8B9CB9-DDE8-4280-9559-D45B364A3053}"/>
  <tableColumns count="9">
    <tableColumn id="1" xr3:uid="{1AC44D78-CE96-4395-A121-3B88641B3D09}" name="TP NO " dataDxfId="990"/>
    <tableColumn id="4" xr3:uid="{18D88C78-2191-4A21-A7EE-8A4BD388B6B2}" name="LORRY NO" dataDxfId="989"/>
    <tableColumn id="2" xr3:uid="{A8A91DAD-84C9-463A-B2A3-CDA4F8A5FCE0}" name="TP DATE" dataDxfId="988"/>
    <tableColumn id="3" xr3:uid="{1269A299-D0B7-45FE-A554-348BF37F6A5A}" name="TRIP NO" dataDxfId="987"/>
    <tableColumn id="5" xr3:uid="{795E1F7E-6123-4E07-9144-C69B2AC33FBA}" name="TOTAL BOX" dataDxfId="986"/>
    <tableColumn id="6" xr3:uid="{B3E095F8-8F57-424B-AE52-6FFEEA51EC6E}" name="TOTAL BOX MATCHING" dataDxfId="985">
      <calculatedColumnFormula>IF(SUM(E6:E11)=RTN_212[[#This Row],[TOTAL BOX]],"MATCHING TOTAL BOX","NOT MATCHING ")</calculatedColumnFormula>
    </tableColumn>
    <tableColumn id="7" xr3:uid="{09BEE9A0-FD3E-43A0-8ECB-823A983A11E9}" name="PURCHASE" dataDxfId="984"/>
    <tableColumn id="8" xr3:uid="{C6C8411B-98E6-404B-8FD7-8519EF6DAFAC}" name="RENT" dataDxfId="983"/>
    <tableColumn id="9" xr3:uid="{42FF9232-DFAE-4695-8459-B3C32F9050CC}" name="LINE" dataDxfId="982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C40AF2C-DC2B-4B93-851B-E28B0D60A0E7}" name="R_12" displayName="R_12" ref="B5:H12" totalsRowCount="1" headerRowDxfId="981">
  <autoFilter ref="B5:H11" xr:uid="{F954AB96-13FA-4B6E-AE7C-7266F466F384}"/>
  <sortState xmlns:xlrd2="http://schemas.microsoft.com/office/spreadsheetml/2017/richdata2" ref="B6:H11">
    <sortCondition ref="B5:B11"/>
  </sortState>
  <tableColumns count="7">
    <tableColumn id="1" xr3:uid="{A85B0B22-FC1F-4888-B567-E346F944C1CE}" name="DATE" totalsRowLabel="Total" dataDxfId="980"/>
    <tableColumn id="2" xr3:uid="{27FBCA10-8374-4544-88F8-F74A2DBF4D93}" name="PARTY NAME"/>
    <tableColumn id="7" xr3:uid="{AA751E8A-5444-4088-952C-58FC3B0BEF00}" name="NICK NAME"/>
    <tableColumn id="3" xr3:uid="{74A4A5F7-02CA-4A29-B1E1-5526B7437308}" name="BOX" totalsRowFunction="custom" dataDxfId="979" totalsRowDxfId="978">
      <totalsRowFormula>SUM(R_12[BOX])</totalsRowFormula>
    </tableColumn>
    <tableColumn id="4" xr3:uid="{0656768A-9EE0-4EFF-BD7C-7258DBB5DA76}" name="ADVANCE" dataDxfId="977"/>
    <tableColumn id="5" xr3:uid="{A3904BA1-2944-417D-858A-A314B40DA275}" name="ADV NO" dataDxfId="976"/>
    <tableColumn id="6" xr3:uid="{2CDFD89E-9615-4A8D-8F64-5612C22FC066}" name="AMOUNT" totalsRowFunction="sum" dataDxfId="97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206CF4F-D8DA-4B9F-AA3B-865DE966FF07}" name="RTN_213" displayName="RTN_213" ref="B2:J4" totalsRowShown="0" headerRowDxfId="974" dataDxfId="973">
  <autoFilter ref="B2:J4" xr:uid="{2206CF4F-D8DA-4B9F-AA3B-865DE966FF07}"/>
  <tableColumns count="9">
    <tableColumn id="1" xr3:uid="{7C768D99-60C7-4E62-AC1A-B6DE5521F092}" name="TP NO " dataDxfId="972"/>
    <tableColumn id="4" xr3:uid="{2B640271-9865-4936-9F1A-612A2A21C42C}" name="LORRY NO" dataDxfId="971"/>
    <tableColumn id="2" xr3:uid="{34847AC0-EACA-42F3-B752-C123EA2ABFCD}" name="TP DATE" dataDxfId="970"/>
    <tableColumn id="3" xr3:uid="{075885F7-A6E1-4200-B3A8-AEDFD78B1CAD}" name="TRIP NO" dataDxfId="969"/>
    <tableColumn id="5" xr3:uid="{8FE77CC2-FE73-442E-8C92-72BFCCCA85F5}" name="TOTAL BOX" dataDxfId="968"/>
    <tableColumn id="6" xr3:uid="{98DF05EE-DC22-41CA-9007-502F6B7F84D9}" name="TOTAL BOX MATCHING" dataDxfId="967">
      <calculatedColumnFormula>IF(SUM(E6:E8)=RTN_213[[#This Row],[TOTAL BOX]],"MATCHING TOTAL BOX","NOT MATCHING ")</calculatedColumnFormula>
    </tableColumn>
    <tableColumn id="7" xr3:uid="{DBC81EFB-7E82-47BD-85A7-826151E575B9}" name="PURCHASE" dataDxfId="966"/>
    <tableColumn id="8" xr3:uid="{B4B82D8E-AC28-44D1-9724-BEEFD418FBD4}" name="RENT" dataDxfId="965"/>
    <tableColumn id="9" xr3:uid="{28594508-3B74-4A0D-99E3-0022E366A2A1}" name="LINE" dataDxfId="96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2FAD0E2-B8C2-4325-A0B8-31E3FC958124}" name="R_13" displayName="R_13" ref="B5:H9" totalsRowCount="1" headerRowDxfId="963" dataDxfId="962" totalsRowDxfId="961">
  <autoFilter ref="B5:H8" xr:uid="{F2FAD0E2-B8C2-4325-A0B8-31E3FC958124}"/>
  <sortState xmlns:xlrd2="http://schemas.microsoft.com/office/spreadsheetml/2017/richdata2" ref="B6:H8">
    <sortCondition ref="B5:B8"/>
  </sortState>
  <tableColumns count="7">
    <tableColumn id="1" xr3:uid="{38173CA9-4309-4265-9938-1FB046919892}" name="DATE" totalsRowLabel="Total" dataDxfId="960" totalsRowDxfId="959"/>
    <tableColumn id="2" xr3:uid="{D804A004-C823-445C-A57C-B5C0E177DD80}" name="PARTY NAME" dataDxfId="958" totalsRowDxfId="957"/>
    <tableColumn id="7" xr3:uid="{B6826C1D-423B-4404-85FF-AC3AB8D6F1FD}" name="NICK NAME" dataDxfId="956" totalsRowDxfId="955"/>
    <tableColumn id="3" xr3:uid="{EEA201FA-D192-4866-A532-7142ABFC28DB}" name="BOX" totalsRowFunction="custom" dataDxfId="954" totalsRowDxfId="953">
      <totalsRowFormula>SUM(R_13[BOX])</totalsRowFormula>
    </tableColumn>
    <tableColumn id="4" xr3:uid="{A5E6F6F8-CB7C-44C1-8D28-F284E3E22885}" name="ADVANCE" dataDxfId="952" totalsRowDxfId="951"/>
    <tableColumn id="5" xr3:uid="{449AF912-E914-442A-804E-E2C3E1984FF8}" name="ADV NO" dataDxfId="950" totalsRowDxfId="949"/>
    <tableColumn id="6" xr3:uid="{A3BDE926-5745-493C-A879-386A387872C4}" name="AMOUNT" totalsRowFunction="sum" dataDxfId="948" totalsRowDxfId="94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83A8C46-4B06-40C7-81BA-3B47D2286077}" name="RTN_214" displayName="RTN_214" ref="B2:J4" totalsRowShown="0" headerRowDxfId="946" dataDxfId="945">
  <autoFilter ref="B2:J4" xr:uid="{C83A8C46-4B06-40C7-81BA-3B47D2286077}"/>
  <tableColumns count="9">
    <tableColumn id="1" xr3:uid="{6C397D60-421A-4D16-931D-5EA104FE96E3}" name="TP NO " dataDxfId="944"/>
    <tableColumn id="4" xr3:uid="{D75F68FD-3927-4740-9596-94070B46D4B5}" name="LORRY NO" dataDxfId="943"/>
    <tableColumn id="2" xr3:uid="{B54B6FB5-D53C-4EDC-BF52-3A392A742ACA}" name="TP DATE" dataDxfId="942"/>
    <tableColumn id="3" xr3:uid="{EE7C97C9-8EA2-4732-8148-4F68F9AB1935}" name="TRIP NO" dataDxfId="941"/>
    <tableColumn id="5" xr3:uid="{6E682C57-B40C-4BC2-9167-C979880083C6}" name="TOTAL BOX" dataDxfId="940"/>
    <tableColumn id="6" xr3:uid="{DF1DB7E7-C6B1-4301-88A8-BC4522455C0C}" name="TOTAL BOX MATCHING" dataDxfId="939">
      <calculatedColumnFormula>IF(SUM(E6:E9)=RTN_214[[#This Row],[TOTAL BOX]],"MATCHING TOTAL BOX","NOT MATCHING ")</calculatedColumnFormula>
    </tableColumn>
    <tableColumn id="7" xr3:uid="{9510A94C-C8F4-4E17-8DE1-3097782E2DAE}" name="PURCHASE" dataDxfId="938"/>
    <tableColumn id="8" xr3:uid="{D7B98D61-18E4-42CF-BF2F-1FF246C0FDD8}" name="RENT" dataDxfId="937"/>
    <tableColumn id="9" xr3:uid="{E55EBA04-A39A-4E2E-A8FD-6BDE79966878}" name="LINE" dataDxfId="9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0EA9-8460-41FF-92DC-A7E6392586CF}" name="RTN_202" displayName="RTN_202" ref="B2:J4" totalsRowShown="0" headerRowDxfId="1190" dataDxfId="1189">
  <autoFilter ref="B2:J4" xr:uid="{57BD0EA9-8460-41FF-92DC-A7E6392586CF}"/>
  <tableColumns count="9">
    <tableColumn id="1" xr3:uid="{48BEDCA8-9FB2-4B05-B5D0-E19548332FA0}" name="TP NO " dataDxfId="1188"/>
    <tableColumn id="4" xr3:uid="{A32A73DC-9596-48A0-B945-286513DDEC50}" name="LORRY NO" dataDxfId="1187"/>
    <tableColumn id="2" xr3:uid="{07709802-3913-49FA-BFB5-44BC7419374A}" name="TP DATE" dataDxfId="1186"/>
    <tableColumn id="3" xr3:uid="{4E6361F5-E783-4472-A165-5CFA9383BDE9}" name="TRIP NO" dataDxfId="1185"/>
    <tableColumn id="5" xr3:uid="{1B35F37D-AA3A-4723-9D3C-F7A7718E1892}" name="TOTAL BOX" dataDxfId="1184"/>
    <tableColumn id="6" xr3:uid="{9A361A12-B82C-4455-9F96-6D2C70814209}" name="TOTAL BOX MATCHING" dataDxfId="1183">
      <calculatedColumnFormula>IF(SUM(E6:E15)=RTN_202[[#This Row],[TOTAL BOX]],"MATCHING TOTAL BOX","NOT MATCHING ")</calculatedColumnFormula>
    </tableColumn>
    <tableColumn id="7" xr3:uid="{0F431F8E-D483-4162-9193-75E0C78CCDD2}" name="PURCHASE" dataDxfId="1182"/>
    <tableColumn id="8" xr3:uid="{F3CDB7E0-6A93-4582-A27E-26E06F41643A}" name="RENT" dataDxfId="1181"/>
    <tableColumn id="9" xr3:uid="{393ABAA0-805F-442D-A3E9-BF7BC377FC68}" name="LINE" dataDxfId="1180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74DDF41-B0B9-4445-8049-48248AFCE8D7}" name="R_14" displayName="R_14" ref="B5:H10" totalsRowCount="1" headerRowDxfId="935" dataDxfId="934" totalsRowDxfId="933">
  <autoFilter ref="B5:H9" xr:uid="{B74DDF41-B0B9-4445-8049-48248AFCE8D7}"/>
  <sortState xmlns:xlrd2="http://schemas.microsoft.com/office/spreadsheetml/2017/richdata2" ref="B6:H8">
    <sortCondition ref="B5:B8"/>
  </sortState>
  <tableColumns count="7">
    <tableColumn id="1" xr3:uid="{53972DC6-B435-42F9-A470-9776D5AB0E0D}" name="DATE" totalsRowLabel="Total" dataDxfId="932" totalsRowDxfId="931"/>
    <tableColumn id="2" xr3:uid="{6884E2D9-D1F8-42EB-82CB-0A8D59315169}" name="PARTY NAME" dataDxfId="930" totalsRowDxfId="929"/>
    <tableColumn id="7" xr3:uid="{0A10B318-A243-40C3-A55D-DEFA7CE0B5CC}" name="NICK NAME" dataDxfId="928" totalsRowDxfId="927"/>
    <tableColumn id="3" xr3:uid="{623506CE-0F2B-45BA-B21C-990BCDCA6A20}" name="BOX" totalsRowFunction="custom" dataDxfId="926" totalsRowDxfId="925">
      <totalsRowFormula>SUM(R_14[BOX])</totalsRowFormula>
    </tableColumn>
    <tableColumn id="4" xr3:uid="{792D1853-A9C4-4C8E-AC96-6A713F39DDEC}" name="ADVANCE" dataDxfId="924" totalsRowDxfId="923"/>
    <tableColumn id="5" xr3:uid="{6BC86B5B-4B89-4D0F-ADA7-290B75AF2077}" name="ADV NO" dataDxfId="922" totalsRowDxfId="921"/>
    <tableColumn id="6" xr3:uid="{C59BCA1A-F815-4EDB-8C18-B01F2E300C1C}" name="AMOUNT" totalsRowFunction="sum" dataDxfId="920" totalsRowDxfId="91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21BBA33-5DA8-4D87-8655-BD62F080AA69}" name="AL_102" displayName="AL_102" ref="B3:J5" totalsRowShown="0" headerRowDxfId="918" dataDxfId="917">
  <autoFilter ref="B3:J5" xr:uid="{621BBA33-5DA8-4D87-8655-BD62F080AA69}"/>
  <tableColumns count="9">
    <tableColumn id="1" xr3:uid="{DABBC295-E2F1-46DA-B8ED-C12FCEC75435}" name="TP NO " dataDxfId="916"/>
    <tableColumn id="4" xr3:uid="{9198356B-57A1-4A3D-BEC1-F6F8FF6B5DE8}" name="LORRY NO" dataDxfId="915"/>
    <tableColumn id="2" xr3:uid="{AAC836B8-DAD2-49F5-9E55-FD512F7B5821}" name="TP DATE" dataDxfId="914"/>
    <tableColumn id="3" xr3:uid="{D904B62D-A21F-4AC6-B589-91333BF7B212}" name="TRIP NO" dataDxfId="913"/>
    <tableColumn id="5" xr3:uid="{C16ECEB9-FDA8-40E4-9ED0-CB2E490AAB59}" name="TOTAL BOX" dataDxfId="912"/>
    <tableColumn id="6" xr3:uid="{440A6AB3-B1C8-4FDE-8C40-6F08244262B9}" name="TOTAL BOX MATCHING" dataDxfId="911">
      <calculatedColumnFormula>IF(SUM(E7:E14)=AL_102[[#This Row],[TOTAL BOX]],"MATCHING TOTAL BOX","NOT MATCHING ")</calculatedColumnFormula>
    </tableColumn>
    <tableColumn id="7" xr3:uid="{11DEA788-C8BC-4C6E-BCEB-88C2F7F20422}" name="PURCHASE" dataDxfId="910"/>
    <tableColumn id="8" xr3:uid="{D52E0C08-FFBD-44E3-B8EB-4A32BCDD18B5}" name="RENT" dataDxfId="909"/>
    <tableColumn id="9" xr3:uid="{61EB071A-C6D0-4878-AAB9-6024436E4BEF}" name="LINE" dataDxfId="908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810078-D14E-4B38-A0B4-F2429706F06E}" name="AL_02" displayName="AL_02" ref="B6:H15" totalsRowCount="1" headerRowDxfId="907" dataDxfId="906" totalsRowDxfId="905">
  <autoFilter ref="B6:H14" xr:uid="{EB810078-D14E-4B38-A0B4-F2429706F06E}"/>
  <sortState xmlns:xlrd2="http://schemas.microsoft.com/office/spreadsheetml/2017/richdata2" ref="B7:H14">
    <sortCondition ref="B6:B14"/>
  </sortState>
  <tableColumns count="7">
    <tableColumn id="1" xr3:uid="{EF152397-F9CD-41E8-A17E-D7867DDD8634}" name="DATE" totalsRowLabel="Total" dataDxfId="904"/>
    <tableColumn id="2" xr3:uid="{A063400C-9A27-40F2-A398-C7191BD17342}" name="PARTY NAME" dataDxfId="903"/>
    <tableColumn id="7" xr3:uid="{1BDCFED7-531F-45A9-83A6-E91EA221EB72}" name="NICK NAME" dataDxfId="902"/>
    <tableColumn id="3" xr3:uid="{65E6A09C-E6F8-4426-A4E0-9F7F6307D96A}" name="BOX" totalsRowFunction="custom" dataDxfId="901" totalsRowDxfId="900">
      <totalsRowFormula>SUM(AL_02[BOX])</totalsRowFormula>
    </tableColumn>
    <tableColumn id="4" xr3:uid="{4DA57584-BAA4-44C2-B70E-47964F7B426C}" name="ADVANCE" dataDxfId="899"/>
    <tableColumn id="5" xr3:uid="{118EA115-B8FD-4A65-A2BA-27E02D03EF9E}" name="ADV NO" dataDxfId="898"/>
    <tableColumn id="6" xr3:uid="{8E4499CF-0A8C-4809-81F5-749044CE761F}" name="AMOUNT" totalsRowFunction="sum" dataDxfId="89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1FC03BB-29D9-493B-984F-E8BE24A99415}" name="RTN_215" displayName="RTN_215" ref="B2:J4" totalsRowShown="0" headerRowDxfId="896" dataDxfId="895">
  <autoFilter ref="B2:J4" xr:uid="{C83A8C46-4B06-40C7-81BA-3B47D2286077}"/>
  <tableColumns count="9">
    <tableColumn id="1" xr3:uid="{F6401277-44DE-4A6E-B833-F7EF6D4B1237}" name="TP NO " dataDxfId="894"/>
    <tableColumn id="4" xr3:uid="{A31F764D-1A05-44A7-921B-873F5999F436}" name="LORRY NO" dataDxfId="893"/>
    <tableColumn id="2" xr3:uid="{B492D1C4-1164-4EFE-AD70-E71492CD6FA4}" name="TP DATE" dataDxfId="892"/>
    <tableColumn id="3" xr3:uid="{CEB9231F-D2D3-45C3-A086-8A91445630B0}" name="TRIP NO" dataDxfId="891"/>
    <tableColumn id="5" xr3:uid="{C6198064-1987-45F3-BA68-5C51C228F455}" name="TOTAL BOX" dataDxfId="890"/>
    <tableColumn id="6" xr3:uid="{D88A58A2-E9B2-4F19-B4C9-7B9A8CF5DF09}" name="TOTAL BOX MATCHING" dataDxfId="889">
      <calculatedColumnFormula>IF(SUM(E6:E13)=RTN_215[[#This Row],[TOTAL BOX]],"MATCHING TOTAL BOX","NOT MATCHING ")</calculatedColumnFormula>
    </tableColumn>
    <tableColumn id="7" xr3:uid="{26509B3B-AE84-4737-9041-5705163FE26C}" name="PURCHASE" dataDxfId="888"/>
    <tableColumn id="8" xr3:uid="{FAF171CC-7752-4DE4-AFCD-63EC4574FFAB}" name="RENT" dataDxfId="887"/>
    <tableColumn id="9" xr3:uid="{45817C93-4019-462F-9DA1-4FC4E6F274F5}" name="LINE" dataDxfId="886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78B734D-47DD-41E5-9DD7-BE259BFEB8CB}" name="R_15" displayName="R_15" ref="B5:H14" totalsRowCount="1" headerRowDxfId="885" dataDxfId="884" totalsRowDxfId="883">
  <autoFilter ref="B5:H13" xr:uid="{B74DDF41-B0B9-4445-8049-48248AFCE8D7}"/>
  <sortState xmlns:xlrd2="http://schemas.microsoft.com/office/spreadsheetml/2017/richdata2" ref="B6:H8">
    <sortCondition ref="B5:B8"/>
  </sortState>
  <tableColumns count="7">
    <tableColumn id="1" xr3:uid="{5F7F2EB5-BE8C-487A-9F41-7C3BD2C471E2}" name="DATE" totalsRowLabel="Total" dataDxfId="882" totalsRowDxfId="881"/>
    <tableColumn id="2" xr3:uid="{A168413A-9BB7-435A-894D-DF2824C72234}" name="PARTY NAME" dataDxfId="880" totalsRowDxfId="879"/>
    <tableColumn id="7" xr3:uid="{AAB39A4C-A9CD-4AE7-AD9D-6A3629B29133}" name="NICK NAME" dataDxfId="878" totalsRowDxfId="877"/>
    <tableColumn id="3" xr3:uid="{C66CF7C5-095F-43E3-9FEE-1FCCFB65D8B4}" name="BOX" totalsRowFunction="custom" dataDxfId="876" totalsRowDxfId="875">
      <totalsRowFormula>SUM(R_15[BOX])</totalsRowFormula>
    </tableColumn>
    <tableColumn id="4" xr3:uid="{DE315C4D-8364-4FC0-B42E-DD6FA942334A}" name="ADVANCE" dataDxfId="874" totalsRowDxfId="873"/>
    <tableColumn id="5" xr3:uid="{7D731587-19E4-44AF-83DA-2B5D3DD22F25}" name="ADV NO" dataDxfId="872" totalsRowDxfId="871"/>
    <tableColumn id="6" xr3:uid="{3ADA39D1-8497-42C1-9262-A2EBCD786094}" name="AMOUNT" totalsRowFunction="sum" dataDxfId="870" totalsRowDxfId="869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FD13A6F-577B-4F1B-BC0A-3E8C78685613}" name="RTN_216" displayName="RTN_216" ref="B2:J4" totalsRowShown="0" headerRowDxfId="868" dataDxfId="867">
  <autoFilter ref="B2:J4" xr:uid="{BFD13A6F-577B-4F1B-BC0A-3E8C78685613}"/>
  <tableColumns count="9">
    <tableColumn id="1" xr3:uid="{9DE87674-66F3-4D9E-9415-8579E2F79568}" name="TP NO " dataDxfId="866"/>
    <tableColumn id="4" xr3:uid="{39DFB200-4154-4C9F-8E22-177DE043E361}" name="LORRY NO" dataDxfId="865"/>
    <tableColumn id="2" xr3:uid="{F448A48D-1C19-43C3-B391-19828DA7EB7B}" name="TP DATE" dataDxfId="864"/>
    <tableColumn id="3" xr3:uid="{CE833BE8-EF67-49ED-82C7-4C067A58D253}" name="TRIP NO" dataDxfId="863"/>
    <tableColumn id="5" xr3:uid="{768F3661-6005-4A53-962F-720A285163AD}" name="TOTAL BOX" dataDxfId="862"/>
    <tableColumn id="6" xr3:uid="{53B21F35-4D3D-40F0-A6C0-ADEBC85120B4}" name="TOTAL BOX MATCHING" dataDxfId="861">
      <calculatedColumnFormula>IF(SUM(E6:E13)=RTN_216[[#This Row],[TOTAL BOX]],"MATCHING TOTAL BOX","NOT MATCHING ")</calculatedColumnFormula>
    </tableColumn>
    <tableColumn id="7" xr3:uid="{278A10FC-C3D4-4000-926A-566C6680EFF0}" name="PURCHASE" dataDxfId="860"/>
    <tableColumn id="8" xr3:uid="{C0ECB18F-6FED-4B45-BE43-4CD3AF687930}" name="RENT" dataDxfId="859"/>
    <tableColumn id="9" xr3:uid="{8C2EF5A2-320C-4429-8575-8A8F1427C4E6}" name="LINE" dataDxfId="858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41FDEA-DFC6-449B-865C-21097BB1A3BD}" name="R_16" displayName="R_16" ref="B5:H14" totalsRowCount="1" headerRowDxfId="857" dataDxfId="856" totalsRowDxfId="855">
  <autoFilter ref="B5:H13" xr:uid="{3041FDEA-DFC6-449B-865C-21097BB1A3BD}"/>
  <sortState xmlns:xlrd2="http://schemas.microsoft.com/office/spreadsheetml/2017/richdata2" ref="B6:H13">
    <sortCondition ref="B5:B13"/>
  </sortState>
  <tableColumns count="7">
    <tableColumn id="1" xr3:uid="{1B70107F-ED86-4D75-9067-B40898EE9506}" name="DATE" totalsRowLabel="Total" dataDxfId="854" totalsRowDxfId="853"/>
    <tableColumn id="2" xr3:uid="{D919253C-1E9F-4C2F-A6D9-82E98578607E}" name="PARTY NAME" dataDxfId="852" totalsRowDxfId="851"/>
    <tableColumn id="7" xr3:uid="{0DD23A59-2A29-4E31-B854-DA21F4CB28BB}" name="NICK NAME" dataDxfId="850" totalsRowDxfId="849"/>
    <tableColumn id="3" xr3:uid="{B63A3F1D-05E7-40B7-8F4D-E039858C4D64}" name="BOX" totalsRowFunction="custom" dataDxfId="848" totalsRowDxfId="847">
      <totalsRowFormula>SUM(R_16[BOX])</totalsRowFormula>
    </tableColumn>
    <tableColumn id="4" xr3:uid="{3B3E21BD-5117-422F-AF36-6B59DA271062}" name="ADVANCE" dataDxfId="846" totalsRowDxfId="845"/>
    <tableColumn id="5" xr3:uid="{52E53F56-9B9A-4C19-B8CD-FEC98C252E56}" name="ADV NO" dataDxfId="844" totalsRowDxfId="843"/>
    <tableColumn id="6" xr3:uid="{AF1C03A6-D2F0-4B74-833C-98AE5BA83D62}" name="AMOUNT" totalsRowFunction="sum" dataDxfId="842" totalsRowDxfId="841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988D45D-B99A-474D-8728-8C031ED18505}" name="RTN_17" displayName="RTN_17" ref="B2:J4" totalsRowShown="0" headerRowDxfId="840" dataDxfId="839">
  <autoFilter ref="B2:J4" xr:uid="{BFD13A6F-577B-4F1B-BC0A-3E8C78685613}"/>
  <tableColumns count="9">
    <tableColumn id="1" xr3:uid="{BA22324C-A0FB-445F-99DA-EDAE4C836DE6}" name="TP NO " dataDxfId="838"/>
    <tableColumn id="4" xr3:uid="{B86907B3-EDAD-4055-9110-1B25A7AC1D74}" name="LORRY NO" dataDxfId="837"/>
    <tableColumn id="2" xr3:uid="{ECF695C5-4D3B-4B2C-A559-7F68C1372FB4}" name="TP DATE" dataDxfId="836"/>
    <tableColumn id="3" xr3:uid="{A77BA511-2A30-4CBB-8A79-C3A63E9BA48F}" name="TRIP NO" dataDxfId="835"/>
    <tableColumn id="5" xr3:uid="{300C8D48-7F77-450D-83B1-7B996F84481E}" name="TOTAL BOX" dataDxfId="834"/>
    <tableColumn id="6" xr3:uid="{DAB84517-A6C6-4231-BE44-3FE4A027E932}" name="TOTAL BOX MATCHING" dataDxfId="833">
      <calculatedColumnFormula>IF(SUM(E6:E11)=RTN_17[[#This Row],[TOTAL BOX]],"MATCHING TOTAL BOX","NOT MATCHING ")</calculatedColumnFormula>
    </tableColumn>
    <tableColumn id="7" xr3:uid="{EAD36F26-95D7-45C0-9A80-20BA39F390D9}" name="PURCHASE" dataDxfId="832"/>
    <tableColumn id="8" xr3:uid="{F0C4C297-868C-4F35-B9FF-BE5827326AB6}" name="RENT" dataDxfId="831"/>
    <tableColumn id="9" xr3:uid="{B0971B31-538C-45A2-8539-A930C951F8C9}" name="LINE" dataDxfId="830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1763D99-CDB6-48C1-954E-E8FA1AC9022D}" name="R_17" displayName="R_17" ref="B5:H12" totalsRowCount="1" headerRowDxfId="829" dataDxfId="828" totalsRowDxfId="827">
  <autoFilter ref="B5:H11" xr:uid="{3041FDEA-DFC6-449B-865C-21097BB1A3BD}"/>
  <sortState xmlns:xlrd2="http://schemas.microsoft.com/office/spreadsheetml/2017/richdata2" ref="B6:H8">
    <sortCondition ref="B5:B8"/>
  </sortState>
  <tableColumns count="7">
    <tableColumn id="1" xr3:uid="{47CECED3-961B-4259-8097-D717CAFF0867}" name="DATE" totalsRowLabel="Total" dataDxfId="826" totalsRowDxfId="825"/>
    <tableColumn id="2" xr3:uid="{81A04769-5132-403F-936D-9BC4149EBB83}" name="PARTY NAME" dataDxfId="824" totalsRowDxfId="823"/>
    <tableColumn id="7" xr3:uid="{E010166D-CE9F-43E1-A4B3-12E9B193FADD}" name="NICK NAME" dataDxfId="822" totalsRowDxfId="821"/>
    <tableColumn id="3" xr3:uid="{F9372ACA-958C-498F-93AA-64BC727586F2}" name="BOX" totalsRowFunction="custom" dataDxfId="820" totalsRowDxfId="819">
      <totalsRowFormula>SUM(R_17[BOX])</totalsRowFormula>
    </tableColumn>
    <tableColumn id="4" xr3:uid="{17280D52-57D9-461F-989B-C4C64BB94EB6}" name="ADVANCE" dataDxfId="818" totalsRowDxfId="817"/>
    <tableColumn id="5" xr3:uid="{C7A6F88F-199C-4A2D-BBB4-A864147E0247}" name="ADV NO" dataDxfId="816" totalsRowDxfId="815"/>
    <tableColumn id="6" xr3:uid="{CCFF312C-F347-4A8B-9C16-ACC73D2AAD22}" name="AMOUNT" totalsRowFunction="sum" dataDxfId="814" totalsRowDxfId="81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9FE882B-3D48-4BDC-BE36-52108C6524DA}" name="RTN_218" displayName="RTN_218" ref="B2:J4" totalsRowShown="0" headerRowDxfId="812" dataDxfId="811">
  <autoFilter ref="B2:J4" xr:uid="{BFD13A6F-577B-4F1B-BC0A-3E8C78685613}"/>
  <tableColumns count="9">
    <tableColumn id="1" xr3:uid="{AAD52486-F549-4811-A7DB-0A41885DA34A}" name="TP NO " dataDxfId="810"/>
    <tableColumn id="4" xr3:uid="{5D7D5533-4DA4-4CB8-B8B3-F9FC4B1B3915}" name="LORRY NO" dataDxfId="809"/>
    <tableColumn id="2" xr3:uid="{288DCEF4-C911-4101-AB92-DFCE6886D309}" name="TP DATE" dataDxfId="808"/>
    <tableColumn id="3" xr3:uid="{07A0320E-688B-401D-B271-834D03EEA710}" name="TRIP NO" dataDxfId="807"/>
    <tableColumn id="5" xr3:uid="{2C7FDA13-B260-4241-A8B7-86677D962AC4}" name="TOTAL BOX" dataDxfId="806"/>
    <tableColumn id="6" xr3:uid="{F8B77B25-974F-4CB8-BA2F-55B83B456FB6}" name="TOTAL BOX MATCHING" dataDxfId="805">
      <calculatedColumnFormula>IF(SUM(E6:E14)=RTN_218[[#This Row],[TOTAL BOX]],"MATCHING TOTAL BOX","NOT MATCHING ")</calculatedColumnFormula>
    </tableColumn>
    <tableColumn id="7" xr3:uid="{369C1F7F-68FF-495B-B229-87F3AA4E3DC8}" name="PURCHASE" dataDxfId="804"/>
    <tableColumn id="8" xr3:uid="{DAE08287-42FE-4E74-A403-E87CD2B049C1}" name="RENT" dataDxfId="803"/>
    <tableColumn id="9" xr3:uid="{83130316-25CC-495D-B9D6-9B284A00BA46}" name="LINE" dataDxfId="80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EB5AE2-9C70-4F07-8390-51DEE425AEB5}" name="R_02" displayName="R_02" ref="B5:H16" totalsRowCount="1" headerRowDxfId="1179">
  <autoFilter ref="B5:H15" xr:uid="{84EB5AE2-9C70-4F07-8390-51DEE425AEB5}"/>
  <sortState xmlns:xlrd2="http://schemas.microsoft.com/office/spreadsheetml/2017/richdata2" ref="B6:H15">
    <sortCondition ref="B5:B15"/>
  </sortState>
  <tableColumns count="7">
    <tableColumn id="1" xr3:uid="{25609D90-5BFF-46C3-9711-C3B391B8EF14}" name="DATE" totalsRowLabel="Total" dataDxfId="1178"/>
    <tableColumn id="2" xr3:uid="{6142F91D-989B-4A14-96D0-3AB927A2874B}" name="PARTY NAME"/>
    <tableColumn id="7" xr3:uid="{2B5F0B32-550E-43DD-9007-951689831EE6}" name="NICK NAME"/>
    <tableColumn id="3" xr3:uid="{B902544E-9D85-484C-9A80-65137C038EA9}" name="BOX" totalsRowFunction="custom" dataDxfId="1177" totalsRowDxfId="1176">
      <totalsRowFormula>SUM(R_02[BOX])</totalsRowFormula>
    </tableColumn>
    <tableColumn id="4" xr3:uid="{87C75D07-2350-495E-90AF-C39C16E83B01}" name="ADVANCE" dataDxfId="1175"/>
    <tableColumn id="5" xr3:uid="{59DFE296-0B4F-4F6B-9663-7BB4F7EBC456}" name="ADV NO" dataDxfId="1174"/>
    <tableColumn id="6" xr3:uid="{22DE825E-3EDE-4081-A1DA-28AA23475CFB}" name="AMOUNT" totalsRowFunction="sum" dataDxfId="117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A97498C-5964-4520-9A1D-6B42969D7E83}" name="R_18" displayName="R_18" ref="B5:H15" totalsRowCount="1" headerRowDxfId="801" dataDxfId="800" totalsRowDxfId="799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8CB03D06-893F-45A3-8A85-2C5B504061CC}" name="DATE" totalsRowLabel="Total" dataDxfId="798" totalsRowDxfId="797"/>
    <tableColumn id="2" xr3:uid="{08D43C08-4590-4374-A909-3482197C0081}" name="PARTY NAME" dataDxfId="796" totalsRowDxfId="795"/>
    <tableColumn id="7" xr3:uid="{7EA799A8-6D41-4DB9-A1BF-2E84EE301AC1}" name="NICK NAME" dataDxfId="794" totalsRowDxfId="793"/>
    <tableColumn id="3" xr3:uid="{83DE79D4-F48F-4594-B957-72223DFD1686}" name="BOX" totalsRowFunction="custom" dataDxfId="792" totalsRowDxfId="791">
      <totalsRowFormula>SUM(R_18[BOX])</totalsRowFormula>
    </tableColumn>
    <tableColumn id="4" xr3:uid="{EFBD274B-042B-4F37-B587-DCC04B8EA6E7}" name="ADVANCE" dataDxfId="790" totalsRowDxfId="789"/>
    <tableColumn id="5" xr3:uid="{1E128624-0BA2-45F9-82FB-39599EF97F3F}" name="ADV NO" dataDxfId="788" totalsRowDxfId="787"/>
    <tableColumn id="6" xr3:uid="{55663BA4-30C8-4680-A5F8-4B1CCB861B8B}" name="AMOUNT" totalsRowFunction="sum" dataDxfId="786" totalsRowDxfId="78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E2EECF0-F39F-4BFF-9993-9368981EF179}" name="RTN_219" displayName="RTN_219" ref="B2:J4" totalsRowShown="0" headerRowDxfId="784" dataDxfId="783">
  <autoFilter ref="B2:J4" xr:uid="{BFD13A6F-577B-4F1B-BC0A-3E8C78685613}"/>
  <tableColumns count="9">
    <tableColumn id="1" xr3:uid="{99C12838-F926-432C-912E-2C94A1946405}" name="TP NO " dataDxfId="782"/>
    <tableColumn id="4" xr3:uid="{E79BE1DD-E0B1-4769-B868-0F13FDA05D56}" name="LORRY NO" dataDxfId="781"/>
    <tableColumn id="2" xr3:uid="{E5C3C4F1-D8EB-4858-A788-8B77B89F01EE}" name="TP DATE" dataDxfId="780"/>
    <tableColumn id="3" xr3:uid="{5045B9D4-20D0-48D1-8A6B-EAB42B698087}" name="TRIP NO" dataDxfId="779"/>
    <tableColumn id="5" xr3:uid="{4D63A428-8BE5-4736-858C-A43CAD43D38F}" name="TOTAL BOX" dataDxfId="778"/>
    <tableColumn id="6" xr3:uid="{33577BC5-F436-43A6-9B35-801DD86763BD}" name="TOTAL BOX MATCHING" dataDxfId="777">
      <calculatedColumnFormula>IF(SUM(E6:E9)=RTN_219[[#This Row],[TOTAL BOX]],"MATCHING TOTAL BOX","NOT MATCHING ")</calculatedColumnFormula>
    </tableColumn>
    <tableColumn id="7" xr3:uid="{8779B4BC-6179-4F3B-AE72-B0EB68838E76}" name="PURCHASE" dataDxfId="776"/>
    <tableColumn id="8" xr3:uid="{B6232116-C302-4CF0-BAD8-F9A1133B3253}" name="RENT" dataDxfId="775"/>
    <tableColumn id="9" xr3:uid="{F6DC9A4F-54B4-4B05-A847-0DCDB10C4800}" name="LINE" dataDxfId="774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1B44EEE-B9DA-496F-B0D4-5BA5989C37EE}" name="R_19" displayName="R_19" ref="B5:H10" totalsRowCount="1" headerRowDxfId="773" dataDxfId="772" totalsRowDxfId="771">
  <autoFilter ref="B5:H9" xr:uid="{3041FDEA-DFC6-449B-865C-21097BB1A3BD}"/>
  <sortState xmlns:xlrd2="http://schemas.microsoft.com/office/spreadsheetml/2017/richdata2" ref="B6:H9">
    <sortCondition ref="B5:B9"/>
  </sortState>
  <tableColumns count="7">
    <tableColumn id="1" xr3:uid="{A926C8F7-1576-41F3-B373-75712D744014}" name="DATE" totalsRowLabel="Total" dataDxfId="770" totalsRowDxfId="769"/>
    <tableColumn id="2" xr3:uid="{A16DF1E0-FAF3-4779-8B4A-FD7B8DFF79A3}" name="PARTY NAME" dataDxfId="768" totalsRowDxfId="767"/>
    <tableColumn id="7" xr3:uid="{87BE1FF0-780B-4977-B700-133E4DC5B6D7}" name="NICK NAME" dataDxfId="766" totalsRowDxfId="765"/>
    <tableColumn id="3" xr3:uid="{9D1A32B0-86CE-47ED-A694-AC9A3ADADDE0}" name="BOX" totalsRowFunction="custom" dataDxfId="764" totalsRowDxfId="763">
      <totalsRowFormula>SUM(R_19[BOX])</totalsRowFormula>
    </tableColumn>
    <tableColumn id="4" xr3:uid="{B0506A8B-DB2E-4205-A23D-E6BE1018D4F8}" name="ADVANCE" dataDxfId="762" totalsRowDxfId="761"/>
    <tableColumn id="5" xr3:uid="{AC2E39B9-84D8-47EC-914E-7641B7F1194E}" name="ADV NO" dataDxfId="760" totalsRowDxfId="759"/>
    <tableColumn id="6" xr3:uid="{C2751EF2-A945-4874-AEE4-58AE50C0B3CC}" name="AMOUNT" totalsRowFunction="sum" dataDxfId="758" totalsRowDxfId="757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A4B6240-C919-45B7-93F3-F63AB6F3A297}" name="AL_103" displayName="AL_103" ref="B2:J4" totalsRowShown="0" headerRowDxfId="756" dataDxfId="755">
  <autoFilter ref="B2:J4" xr:uid="{BFD13A6F-577B-4F1B-BC0A-3E8C78685613}"/>
  <tableColumns count="9">
    <tableColumn id="1" xr3:uid="{517166E1-4322-4A09-95E0-757D3A22B478}" name="TP NO " dataDxfId="754"/>
    <tableColumn id="4" xr3:uid="{DFEB2887-6E70-4DA7-9CAA-B478D5E7545A}" name="LORRY NO" dataDxfId="753"/>
    <tableColumn id="2" xr3:uid="{31BA3D81-80FD-4F5F-B1E9-EA90C2F96375}" name="TP DATE" dataDxfId="752"/>
    <tableColumn id="3" xr3:uid="{3ECCEB35-1BD7-4B80-900C-1926B8C78EFB}" name="TRIP NO" dataDxfId="751"/>
    <tableColumn id="5" xr3:uid="{652CC4D4-758F-4FA3-B936-46FA693EAAF1}" name="TOTAL BOX" dataDxfId="750"/>
    <tableColumn id="6" xr3:uid="{106612C7-FCB4-4829-BD16-42FFB2B3C225}" name="TOTAL BOX MATCHING" dataDxfId="749">
      <calculatedColumnFormula>IF(SUM(E6:E17)=AL_103[[#This Row],[TOTAL BOX]],"MATCHING TOTAL BOX","NOT MATCHING ")</calculatedColumnFormula>
    </tableColumn>
    <tableColumn id="7" xr3:uid="{DF3B7F43-4A5A-4203-BF1B-7BFF5FF2DD72}" name="PURCHASE" dataDxfId="748"/>
    <tableColumn id="8" xr3:uid="{E1531C83-7F44-4001-91AD-91285E9980E0}" name="RENT" dataDxfId="747"/>
    <tableColumn id="9" xr3:uid="{AE2F191E-74B1-4992-AFBC-43A741192381}" name="LINE" dataDxfId="746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E19B242-63FB-4625-AA9A-6644C16F198F}" name="AL_03" displayName="AL_03" ref="B5:H18" totalsRowCount="1" headerRowDxfId="745" dataDxfId="744" totalsRowDxfId="743">
  <autoFilter ref="B5:H17" xr:uid="{3041FDEA-DFC6-449B-865C-21097BB1A3BD}"/>
  <sortState xmlns:xlrd2="http://schemas.microsoft.com/office/spreadsheetml/2017/richdata2" ref="B6:H17">
    <sortCondition ref="B5:B17"/>
  </sortState>
  <tableColumns count="7">
    <tableColumn id="1" xr3:uid="{0340B400-1886-429E-B7D8-F6701ABD03ED}" name="DATE" totalsRowLabel="Total" dataDxfId="742" totalsRowDxfId="741"/>
    <tableColumn id="2" xr3:uid="{57B3ABED-82D4-43E9-A0EB-DE7B236634C0}" name="PARTY NAME" dataDxfId="740" totalsRowDxfId="739"/>
    <tableColumn id="7" xr3:uid="{7A7FB9BE-C184-443F-A4FA-9825EB66F50A}" name="NICK NAME" dataDxfId="738" totalsRowDxfId="737"/>
    <tableColumn id="3" xr3:uid="{342B022C-54C9-49F1-90F3-EA4D2EB12BE2}" name="BOX" totalsRowFunction="custom" dataDxfId="736" totalsRowDxfId="735">
      <totalsRowFormula>SUM(AL_03[BOX])</totalsRowFormula>
    </tableColumn>
    <tableColumn id="4" xr3:uid="{B5BD62D0-DDBD-4DEE-90AE-F3C695FB9093}" name="ADVANCE" dataDxfId="734" totalsRowDxfId="733"/>
    <tableColumn id="5" xr3:uid="{84F82D51-E616-4EB2-BC8A-DCDA23DC355A}" name="ADV NO" dataDxfId="732" totalsRowDxfId="731"/>
    <tableColumn id="6" xr3:uid="{34E4BC86-3005-4662-889D-AEE6FEE9407C}" name="AMOUNT" totalsRowFunction="sum" dataDxfId="730" totalsRowDxfId="7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817E273-49D3-4A91-9EE0-09315887EA88}" name="RTN_220" displayName="RTN_220" ref="B2:J4" totalsRowShown="0" headerRowDxfId="728" dataDxfId="727">
  <autoFilter ref="B2:J4" xr:uid="{BFD13A6F-577B-4F1B-BC0A-3E8C78685613}"/>
  <tableColumns count="9">
    <tableColumn id="1" xr3:uid="{7A36F004-6A60-407E-A0E4-71AFEDC9C4D5}" name="TP NO " dataDxfId="726"/>
    <tableColumn id="4" xr3:uid="{A8815742-0A0B-4E55-BA1B-49143018D88A}" name="LORRY NO" dataDxfId="725"/>
    <tableColumn id="2" xr3:uid="{7B7DA73F-9A94-4412-A9FC-8B1A189A399C}" name="TP DATE" dataDxfId="724"/>
    <tableColumn id="3" xr3:uid="{AE951B59-AE06-4716-A0CE-820ED2026846}" name="TRIP NO" dataDxfId="723"/>
    <tableColumn id="5" xr3:uid="{A42E4C51-3691-4E33-AF68-8ECCBD2C7BB8}" name="TOTAL BOX" dataDxfId="722"/>
    <tableColumn id="6" xr3:uid="{7C40CC08-6426-4EFD-BCF7-8C52B0EE0F8F}" name="TOTAL BOX MATCHING" dataDxfId="721">
      <calculatedColumnFormula>IF(SUM(E6:E13)=RTN_220[[#This Row],[TOTAL BOX]],"MATCHING TOTAL BOX","NOT MATCHING ")</calculatedColumnFormula>
    </tableColumn>
    <tableColumn id="7" xr3:uid="{B265C00B-B2D1-4EFE-A267-B0F9B3D41A06}" name="PURCHASE" dataDxfId="720"/>
    <tableColumn id="8" xr3:uid="{8FBB7436-9672-40EF-9693-B237E03F139D}" name="RENT" dataDxfId="719"/>
    <tableColumn id="9" xr3:uid="{823E15B4-A0F5-4A58-85C7-A6B5E480DEC8}" name="LINE" dataDxfId="718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F103FF9-7E8F-449C-837C-723F0224BD58}" name="R_20" displayName="R_20" ref="B5:H14" totalsRowCount="1" headerRowDxfId="717" dataDxfId="716" totalsRowDxfId="715">
  <autoFilter ref="B5:H13" xr:uid="{3041FDEA-DFC6-449B-865C-21097BB1A3BD}"/>
  <sortState xmlns:xlrd2="http://schemas.microsoft.com/office/spreadsheetml/2017/richdata2" ref="B6:H13">
    <sortCondition ref="B5:B13"/>
  </sortState>
  <tableColumns count="7">
    <tableColumn id="1" xr3:uid="{236D16EE-B196-4088-805A-D34D49C765A1}" name="DATE" totalsRowLabel="Total" dataDxfId="714" totalsRowDxfId="713"/>
    <tableColumn id="2" xr3:uid="{4D8CBF71-85DA-4398-8A3B-EC64B516A69C}" name="PARTY NAME" dataDxfId="712" totalsRowDxfId="711"/>
    <tableColumn id="7" xr3:uid="{FAB27237-B8D8-4F0A-A5F5-A007400334F8}" name="NICK NAME" dataDxfId="710" totalsRowDxfId="709"/>
    <tableColumn id="3" xr3:uid="{B4CD7AA4-435D-4FA3-8B57-B0A1F65F33DA}" name="BOX" totalsRowFunction="custom" dataDxfId="708" totalsRowDxfId="707">
      <totalsRowFormula>SUM(R_20[BOX])</totalsRowFormula>
    </tableColumn>
    <tableColumn id="4" xr3:uid="{9454F8F4-1CC4-4480-9576-FF61E6214438}" name="ADVANCE" dataDxfId="706" totalsRowDxfId="705"/>
    <tableColumn id="5" xr3:uid="{F0C78683-2E3D-4320-9CD7-BEB74859D10D}" name="ADV NO" dataDxfId="704" totalsRowDxfId="703"/>
    <tableColumn id="6" xr3:uid="{2AAD9277-97F4-4107-ADCA-235D2572BFC4}" name="AMOUNT" totalsRowFunction="sum" dataDxfId="702" totalsRowDxfId="701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04B597E-3A65-4674-BF0A-710919322F3B}" name="RTN_221" displayName="RTN_221" ref="B2:J4" totalsRowShown="0" headerRowDxfId="700" dataDxfId="699">
  <autoFilter ref="B2:J4" xr:uid="{BFD13A6F-577B-4F1B-BC0A-3E8C78685613}"/>
  <tableColumns count="9">
    <tableColumn id="1" xr3:uid="{00266F12-31D6-4056-BCA7-2EF80DB8E69E}" name="TP NO " dataDxfId="698"/>
    <tableColumn id="4" xr3:uid="{B839230F-A9C2-421B-9B48-631D26CB7D58}" name="LORRY NO" dataDxfId="697"/>
    <tableColumn id="2" xr3:uid="{4FB43022-A88B-48E0-AC3A-7CA0065E5701}" name="TP DATE" dataDxfId="696"/>
    <tableColumn id="3" xr3:uid="{183F8D66-590A-4F32-BCBB-D7DEF57F542F}" name="TRIP NO" dataDxfId="695"/>
    <tableColumn id="5" xr3:uid="{7A506F54-5D9C-4518-9AB5-0CF4FAE84C24}" name="TOTAL BOX" dataDxfId="694"/>
    <tableColumn id="6" xr3:uid="{4E0FB75D-7963-48F8-9CB5-92EA9D93BFCD}" name="TOTAL BOX MATCHING" dataDxfId="693">
      <calculatedColumnFormula>IF(SUM(E6:E14)=RTN_221[[#This Row],[TOTAL BOX]],"MATCHING TOTAL BOX","NOT MATCHING ")</calculatedColumnFormula>
    </tableColumn>
    <tableColumn id="7" xr3:uid="{1CC72E46-E648-4A2A-95EF-C2275479734C}" name="PURCHASE" dataDxfId="692"/>
    <tableColumn id="8" xr3:uid="{59D1260C-0DCE-40ED-B60A-9608F77CFA61}" name="RENT" dataDxfId="691"/>
    <tableColumn id="9" xr3:uid="{1CA46DBD-271F-4323-88BC-A94505607703}" name="LINE" dataDxfId="690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6AE62A9-0637-4B28-92C6-F08BB92874B6}" name="R_21" displayName="R_21" ref="B5:H15" totalsRowCount="1" headerRowDxfId="689" dataDxfId="688" totalsRowDxfId="687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B54EA9A0-8724-42B3-865F-F04F2C1B9146}" name="DATE" totalsRowLabel="Total" dataDxfId="686" totalsRowDxfId="685"/>
    <tableColumn id="2" xr3:uid="{242904E1-F722-42D4-AFDB-64CC70E35760}" name="PARTY NAME" dataDxfId="684" totalsRowDxfId="683"/>
    <tableColumn id="7" xr3:uid="{B3FCCCEA-E419-4315-9341-6B4FE93F0983}" name="NICK NAME" dataDxfId="682" totalsRowDxfId="681"/>
    <tableColumn id="3" xr3:uid="{1F780794-1404-429B-A62E-B098B4846957}" name="BOX" totalsRowFunction="sum" dataDxfId="680" totalsRowDxfId="679"/>
    <tableColumn id="4" xr3:uid="{6CC43315-ABDC-4ADB-B4C4-144F4E88350F}" name="ADVANCE" totalsRowFunction="sum" dataDxfId="678" totalsRowDxfId="677"/>
    <tableColumn id="5" xr3:uid="{714203A8-2CF4-47F9-AE3A-004E7A623708}" name="ADV NO" dataDxfId="676" totalsRowDxfId="675"/>
    <tableColumn id="6" xr3:uid="{F67A6410-CD21-493D-A211-2D9A95082631}" name="AMOUNT" totalsRowFunction="sum" dataDxfId="674" totalsRowDxfId="67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38BFA12C-E24B-48AB-8F8C-9066C4BA3A4E}" name="RTN_22" displayName="RTN_22" ref="B2:J4" totalsRowShown="0" headerRowDxfId="672" dataDxfId="671">
  <autoFilter ref="B2:J4" xr:uid="{BFD13A6F-577B-4F1B-BC0A-3E8C78685613}"/>
  <tableColumns count="9">
    <tableColumn id="1" xr3:uid="{8871943D-C95A-44C3-8175-B446A86EBA0B}" name="TP NO " dataDxfId="670"/>
    <tableColumn id="4" xr3:uid="{995F3A75-A82A-475C-ABD5-D4A580FF31AE}" name="LORRY NO" dataDxfId="669"/>
    <tableColumn id="2" xr3:uid="{82E8F9FD-93D4-460C-B88A-D0940A80E9ED}" name="TP DATE" dataDxfId="668"/>
    <tableColumn id="3" xr3:uid="{6786916F-0D7D-444D-8E90-D85004A6ADE8}" name="TRIP NO" dataDxfId="667"/>
    <tableColumn id="5" xr3:uid="{373CF278-EADA-46C1-8D3E-DCE857BAF54C}" name="TOTAL BOX" dataDxfId="666"/>
    <tableColumn id="6" xr3:uid="{F8B48CAE-63F2-4B36-AC40-AE5B8E47ECB4}" name="TOTAL BOX MATCHING" dataDxfId="665">
      <calculatedColumnFormula>IF(SUM(E6:E14)=RTN_22[[#This Row],[TOTAL BOX]],"MATCHING TOTAL BOX","NOT MATCHING ")</calculatedColumnFormula>
    </tableColumn>
    <tableColumn id="7" xr3:uid="{EACA3C9B-E926-4C9E-8C87-7CA4BE32703B}" name="PURCHASE " dataDxfId="664"/>
    <tableColumn id="8" xr3:uid="{7F7C2CC6-8DFE-4404-865C-B4D0A6EAF0EC}" name="RENT" dataDxfId="663"/>
    <tableColumn id="9" xr3:uid="{5F1694C9-CD0D-4486-B5E9-4DAAE7432281}" name="LINE" dataDxfId="66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03116C-442C-4A0E-8CB2-68D81BFF1975}" name="RTN_203" displayName="RTN_203" ref="B2:J4" totalsRowShown="0" headerRowDxfId="1172" dataDxfId="1171">
  <autoFilter ref="B2:J4" xr:uid="{AD03116C-442C-4A0E-8CB2-68D81BFF1975}"/>
  <tableColumns count="9">
    <tableColumn id="1" xr3:uid="{A7CF336C-AAEC-4B25-ABAB-3E8F1171D078}" name="TP NO " dataDxfId="1170"/>
    <tableColumn id="4" xr3:uid="{3027BEA4-1D0D-479C-859B-54AB6180161F}" name="LORRY NO" dataDxfId="1169"/>
    <tableColumn id="2" xr3:uid="{68B0686C-FBFE-4925-B5B3-FE0305AF4E20}" name="TP DATE" dataDxfId="1168"/>
    <tableColumn id="3" xr3:uid="{EEE22B74-CD51-41ED-A563-435084A12E15}" name="TRIP NO" dataDxfId="1167"/>
    <tableColumn id="5" xr3:uid="{08686DE0-1FA7-4E9E-A242-786733851A9A}" name="TOTAL BOX" dataDxfId="1166"/>
    <tableColumn id="6" xr3:uid="{FA243811-A097-4059-8760-49F325126A1F}" name="TOTAL BOX MATCHING" dataDxfId="1165">
      <calculatedColumnFormula>IF(SUM(E6:E12)=RTN_203[[#This Row],[TOTAL BOX]],"MATCHING TOTAL BOX","NOT MATCHING ")</calculatedColumnFormula>
    </tableColumn>
    <tableColumn id="7" xr3:uid="{8AC518EB-0B42-4495-84CC-05508C926509}" name="PURCHASE " dataDxfId="1164"/>
    <tableColumn id="8" xr3:uid="{4FCAC505-58D5-4759-8885-0D9A2430EEF9}" name="RENT" dataDxfId="1163"/>
    <tableColumn id="9" xr3:uid="{9C77E0B2-FDBC-46F2-B497-A74151274994}" name="LINE" dataDxfId="1162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5BC3689-8CDD-4C7A-84DC-D15C268C1B21}" name="R_22" displayName="R_22" ref="B5:H15" totalsRowCount="1" headerRowDxfId="661" dataDxfId="660" totalsRowDxfId="659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9A2C3CED-D8CA-4AAE-BE38-4857DC90EDC0}" name="DATE" totalsRowLabel="Total" dataDxfId="658" totalsRowDxfId="657"/>
    <tableColumn id="2" xr3:uid="{C527B874-5A4F-4649-BB27-B104EB55A317}" name="PARTY NAME" dataDxfId="656" totalsRowDxfId="655"/>
    <tableColumn id="7" xr3:uid="{732AE7CB-4097-42BA-B5EC-C264EC271DE7}" name="NICK NAME" dataDxfId="654" totalsRowDxfId="653"/>
    <tableColumn id="3" xr3:uid="{BEE15D27-0654-4281-8352-841D4DC46F4C}" name="BOX" totalsRowFunction="custom" dataDxfId="652" totalsRowDxfId="651">
      <totalsRowFormula>SUM(R_22[BOX])</totalsRowFormula>
    </tableColumn>
    <tableColumn id="4" xr3:uid="{5D215B2D-57C2-46C9-BC2E-47E03FE54894}" name="ADVANCE" dataDxfId="650" totalsRowDxfId="649"/>
    <tableColumn id="5" xr3:uid="{3E3BE79E-066F-4CB1-8DD6-F40F7219A879}" name="ADV NO" dataDxfId="648" totalsRowDxfId="647"/>
    <tableColumn id="6" xr3:uid="{7C55F1F7-850D-4B6F-B73A-4F1DEFDF11AC}" name="AMOUNT" totalsRowFunction="sum" dataDxfId="646" totalsRowDxfId="645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B4C3D451-415A-4227-AE91-AE1FAF9169EE}" name="RTN_223" displayName="RTN_223" ref="B2:J4" totalsRowShown="0" headerRowDxfId="644" dataDxfId="643">
  <autoFilter ref="B2:J4" xr:uid="{BFD13A6F-577B-4F1B-BC0A-3E8C78685613}"/>
  <tableColumns count="9">
    <tableColumn id="1" xr3:uid="{AC0B3974-6C3A-4793-AC8E-4546F2F1D3E4}" name="TP NO " dataDxfId="642"/>
    <tableColumn id="4" xr3:uid="{715361BC-2B45-4062-842C-9F0E0E937931}" name="LORRY NO" dataDxfId="641"/>
    <tableColumn id="2" xr3:uid="{9D65D62C-08B1-4DF6-A755-D7F675F4261D}" name="TP DATE" dataDxfId="640"/>
    <tableColumn id="3" xr3:uid="{26FFA5BA-C0AA-49C2-A3E5-9F6E3F8A6B54}" name="TRIP NO" dataDxfId="639"/>
    <tableColumn id="5" xr3:uid="{37971E19-4429-4C75-B2D2-1C0CFDD1A73E}" name="TOTAL BOX" dataDxfId="638"/>
    <tableColumn id="6" xr3:uid="{EC5B7738-918C-46CD-892B-217CEA906E3F}" name="TOTAL BOX MATCHING" dataDxfId="637">
      <calculatedColumnFormula>IF(SUM(E6:E14)=RTN_223[[#This Row],[TOTAL BOX]],"MATCHING TOTAL BOX","NOT MATCHING ")</calculatedColumnFormula>
    </tableColumn>
    <tableColumn id="7" xr3:uid="{FFA127F8-4AD6-4224-A365-11720D4354C3}" name="PURCHASE" dataDxfId="636"/>
    <tableColumn id="8" xr3:uid="{BE20BA0F-57F6-4DC1-BAA3-91082125B4F2}" name="RENT" dataDxfId="635"/>
    <tableColumn id="9" xr3:uid="{C7DA7F8D-F587-4011-8EDD-9500ECAA061C}" name="LINE" dataDxfId="634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41C751B-1B35-49D6-AC3D-EDE3480CC3A1}" name="R_23" displayName="R_23" ref="B5:H15" totalsRowCount="1" headerRowDxfId="633" dataDxfId="632" totalsRowDxfId="631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DBAD9E66-5921-4E60-8BAF-F44236E45B46}" name="DATE" totalsRowLabel="Total" dataDxfId="630" totalsRowDxfId="629"/>
    <tableColumn id="2" xr3:uid="{0DEEA618-249F-4695-99E0-4EA6E35D6C9A}" name="PARTY NAME" dataDxfId="628" totalsRowDxfId="627"/>
    <tableColumn id="7" xr3:uid="{7D638046-06C5-4230-AE06-C405F1282B54}" name="NICK NAME" dataDxfId="626" totalsRowDxfId="625"/>
    <tableColumn id="3" xr3:uid="{9897363C-8744-4439-A7F3-428125EA27DA}" name="BOX" totalsRowFunction="custom" dataDxfId="624" totalsRowDxfId="623">
      <totalsRowFormula>SUM(R_23[BOX])</totalsRowFormula>
    </tableColumn>
    <tableColumn id="4" xr3:uid="{2B7090F4-E777-42B5-B162-E5AFED972257}" name="ADVANCE" dataDxfId="622" totalsRowDxfId="621"/>
    <tableColumn id="5" xr3:uid="{35B6C33D-1872-4FA3-A442-2CC9C18F2348}" name="ADV NO" dataDxfId="620" totalsRowDxfId="619"/>
    <tableColumn id="6" xr3:uid="{495F83D9-8FEB-4EED-ADD4-C5D0711C6F67}" name="AMOUNT" totalsRowFunction="sum" dataDxfId="618" totalsRowDxfId="617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F8AD479-43BF-410D-9024-CC88E48251BD}" name="RTN_224" displayName="RTN_224" ref="B2:J4" totalsRowShown="0" headerRowDxfId="616" dataDxfId="615">
  <autoFilter ref="B2:J4" xr:uid="{BFD13A6F-577B-4F1B-BC0A-3E8C78685613}"/>
  <tableColumns count="9">
    <tableColumn id="1" xr3:uid="{550B1518-9F35-4852-9914-718823F5AD39}" name="TP NO " dataDxfId="614"/>
    <tableColumn id="4" xr3:uid="{058D769C-5504-444A-903A-0D833080C4B1}" name="LORRY NO" dataDxfId="613"/>
    <tableColumn id="2" xr3:uid="{3B65ED0F-FA49-4FC8-85AB-D0F82D42C94B}" name="TP DATE" dataDxfId="612"/>
    <tableColumn id="3" xr3:uid="{8BE97A88-7FBC-4006-9876-6165D2D1B155}" name="TRIP NO" dataDxfId="611"/>
    <tableColumn id="5" xr3:uid="{D000AD1D-EC8C-42D1-8F37-448E894F224E}" name="TOTAL BOX" dataDxfId="610"/>
    <tableColumn id="6" xr3:uid="{10F373E4-C995-4AEA-A23A-7258F9136F07}" name="TOTAL BOX MATCHING" dataDxfId="609">
      <calculatedColumnFormula>IF(SUM(E6:E14)=RTN_224[[#This Row],[TOTAL BOX]],"MATCHING TOTAL BOX","NOT MATCHING ")</calculatedColumnFormula>
    </tableColumn>
    <tableColumn id="7" xr3:uid="{3EF3148A-F08A-4336-8072-756FDE776A68}" name="PURCHASE " dataDxfId="608"/>
    <tableColumn id="8" xr3:uid="{1FB3B58F-821B-484E-96B6-AA8BC6387C26}" name="RENT" dataDxfId="607"/>
    <tableColumn id="9" xr3:uid="{CAF741E6-FEF1-4619-9A03-CE5361081313}" name="LINE" dataDxfId="606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998ED1F-366D-4940-A732-9C1309FB7D3F}" name="R_24" displayName="R_24" ref="B5:H15" totalsRowCount="1" headerRowDxfId="605" dataDxfId="604" totalsRowDxfId="603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00D61882-6E2F-43CA-B3EB-86B769550FB6}" name="DATE" totalsRowLabel="Total" dataDxfId="602" totalsRowDxfId="601"/>
    <tableColumn id="2" xr3:uid="{5CDF8370-9740-4E84-BEE8-8099D88DF3DA}" name="PARTY NAME" dataDxfId="600" totalsRowDxfId="599"/>
    <tableColumn id="7" xr3:uid="{D74938C0-9895-4029-8D91-618B17D4D6E3}" name="NICK NAME" dataDxfId="598" totalsRowDxfId="597"/>
    <tableColumn id="3" xr3:uid="{8E57EC68-7D51-45CE-8125-CE670F9A2601}" name="BOX" totalsRowFunction="custom" dataDxfId="596" totalsRowDxfId="595">
      <totalsRowFormula>SUM(R_24[BOX])</totalsRowFormula>
    </tableColumn>
    <tableColumn id="4" xr3:uid="{7FD56026-A9CB-4910-B191-01E812830A94}" name="ADVANCE" dataDxfId="594" totalsRowDxfId="593"/>
    <tableColumn id="5" xr3:uid="{C70EE313-1EA5-4683-9C29-0AAE94AA5F54}" name="ADV NO" dataDxfId="592" totalsRowDxfId="591"/>
    <tableColumn id="6" xr3:uid="{2BBE038E-95D8-4970-8802-FD6DF4E9D69D}" name="AMOUNT" totalsRowFunction="sum" dataDxfId="590" totalsRowDxfId="589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951837E0-BC1D-4165-8432-52A3281F9998}" name="RTN_225" displayName="RTN_225" ref="B2:J4" totalsRowShown="0" headerRowDxfId="588" dataDxfId="587">
  <autoFilter ref="B2:J4" xr:uid="{BFD13A6F-577B-4F1B-BC0A-3E8C78685613}"/>
  <tableColumns count="9">
    <tableColumn id="1" xr3:uid="{3EE28FE2-0676-4B97-8F71-2C06C8BED2CE}" name="TP NO " dataDxfId="586"/>
    <tableColumn id="4" xr3:uid="{8C641A40-3310-4774-AAF4-C99B9C28D52F}" name="LORRY NO" dataDxfId="585"/>
    <tableColumn id="2" xr3:uid="{7B64EEE6-0BC7-4D69-97AE-8AD29A7A999D}" name="TP DATE" dataDxfId="584"/>
    <tableColumn id="3" xr3:uid="{25CD4423-7D36-4304-A73B-15AAF3816E4A}" name="TRIP NO" dataDxfId="583"/>
    <tableColumn id="5" xr3:uid="{F29CCEAA-232B-47B1-90D0-0EC2313C5A17}" name="TOTAL BOX" dataDxfId="582"/>
    <tableColumn id="6" xr3:uid="{180B29E6-CD76-4E64-9D3A-4485E7403E1D}" name="TOTAL BOX MATCHING" dataDxfId="581">
      <calculatedColumnFormula>IF(SUM(E6:E14)=RTN_225[[#This Row],[TOTAL BOX]],"MATCHING TOTAL BOX","NOT MATCHING ")</calculatedColumnFormula>
    </tableColumn>
    <tableColumn id="7" xr3:uid="{BD123243-860B-4198-A64E-35F9C7871B9C}" name="PURCHASE" dataDxfId="580"/>
    <tableColumn id="8" xr3:uid="{530AAE6C-F1D6-4E02-8AFE-DE1CF776E6A5}" name="RENT" dataDxfId="579"/>
    <tableColumn id="9" xr3:uid="{704A4C63-982D-4CBD-B3F8-3CBC8E3B6D48}" name="LINE" dataDxfId="578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299412F-7948-4A85-B771-191124FB641F}" name="R_25" displayName="R_25" ref="B5:H15" totalsRowCount="1" headerRowDxfId="577" dataDxfId="576" totalsRowDxfId="575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4111B88F-B6D1-4FDA-864E-20645FA3732B}" name="DATE" totalsRowLabel="Total" dataDxfId="574" totalsRowDxfId="573"/>
    <tableColumn id="2" xr3:uid="{C7131955-01E0-4D6C-B13B-EB078D84E52C}" name="PARTY NAME" dataDxfId="572" totalsRowDxfId="571"/>
    <tableColumn id="7" xr3:uid="{93E8C157-8971-47A8-8E08-FBE763966ED2}" name="NICK NAME" dataDxfId="570" totalsRowDxfId="569"/>
    <tableColumn id="3" xr3:uid="{B2DE7AD8-F28C-4E51-A96F-0634F1A42DBB}" name="BOX" totalsRowFunction="custom" dataDxfId="568" totalsRowDxfId="567">
      <totalsRowFormula>SUM(R_25[BOX])</totalsRowFormula>
    </tableColumn>
    <tableColumn id="4" xr3:uid="{67951111-5527-4BB9-B9CF-E9DBDB586A4F}" name="ADVANCE" dataDxfId="566" totalsRowDxfId="565"/>
    <tableColumn id="5" xr3:uid="{8CD3BD2F-FFB4-44CF-B9D2-429189A1A8D0}" name="ADV NO" dataDxfId="564" totalsRowDxfId="563"/>
    <tableColumn id="6" xr3:uid="{43382B6E-E766-40C5-815F-87A81C7869D5}" name="AMOUNT" totalsRowFunction="sum" dataDxfId="562" totalsRowDxfId="561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779D5E5D-62F6-42A4-8884-EB2752BE2FF9}" name="RTN_226" displayName="RTN_226" ref="B2:J4" totalsRowShown="0" headerRowDxfId="560" dataDxfId="559">
  <autoFilter ref="B2:J4" xr:uid="{BFD13A6F-577B-4F1B-BC0A-3E8C78685613}"/>
  <tableColumns count="9">
    <tableColumn id="1" xr3:uid="{DC8919BB-B6FC-453F-AA5C-A9773702513A}" name="TP NO " dataDxfId="558"/>
    <tableColumn id="4" xr3:uid="{71FA30C9-49E6-4FC3-AD5D-E9001F61B0D1}" name="LORRY NO" dataDxfId="557"/>
    <tableColumn id="2" xr3:uid="{2581E25E-5C4D-4BC5-A71C-299D996AE7AF}" name="TP DATE" dataDxfId="556"/>
    <tableColumn id="3" xr3:uid="{363D97B3-97AF-421C-B8E1-32E137B151D5}" name="TRIP NO" dataDxfId="555"/>
    <tableColumn id="5" xr3:uid="{464CBC68-F175-42A5-B3CE-7137F546384A}" name="TOTAL BOX" dataDxfId="554"/>
    <tableColumn id="6" xr3:uid="{E3F9ABB1-9B36-472B-8CB8-0655B3FF886B}" name="TOTAL BOX MATCHING" dataDxfId="553">
      <calculatedColumnFormula>IF(SUM(E6:E14)=RTN_226[[#This Row],[TOTAL BOX]],"MATCHING TOTAL BOX","NOT MATCHING ")</calculatedColumnFormula>
    </tableColumn>
    <tableColumn id="7" xr3:uid="{51408EC1-A38B-4912-8233-267EAFA93F77}" name="PURCHASE" dataDxfId="552"/>
    <tableColumn id="8" xr3:uid="{8CAAA46D-9858-4A55-84C0-C7B90C80B912}" name="RENT" dataDxfId="551"/>
    <tableColumn id="9" xr3:uid="{6AF8495A-7818-4993-BA1F-2981BB8DEF97}" name="LINE" dataDxfId="550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788EEC1-9D95-4571-BE22-9CA0695C0E56}" name="R_26" displayName="R_26" ref="B5:H15" totalsRowCount="1" headerRowDxfId="549" dataDxfId="548" totalsRowDxfId="547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D94F5ACF-CA8B-46A6-B3EF-9F0E98D642EB}" name="DATE" totalsRowLabel="Total" dataDxfId="546" totalsRowDxfId="545"/>
    <tableColumn id="2" xr3:uid="{BCF333CA-E418-47FC-996D-2911A2A6BC1D}" name="PARTY NAME" dataDxfId="544" totalsRowDxfId="543"/>
    <tableColumn id="7" xr3:uid="{F509AFC0-C1CB-44ED-9027-30568CDA6D6B}" name="NICK NAME" dataDxfId="542" totalsRowDxfId="541"/>
    <tableColumn id="3" xr3:uid="{2D057D6A-0CA8-4CED-A3CB-CE745D1CAB20}" name="BOX" totalsRowFunction="custom" dataDxfId="540" totalsRowDxfId="539">
      <totalsRowFormula>SUM(R_26[BOX])</totalsRowFormula>
    </tableColumn>
    <tableColumn id="4" xr3:uid="{B8F34B2C-B927-404B-9DE0-E9D40977336B}" name="ADVANCE" dataDxfId="538" totalsRowDxfId="537"/>
    <tableColumn id="5" xr3:uid="{40B8AE63-9F6F-4928-B3C7-8714BAD18F41}" name="ADV NO" dataDxfId="536" totalsRowDxfId="535"/>
    <tableColumn id="6" xr3:uid="{F2A47FB3-B971-4158-8A23-CA71100DCE58}" name="AMOUNT" totalsRowFunction="sum" dataDxfId="534" totalsRowDxfId="533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E5027A2-B8B6-47FD-A085-413259A7701E}" name="RTN_27" displayName="RTN_27" ref="B2:J4" totalsRowShown="0" headerRowDxfId="532" dataDxfId="531">
  <autoFilter ref="B2:J4" xr:uid="{BFD13A6F-577B-4F1B-BC0A-3E8C78685613}"/>
  <tableColumns count="9">
    <tableColumn id="1" xr3:uid="{D3A1CAE9-44A2-4D0F-9ECF-E9A601B62F12}" name="TP NO " dataDxfId="530"/>
    <tableColumn id="4" xr3:uid="{DE5C6F7C-8651-4210-A469-C0D79BE06066}" name="LORRY NO" dataDxfId="529"/>
    <tableColumn id="2" xr3:uid="{C86E9CDD-4E9F-47FB-BBA9-FC5D70A1EB75}" name="TP DATE" dataDxfId="528"/>
    <tableColumn id="3" xr3:uid="{F2ABE309-DD61-4D03-8535-2F52B28FE841}" name="TRIP NO" dataDxfId="527"/>
    <tableColumn id="5" xr3:uid="{8BC0BDAA-085A-4F0C-A945-9D1A62CA67D6}" name="TOTAL BOX" dataDxfId="526"/>
    <tableColumn id="6" xr3:uid="{412B991B-FF49-42A5-A600-5D9D95789696}" name="TOTAL BOX MATCHING" dataDxfId="525">
      <calculatedColumnFormula>IF(SUM(E6:E14)=RTN_27[[#This Row],[TOTAL BOX]],"MATCHING TOTAL BOX","NOT MATCHING ")</calculatedColumnFormula>
    </tableColumn>
    <tableColumn id="7" xr3:uid="{8AFA3763-2DB1-4BF5-8E90-90920EF0921B}" name="PURCHASE " dataDxfId="524"/>
    <tableColumn id="8" xr3:uid="{232CB150-7E64-4834-9714-7DA582D4BDA1}" name="RENT" dataDxfId="523"/>
    <tableColumn id="9" xr3:uid="{CCE10758-9E74-45E1-8423-4F1D7B0CF524}" name="LINE" dataDxfId="52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38A215-EB4C-41B0-B0A8-384A97AD3E6F}" name="R_03" displayName="R_03" ref="B5:H13" totalsRowCount="1" headerRowDxfId="1161">
  <autoFilter ref="B5:H12" xr:uid="{EE38A215-EB4C-41B0-B0A8-384A97AD3E6F}"/>
  <tableColumns count="7">
    <tableColumn id="1" xr3:uid="{112D2474-0E99-43D9-880B-DFB525D1D9D5}" name="DATE" totalsRowLabel="Total" dataDxfId="1160"/>
    <tableColumn id="2" xr3:uid="{413604F5-2902-4001-BEBB-F04EF970F224}" name="PARTY NAME"/>
    <tableColumn id="7" xr3:uid="{0B09B2F4-6B70-4C09-A1ED-13D9B02399BD}" name="NICK NAME"/>
    <tableColumn id="3" xr3:uid="{47FA50FA-3E27-4FA8-B74A-21E404DF4033}" name="BOX" totalsRowFunction="custom" dataDxfId="1159" totalsRowDxfId="1158">
      <totalsRowFormula>SUM(R_03[BOX])</totalsRowFormula>
    </tableColumn>
    <tableColumn id="4" xr3:uid="{AC0F35D0-9EB5-4C93-B379-AFDB7A397D09}" name="ADVANCE" dataDxfId="1157"/>
    <tableColumn id="5" xr3:uid="{113A3C41-2AD1-47E5-A2F0-B1D14E5C1B10}" name="ADV NO" dataDxfId="1156"/>
    <tableColumn id="6" xr3:uid="{45D2808B-C33E-4A4B-A25C-2F4AD32258C4}" name="AMOUNT" totalsRowFunction="sum" dataDxfId="115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1162255-A7B2-455E-8157-BC761DA82B64}" name="R_27" displayName="R_27" ref="B5:H15" totalsRowCount="1" headerRowDxfId="521" dataDxfId="520" totalsRowDxfId="519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60924269-EBAC-43BB-8F75-81E12B75CE3D}" name="DATE" totalsRowLabel="Total" dataDxfId="518" totalsRowDxfId="517"/>
    <tableColumn id="2" xr3:uid="{2D6D353D-E106-44D7-98B2-644576AC7AC7}" name="PARTY NAME" dataDxfId="516" totalsRowDxfId="515"/>
    <tableColumn id="7" xr3:uid="{96DA7B60-B988-475C-8745-F4ACBB0C3C3E}" name="NICK NAME" dataDxfId="514" totalsRowDxfId="513"/>
    <tableColumn id="3" xr3:uid="{2EF203B0-B7CB-4B38-88F7-B23A37924FD6}" name="BOX" totalsRowFunction="custom" dataDxfId="512" totalsRowDxfId="511">
      <totalsRowFormula>SUM(R_27[BOX])</totalsRowFormula>
    </tableColumn>
    <tableColumn id="4" xr3:uid="{D26BB52F-0C29-4C4C-8767-507526B5D484}" name="ADVANCE" dataDxfId="510" totalsRowDxfId="509"/>
    <tableColumn id="5" xr3:uid="{780B8C73-AD9C-42C5-B1E5-708CB39E9AB9}" name="ADV NO" dataDxfId="508" totalsRowDxfId="507"/>
    <tableColumn id="6" xr3:uid="{D69E90A6-F25A-4DA1-8B96-E9CED6CF690E}" name="AMOUNT" totalsRowFunction="sum" dataDxfId="506" totalsRowDxfId="505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E301DDB6-02DA-4A55-95EF-5D54233E8859}" name="RTN_228" displayName="RTN_228" ref="B2:J4" totalsRowShown="0" headerRowDxfId="504" dataDxfId="503">
  <autoFilter ref="B2:J4" xr:uid="{BFD13A6F-577B-4F1B-BC0A-3E8C78685613}"/>
  <tableColumns count="9">
    <tableColumn id="1" xr3:uid="{32FF76C4-2464-42B4-9A85-05F30692048C}" name="TP NO " dataDxfId="502"/>
    <tableColumn id="4" xr3:uid="{EB7DCBAC-DB6E-48EA-8C7B-E4F2352C3D34}" name="LORRY NO" dataDxfId="501"/>
    <tableColumn id="2" xr3:uid="{18B44D7C-E325-44BB-A6A6-55BB9AF18B05}" name="TP DATE" dataDxfId="500"/>
    <tableColumn id="3" xr3:uid="{A5622C07-1272-438E-94F5-BB181863F123}" name="TRIP NO" dataDxfId="499"/>
    <tableColumn id="5" xr3:uid="{FFC1F5AE-9706-4E97-A867-E61257B6FC24}" name="TOTAL BOX" dataDxfId="498"/>
    <tableColumn id="6" xr3:uid="{02007053-0F8C-496A-895D-0286C46BF139}" name="TOTAL BOX MATCHING" dataDxfId="497">
      <calculatedColumnFormula>IF(SUM(E6:E14)=RTN_228[[#This Row],[TOTAL BOX]],"MATCHING TOTAL BOX","NOT MATCHING ")</calculatedColumnFormula>
    </tableColumn>
    <tableColumn id="7" xr3:uid="{0291C17D-DC5D-4BE2-8A03-1ADD002CE763}" name="PURCHASE" dataDxfId="496"/>
    <tableColumn id="8" xr3:uid="{E2CBDC10-8B66-4213-993C-62CC05B049ED}" name="RENT" dataDxfId="495"/>
    <tableColumn id="9" xr3:uid="{43C7460D-553F-4F96-B53A-CB7D2B46B00C}" name="LINE" dataDxfId="494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423F374-9960-49FB-BAC5-6001994B67C8}" name="R_28" displayName="R_28" ref="B5:H15" totalsRowCount="1" headerRowDxfId="493" dataDxfId="492" totalsRowDxfId="491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B62C1264-2542-4B1E-883A-BD4DAC93A783}" name="DATE" totalsRowLabel="Total" dataDxfId="490" totalsRowDxfId="489"/>
    <tableColumn id="2" xr3:uid="{F4311B93-82B3-4298-A83C-019A57297FAC}" name="PARTY NAME" dataDxfId="488" totalsRowDxfId="487"/>
    <tableColumn id="7" xr3:uid="{A9A45023-D836-44EE-A243-7BCA6406C405}" name="NICK NAME" dataDxfId="486" totalsRowDxfId="485"/>
    <tableColumn id="3" xr3:uid="{64706A54-1922-4D57-91AB-EF05A60A9230}" name="BOX" totalsRowFunction="custom" dataDxfId="484" totalsRowDxfId="483">
      <totalsRowFormula>SUM(R_28[BOX])</totalsRowFormula>
    </tableColumn>
    <tableColumn id="4" xr3:uid="{83DCB91A-0BD3-4812-A679-81C04467F20F}" name="ADVANCE" dataDxfId="482" totalsRowDxfId="481"/>
    <tableColumn id="5" xr3:uid="{BB174BDF-3FDB-43BC-BDEA-B24A324AED1D}" name="ADV NO" dataDxfId="480" totalsRowDxfId="479"/>
    <tableColumn id="6" xr3:uid="{8E00F2D2-797C-481D-ABCA-B59FF0B4B253}" name="AMOUNT" totalsRowFunction="sum" dataDxfId="478" totalsRowDxfId="477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D96EB6DA-D6F1-4651-9F9E-9434482FF13E}" name="RTN_229" displayName="RTN_229" ref="B2:J4" totalsRowShown="0" headerRowDxfId="476" dataDxfId="475">
  <autoFilter ref="B2:J4" xr:uid="{BFD13A6F-577B-4F1B-BC0A-3E8C78685613}"/>
  <tableColumns count="9">
    <tableColumn id="1" xr3:uid="{DAEFC327-8440-41D0-81E5-C39F58D6E871}" name="TP NO " dataDxfId="474"/>
    <tableColumn id="4" xr3:uid="{4D2B5075-EB6C-4FDF-9DED-60F5595D83FE}" name="LORRY NO" dataDxfId="473"/>
    <tableColumn id="2" xr3:uid="{52AAC123-4E7E-4006-9300-4EF041FF7D88}" name="TP DATE" dataDxfId="472"/>
    <tableColumn id="3" xr3:uid="{891AF076-CFCD-42ED-98F6-A8EBDFC98959}" name="TRIP NO" dataDxfId="471"/>
    <tableColumn id="5" xr3:uid="{175A391A-56F1-4068-9939-24BB7DAFE921}" name="TOTAL BOX" dataDxfId="470"/>
    <tableColumn id="6" xr3:uid="{3C913795-087D-4DBA-96E8-AAA262C7BBF3}" name="TOTAL BOX MATCHING" dataDxfId="469">
      <calculatedColumnFormula>IF(SUM(E6:E14)=RTN_229[[#This Row],[TOTAL BOX]],"MATCHING TOTAL BOX","NOT MATCHING ")</calculatedColumnFormula>
    </tableColumn>
    <tableColumn id="7" xr3:uid="{31AB5A53-EA0F-474C-B725-7BA1A0898E75}" name="PURCHASE" dataDxfId="468"/>
    <tableColumn id="8" xr3:uid="{53CD4773-9F0C-4126-81BD-B3C414CE0C3E}" name="RENT" dataDxfId="467"/>
    <tableColumn id="9" xr3:uid="{6D5BF73B-F72C-4839-B9D5-3916AC958479}" name="LINE" dataDxfId="466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6AA638B7-EA8A-447D-9E5F-C5933723725D}" name="R_29" displayName="R_29" ref="B5:H15" totalsRowCount="1" headerRowDxfId="465" dataDxfId="464" totalsRowDxfId="463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7D3135B0-5BD8-4DA3-AF52-6C235FE031A8}" name="DATE" totalsRowLabel="Total" dataDxfId="462" totalsRowDxfId="461"/>
    <tableColumn id="2" xr3:uid="{2D95210D-F2F8-48F3-89FB-C7A38A3F7A0D}" name="PARTY NAME" dataDxfId="460" totalsRowDxfId="459"/>
    <tableColumn id="7" xr3:uid="{B25EFFEF-553C-4639-9B6C-535629E44A1F}" name="NICK NAME" dataDxfId="458" totalsRowDxfId="457"/>
    <tableColumn id="3" xr3:uid="{10A2FFC5-18B9-4361-8E7D-6B593451D3DC}" name="BOX" totalsRowFunction="custom" dataDxfId="456" totalsRowDxfId="455">
      <totalsRowFormula>SUM(R_29[BOX])</totalsRowFormula>
    </tableColumn>
    <tableColumn id="4" xr3:uid="{BD72DAAB-7E79-4A90-95C7-40B5D9FFACC0}" name="ADVANCE" dataDxfId="454" totalsRowDxfId="453"/>
    <tableColumn id="5" xr3:uid="{50C1ED02-E176-4D70-96FF-AAADDEAA80F1}" name="ADV NO" dataDxfId="452" totalsRowDxfId="451"/>
    <tableColumn id="6" xr3:uid="{5EACAE77-32FF-40F5-8454-86B3CDDE173C}" name="AMOUNT" totalsRowFunction="sum" dataDxfId="450" totalsRowDxfId="449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EE7E449-00C4-4EDE-986D-FABA8DB1673D}" name="RTN_230" displayName="RTN_230" ref="B2:J4" totalsRowShown="0" headerRowDxfId="448" dataDxfId="447">
  <autoFilter ref="B2:J4" xr:uid="{BFD13A6F-577B-4F1B-BC0A-3E8C78685613}"/>
  <tableColumns count="9">
    <tableColumn id="1" xr3:uid="{AC9207D3-34B2-4D88-9DEB-A6B2CC9A30AE}" name="TP NO " dataDxfId="446"/>
    <tableColumn id="4" xr3:uid="{DC11296A-CC5F-463C-A676-628924FFBEFF}" name="LORRY NO" dataDxfId="445"/>
    <tableColumn id="2" xr3:uid="{78E3AF6D-2211-4594-B498-34838BC5C9A8}" name="TP DATE" dataDxfId="444"/>
    <tableColumn id="3" xr3:uid="{0326713F-402C-42BC-9E29-CAB9A9924E57}" name="TRIP NO" dataDxfId="443"/>
    <tableColumn id="5" xr3:uid="{CCE430AA-5808-4AD2-80FF-5D9DD98FDDB8}" name="TOTAL BOX" dataDxfId="442"/>
    <tableColumn id="6" xr3:uid="{158D911D-3360-4A60-96E6-818871FC1A90}" name="TOTAL BOX MATCHING" dataDxfId="441">
      <calculatedColumnFormula>IF(SUM(E6:E14)=RTN_230[[#This Row],[TOTAL BOX]],"MATCHING TOTAL BOX","NOT MATCHING ")</calculatedColumnFormula>
    </tableColumn>
    <tableColumn id="7" xr3:uid="{766827B0-060D-461D-A3B2-63092E304539}" name="PURCHASE" dataDxfId="440"/>
    <tableColumn id="8" xr3:uid="{D129FD14-4265-454B-AE88-9013EC2E82F7}" name="RENT" dataDxfId="439"/>
    <tableColumn id="9" xr3:uid="{74A5E384-61E6-4E14-8DDE-0774059A1769}" name="LINE" dataDxfId="438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4D969B96-F10C-4BF4-B400-A7FAD764251E}" name="R_30" displayName="R_30" ref="B5:H15" totalsRowCount="1" headerRowDxfId="437" dataDxfId="436" totalsRowDxfId="435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6DB4A548-4B0C-4C09-B24D-914A30014F3D}" name="DATE" totalsRowLabel="Total" dataDxfId="434" totalsRowDxfId="433"/>
    <tableColumn id="2" xr3:uid="{3C2F6BB7-003A-481A-8563-61C2332A4086}" name="PARTY NAME" dataDxfId="432" totalsRowDxfId="431"/>
    <tableColumn id="7" xr3:uid="{83589639-E25D-4D30-9D87-BDDBC0B65603}" name="NICK NAME" dataDxfId="430" totalsRowDxfId="429"/>
    <tableColumn id="3" xr3:uid="{5365B8DB-91DB-4B87-9109-D94947CBDE8D}" name="BOX" totalsRowFunction="custom" dataDxfId="428" totalsRowDxfId="427">
      <totalsRowFormula>SUM(R_30[BOX])</totalsRowFormula>
    </tableColumn>
    <tableColumn id="4" xr3:uid="{121F0A6B-BFF7-4AA0-99D8-8AE8AF81E3CF}" name="ADVANCE" dataDxfId="426" totalsRowDxfId="425"/>
    <tableColumn id="5" xr3:uid="{4DB83CCE-0BC6-4F7E-8FCC-3A43D2D17D3D}" name="ADV NO" dataDxfId="424" totalsRowDxfId="423"/>
    <tableColumn id="6" xr3:uid="{2BB813D6-A63F-4F5C-94E9-7C5ABB9088DA}" name="AMOUNT" totalsRowFunction="sum" dataDxfId="422" totalsRowDxfId="421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25B736B5-997D-46B9-8107-443BC09AD26D}" name="RTN_231" displayName="RTN_231" ref="B2:J4" totalsRowShown="0" headerRowDxfId="420" dataDxfId="419">
  <autoFilter ref="B2:J4" xr:uid="{BFD13A6F-577B-4F1B-BC0A-3E8C78685613}"/>
  <tableColumns count="9">
    <tableColumn id="1" xr3:uid="{FC622245-1E26-451B-B17D-CACEB2BE7654}" name="TP NO " dataDxfId="418"/>
    <tableColumn id="4" xr3:uid="{1800AE2E-F204-4AC0-8888-DE57C4652A31}" name="LORRY NO" dataDxfId="417"/>
    <tableColumn id="2" xr3:uid="{4FF8883D-81B0-4E6C-8672-D6CF7F1E5F68}" name="TP DATE" dataDxfId="416"/>
    <tableColumn id="3" xr3:uid="{410495AB-D61F-4875-9313-425F49B8E2F4}" name="TRIP NO" dataDxfId="415"/>
    <tableColumn id="5" xr3:uid="{DC44A840-F21E-4ACB-8973-CAE27011F0FA}" name="TOTAL BOX" dataDxfId="414"/>
    <tableColumn id="6" xr3:uid="{7DB3DC69-6917-4473-A767-B12B998647DF}" name="TOTAL BOX MATCHING" dataDxfId="413">
      <calculatedColumnFormula>IF(SUM(E6:E14)=RTN_231[[#This Row],[TOTAL BOX]],"MATCHING TOTAL BOX","NOT MATCHING ")</calculatedColumnFormula>
    </tableColumn>
    <tableColumn id="7" xr3:uid="{6B1332F1-5E0C-4DFC-9799-559E1FB8A380}" name="PURCHASE " dataDxfId="412"/>
    <tableColumn id="8" xr3:uid="{4CD10075-4A8A-4DC9-9232-D1842B55484E}" name="RENT" dataDxfId="411"/>
    <tableColumn id="9" xr3:uid="{8C7256DE-9072-4BB5-878F-B31B1504D515}" name="LINE" dataDxfId="410"/>
  </tableColumns>
  <tableStyleInfo name="TableStyleMedium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7B9A2AE7-25B5-40A0-B86A-06F1490890F7}" name="R_31" displayName="R_31" ref="B5:H15" totalsRowCount="1" headerRowDxfId="409" dataDxfId="408" totalsRowDxfId="407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65451051-50C6-4ABE-BE90-37330FFAF43E}" name="DATE" totalsRowLabel="Total" dataDxfId="406" totalsRowDxfId="405"/>
    <tableColumn id="2" xr3:uid="{68057427-A4DA-47B1-B113-F64431662422}" name="PARTY NAME" dataDxfId="404" totalsRowDxfId="403"/>
    <tableColumn id="7" xr3:uid="{24938DB8-9677-4F95-8025-8EC79801D621}" name="NICK NAME" dataDxfId="402" totalsRowDxfId="401"/>
    <tableColumn id="3" xr3:uid="{32221D60-629E-4046-A570-207FB785CDDE}" name="BOX" totalsRowFunction="custom" dataDxfId="400" totalsRowDxfId="399">
      <totalsRowFormula>SUM(R_31[BOX])</totalsRowFormula>
    </tableColumn>
    <tableColumn id="4" xr3:uid="{A6213798-278B-4068-B531-DE53C80BE25E}" name="ADVANCE" dataDxfId="398" totalsRowDxfId="397"/>
    <tableColumn id="5" xr3:uid="{98BAE3B6-0238-4879-B77D-97C3D11FC533}" name="ADV NO" dataDxfId="396" totalsRowDxfId="395"/>
    <tableColumn id="6" xr3:uid="{E2003CE0-31DF-49F3-AA82-CB098ABA162A}" name="AMOUNT" totalsRowFunction="sum" dataDxfId="394" totalsRowDxfId="39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46964152-0272-4226-9817-75427361137C}" name="RTN_232" displayName="RTN_232" ref="B2:J4" totalsRowShown="0" headerRowDxfId="392" dataDxfId="391">
  <autoFilter ref="B2:J4" xr:uid="{BFD13A6F-577B-4F1B-BC0A-3E8C78685613}"/>
  <tableColumns count="9">
    <tableColumn id="1" xr3:uid="{5E246AF5-DAC4-4277-B40C-66D9D3E42626}" name="TP NO " dataDxfId="390"/>
    <tableColumn id="4" xr3:uid="{F92FF5E9-51B6-4514-956F-3424DE5AD830}" name="LORRY NO" dataDxfId="389"/>
    <tableColumn id="2" xr3:uid="{6A817FDB-D86A-4D79-944E-D7F83842194A}" name="TP DATE" dataDxfId="388"/>
    <tableColumn id="3" xr3:uid="{397C6C49-DF81-4AE5-91FB-B7EC75F29757}" name="TRIP NO" dataDxfId="387"/>
    <tableColumn id="5" xr3:uid="{224C0A4F-0151-4ED7-8F85-5FC0A0D0DAD7}" name="TOTAL BOX" dataDxfId="386"/>
    <tableColumn id="6" xr3:uid="{3012B4E8-906D-47B2-B2A7-3B8B33229FB6}" name="TOTAL BOX MATCHING" dataDxfId="385">
      <calculatedColumnFormula>IF(SUM(E6:E14)=RTN_232[[#This Row],[TOTAL BOX]],"MATCHING TOTAL BOX","NOT MATCHING ")</calculatedColumnFormula>
    </tableColumn>
    <tableColumn id="7" xr3:uid="{8C088DDB-911E-4CD0-BC8D-38AA5AE10875}" name="PURCHASE" dataDxfId="384"/>
    <tableColumn id="8" xr3:uid="{D1B739CE-976E-498B-88D1-CD517E4A1430}" name="RENT" dataDxfId="383"/>
    <tableColumn id="9" xr3:uid="{61E1E0F7-9CFD-403D-A93B-36CC9ABBC5A3}" name="LINE" dataDxfId="38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1CDBAA-11A3-43CC-982A-6A26B80B747B}" name="AL_101" displayName="AL_101" ref="B3:J5" totalsRowShown="0" headerRowDxfId="1154" dataDxfId="1153">
  <autoFilter ref="B3:J5" xr:uid="{441CDBAA-11A3-43CC-982A-6A26B80B747B}"/>
  <tableColumns count="9">
    <tableColumn id="1" xr3:uid="{D6EDF2A9-4DBC-4BB6-BD44-8A2042CD993E}" name="TP NO " dataDxfId="1152"/>
    <tableColumn id="4" xr3:uid="{B9890FC9-698D-40FC-897C-E2DCFE01B1F8}" name="LORRY NO" dataDxfId="1151"/>
    <tableColumn id="2" xr3:uid="{5B15C1E3-0647-4940-89E8-C10C736FBC33}" name="TP DATE" dataDxfId="1150"/>
    <tableColumn id="3" xr3:uid="{23E4F540-2CEE-4884-A33A-C4BE656C261E}" name="TRIP NO" dataDxfId="1149"/>
    <tableColumn id="5" xr3:uid="{6935AD7B-AE1F-4073-B4A5-16AB52827ACF}" name="TOTAL BOX" dataDxfId="1148"/>
    <tableColumn id="6" xr3:uid="{B776BF1C-C716-4FEB-A1F9-C463935B0089}" name="TOTAL BOX MATCHING" dataDxfId="1147">
      <calculatedColumnFormula>IF(SUM(E7:E19)=AL_101[[#This Row],[TOTAL BOX]],"MATCHING TOTAL BOX","NOT MATCHING ")</calculatedColumnFormula>
    </tableColumn>
    <tableColumn id="7" xr3:uid="{34EE2045-13A5-4135-85DB-1064A7C8B2E8}" name="PURCHASE" dataDxfId="1146"/>
    <tableColumn id="8" xr3:uid="{885C9A58-E420-4DD0-AF32-0F922141B990}" name="RENT" dataDxfId="1145"/>
    <tableColumn id="9" xr3:uid="{B2ADD893-8BAE-4CC7-AEE2-8D26B7D7083E}" name="LINE" dataDxfId="1144"/>
  </tableColumns>
  <tableStyleInfo name="TableStyleMedium9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6DAAF40-CA4B-422D-9D26-ECEECB803D3E}" name="R_32" displayName="R_32" ref="B5:H15" totalsRowCount="1" headerRowDxfId="381" dataDxfId="380" totalsRowDxfId="379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380A36B9-F82E-4BDE-AF9C-3C70EA5FD484}" name="DATE" totalsRowLabel="Total" dataDxfId="378" totalsRowDxfId="377"/>
    <tableColumn id="2" xr3:uid="{0FE76041-B6CA-4BA8-8886-9ADE68B15974}" name="PARTY NAME" dataDxfId="376" totalsRowDxfId="375"/>
    <tableColumn id="7" xr3:uid="{9D1D2C14-B540-4B7A-8C12-C87A13830D8B}" name="NICK NAME" dataDxfId="374" totalsRowDxfId="373"/>
    <tableColumn id="3" xr3:uid="{FDA5CA42-2251-4B49-B685-A4A6847A0575}" name="BOX" totalsRowFunction="custom" dataDxfId="372" totalsRowDxfId="371">
      <totalsRowFormula>SUM(R_32[BOX])</totalsRowFormula>
    </tableColumn>
    <tableColumn id="4" xr3:uid="{D26D45DA-BB40-43BF-9726-BBAA6DE05C44}" name="ADVANCE" dataDxfId="370" totalsRowDxfId="369"/>
    <tableColumn id="5" xr3:uid="{170B35AB-79AB-4B61-B253-20B4E8E48E25}" name="ADV NO" dataDxfId="368" totalsRowDxfId="367"/>
    <tableColumn id="6" xr3:uid="{ADC2CFDF-73E3-41E7-8EEB-A1BA52E81A30}" name="AMOUNT" totalsRowFunction="sum" dataDxfId="366" totalsRowDxfId="365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34EBB08-EB3B-484E-B5DE-87AAD32EDA17}" name="RTN_233" displayName="RTN_233" ref="B2:J4" totalsRowShown="0" headerRowDxfId="364" dataDxfId="363">
  <autoFilter ref="B2:J4" xr:uid="{BFD13A6F-577B-4F1B-BC0A-3E8C78685613}"/>
  <tableColumns count="9">
    <tableColumn id="1" xr3:uid="{06CB71C1-8036-430D-B18E-478FF02D3F3B}" name="TP NO " dataDxfId="362"/>
    <tableColumn id="4" xr3:uid="{CF91C73D-8EA2-4BFC-89C2-B89DFB49DB26}" name="LORRY NO" dataDxfId="361"/>
    <tableColumn id="2" xr3:uid="{0597E938-DE15-46E2-AA71-9EBFB50839BE}" name="TP DATE" dataDxfId="360"/>
    <tableColumn id="3" xr3:uid="{B26B461F-653F-48BF-A6DD-041AB7BA44E6}" name="TRIP NO" dataDxfId="359"/>
    <tableColumn id="5" xr3:uid="{D8B8C3A6-F160-446C-962F-C8360AA6E99C}" name="TOTAL BOX" dataDxfId="358"/>
    <tableColumn id="6" xr3:uid="{FDD84DE7-CF47-41C8-9E17-B2B3A5710ECC}" name="TOTAL BOX MATCHING" dataDxfId="357">
      <calculatedColumnFormula>IF(SUM(E6:E14)=RTN_233[[#This Row],[TOTAL BOX]],"MATCHING TOTAL BOX","NOT MATCHING ")</calculatedColumnFormula>
    </tableColumn>
    <tableColumn id="7" xr3:uid="{B8C98DDD-3B3F-4FF1-A1F0-3407C7EC4C67}" name="PURCHASE" dataDxfId="356"/>
    <tableColumn id="8" xr3:uid="{3466B3D2-F577-49CC-8AEE-1850277BDFE3}" name="RENT" dataDxfId="355"/>
    <tableColumn id="9" xr3:uid="{7AE34F54-564F-413A-A9D2-4F4871FD380F}" name="LINE" dataDxfId="354"/>
  </tableColumns>
  <tableStyleInfo name="TableStyleMedium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72AE643-E788-43A4-8F97-3CC3435A96EA}" name="R_33" displayName="R_33" ref="B5:H15" totalsRowCount="1" headerRowDxfId="353" dataDxfId="352" totalsRowDxfId="351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62D1487B-3817-470B-9B39-B8F3B0C4EC9C}" name="DATE" totalsRowLabel="Total" dataDxfId="350" totalsRowDxfId="349"/>
    <tableColumn id="2" xr3:uid="{D44ACDD7-40D8-4059-9046-8E29AD8D7CC6}" name="PARTY NAME" dataDxfId="348" totalsRowDxfId="347"/>
    <tableColumn id="7" xr3:uid="{1B2FFD37-27AD-4464-959F-DC08E9DCC3CA}" name="NICK NAME" dataDxfId="346" totalsRowDxfId="345"/>
    <tableColumn id="3" xr3:uid="{B05FBD6D-4E84-4BB1-8D86-784ECEB5B304}" name="BOX" totalsRowFunction="custom" dataDxfId="344" totalsRowDxfId="343">
      <totalsRowFormula>SUM(R_33[BOX])</totalsRowFormula>
    </tableColumn>
    <tableColumn id="4" xr3:uid="{97E5E5CE-1600-4C28-AF5E-168A70C1F65B}" name="ADVANCE" dataDxfId="342" totalsRowDxfId="341"/>
    <tableColumn id="5" xr3:uid="{4713FF54-9ED2-4A38-8A5B-FB0C65CADD4B}" name="ADV NO" dataDxfId="340" totalsRowDxfId="339"/>
    <tableColumn id="6" xr3:uid="{E23C4F81-13C9-4D94-8BAC-12D6A5F34EBC}" name="AMOUNT" totalsRowFunction="sum" dataDxfId="338" totalsRowDxfId="337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2B2FDFD9-0795-4FE1-896D-4CFD5A7F9456}" name="RTN_234" displayName="RTN_234" ref="B2:J4" totalsRowShown="0" headerRowDxfId="336" dataDxfId="335">
  <autoFilter ref="B2:J4" xr:uid="{BFD13A6F-577B-4F1B-BC0A-3E8C78685613}"/>
  <tableColumns count="9">
    <tableColumn id="1" xr3:uid="{2CF925A9-1C4C-446D-B2DC-E3474CA1AE06}" name="TP NO " dataDxfId="334"/>
    <tableColumn id="4" xr3:uid="{906276FB-6632-4895-AB0D-6D19C0B66A9D}" name="LORRY NO" dataDxfId="333"/>
    <tableColumn id="2" xr3:uid="{498579FC-D3D2-4940-813A-7F8E009C12E0}" name="TP DATE" dataDxfId="332"/>
    <tableColumn id="3" xr3:uid="{11EB46ED-ACC0-4F43-86A2-B01C6BD31390}" name="TRIP NO" dataDxfId="331"/>
    <tableColumn id="5" xr3:uid="{DC99E9D1-4C1E-4E62-87A6-A21679538302}" name="TOTAL BOX" dataDxfId="330"/>
    <tableColumn id="6" xr3:uid="{066782D4-CDC9-47C4-AE91-9CAAF1F7DCE3}" name="TOTAL BOX MATCHING" dataDxfId="329">
      <calculatedColumnFormula>IF(SUM(E6:E14)=RTN_234[[#This Row],[TOTAL BOX]],"MATCHING TOTAL BOX","NOT MATCHING ")</calculatedColumnFormula>
    </tableColumn>
    <tableColumn id="7" xr3:uid="{703D8968-54B0-488C-AA9F-2D5A11B05C3E}" name="PURCHASE" dataDxfId="328"/>
    <tableColumn id="8" xr3:uid="{CF509EDF-E645-4FDE-99A4-A2E5072EF456}" name="RENT" dataDxfId="327"/>
    <tableColumn id="9" xr3:uid="{D4F34C1A-2C14-4442-8086-02EAA2DAD1FA}" name="LINE" dataDxfId="326"/>
  </tableColumns>
  <tableStyleInfo name="TableStyleMedium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1883F899-B5B1-4B9D-95B4-C701FCF48A60}" name="R_34" displayName="R_34" ref="B5:H15" totalsRowCount="1" headerRowDxfId="325" dataDxfId="324" totalsRowDxfId="323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7D069DDD-8CA4-4DF1-AD99-07B3AA1200EC}" name="DATE" totalsRowLabel="Total" dataDxfId="322" totalsRowDxfId="321"/>
    <tableColumn id="2" xr3:uid="{508D0946-9E16-4181-94AB-D9796197BA42}" name="PARTY NAME" dataDxfId="320" totalsRowDxfId="319"/>
    <tableColumn id="7" xr3:uid="{21856F31-720D-42C8-A9BE-4FF18B241C95}" name="NICK NAME" dataDxfId="318" totalsRowDxfId="317"/>
    <tableColumn id="3" xr3:uid="{848E8032-07D5-43C1-89AC-BF4CC16E14A9}" name="BOX" totalsRowFunction="custom" dataDxfId="316" totalsRowDxfId="315">
      <totalsRowFormula>SUM(R_34[BOX])</totalsRowFormula>
    </tableColumn>
    <tableColumn id="4" xr3:uid="{A0ADBDE2-A4EA-49A2-BF3C-5A3D7DBA82BC}" name="ADVANCE" dataDxfId="314" totalsRowDxfId="313"/>
    <tableColumn id="5" xr3:uid="{4B887439-DCCD-4511-997D-A9B5295213C7}" name="ADV NO" dataDxfId="312" totalsRowDxfId="311"/>
    <tableColumn id="6" xr3:uid="{8BEC7CE1-6198-456E-B420-42BA5C51BBCA}" name="AMOUNT" totalsRowFunction="sum" dataDxfId="310" totalsRowDxfId="309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61340A2E-E883-417E-A686-8BFF2D5709FD}" name="RTN_235" displayName="RTN_235" ref="B2:J4" totalsRowShown="0" headerRowDxfId="308" dataDxfId="307">
  <autoFilter ref="B2:J4" xr:uid="{BFD13A6F-577B-4F1B-BC0A-3E8C78685613}"/>
  <tableColumns count="9">
    <tableColumn id="1" xr3:uid="{DBB910EF-10D1-4EB3-B471-42319112B2D6}" name="TP NO " dataDxfId="306"/>
    <tableColumn id="4" xr3:uid="{75FEDB20-9067-4F51-89E5-161EA339C38C}" name="LORRY NO" dataDxfId="305"/>
    <tableColumn id="2" xr3:uid="{36EC74D6-E6E2-402D-890C-B1AA339BE3CF}" name="TP DATE" dataDxfId="304"/>
    <tableColumn id="3" xr3:uid="{9249ABBB-B826-4645-856D-05F57C88F00C}" name="TRIP NO" dataDxfId="303"/>
    <tableColumn id="5" xr3:uid="{311D7462-CA18-4F75-85E1-9EB7F6A269EB}" name="TOTAL BOX" dataDxfId="302"/>
    <tableColumn id="6" xr3:uid="{684E4317-C5D8-4156-B5B5-5FF906DBDBD8}" name="TOTAL BOX MATCHING" dataDxfId="301">
      <calculatedColumnFormula>IF(SUM(E6:E14)=RTN_235[[#This Row],[TOTAL BOX]],"MATCHING TOTAL BOX","NOT MATCHING ")</calculatedColumnFormula>
    </tableColumn>
    <tableColumn id="7" xr3:uid="{150711BA-DE63-4C9F-8024-AAEAE4898D86}" name="PURCHASE" dataDxfId="300"/>
    <tableColumn id="8" xr3:uid="{D0BDCFF4-1CA1-41E1-9D7B-E18E2AB16303}" name="RENT" dataDxfId="299"/>
    <tableColumn id="9" xr3:uid="{D022E365-8681-49B8-9BCA-C6B623A4F97D}" name="LINE" dataDxfId="298"/>
  </tableColumns>
  <tableStyleInfo name="TableStyleMedium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761A6A4E-8EA1-4530-8D50-3049D3235ABD}" name="R_35" displayName="R_35" ref="B5:H15" totalsRowCount="1" headerRowDxfId="297" dataDxfId="296" totalsRowDxfId="295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ECF812E2-BF57-4AB9-87D8-9291356DC53A}" name="DATE" totalsRowLabel="Total" dataDxfId="294" totalsRowDxfId="293"/>
    <tableColumn id="2" xr3:uid="{3BA76219-E387-4CA9-8996-56CE8E660965}" name="PARTY NAME" dataDxfId="292" totalsRowDxfId="291"/>
    <tableColumn id="7" xr3:uid="{48B893D4-3226-40D3-9C4E-FCE833BB14AD}" name="NICK NAME" dataDxfId="290" totalsRowDxfId="289"/>
    <tableColumn id="3" xr3:uid="{2E78A52D-CE37-40DF-8223-2E25DCF5239F}" name="BOX" totalsRowFunction="custom" dataDxfId="288" totalsRowDxfId="287">
      <totalsRowFormula>SUM(R_35[BOX])</totalsRowFormula>
    </tableColumn>
    <tableColumn id="4" xr3:uid="{9A01B8A8-37E2-44D6-8AC2-E61326068EF6}" name="ADVANCE" dataDxfId="286" totalsRowDxfId="285"/>
    <tableColumn id="5" xr3:uid="{FE5D6EB5-8BFD-4E2C-A2FA-DAAA1004AA8E}" name="ADV NO" dataDxfId="284" totalsRowDxfId="283"/>
    <tableColumn id="6" xr3:uid="{B2D6D9BC-4228-4366-AD08-47118911AA2F}" name="AMOUNT" totalsRowFunction="sum" dataDxfId="282" totalsRowDxfId="281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7E95F95-46A4-4362-B4A8-9BE04198FF76}" name="RTN_236" displayName="RTN_236" ref="B2:J4" totalsRowShown="0" headerRowDxfId="280" dataDxfId="279">
  <autoFilter ref="B2:J4" xr:uid="{BFD13A6F-577B-4F1B-BC0A-3E8C78685613}"/>
  <tableColumns count="9">
    <tableColumn id="1" xr3:uid="{1E33C043-74A0-4C42-BBBA-885085F230BE}" name="TP NO " dataDxfId="278"/>
    <tableColumn id="4" xr3:uid="{04ACF47F-D3BF-4B75-8906-294143794A04}" name="LORRY NO" dataDxfId="277"/>
    <tableColumn id="2" xr3:uid="{6BE96796-8928-4A56-9571-764C07290057}" name="TP DATE" dataDxfId="276"/>
    <tableColumn id="3" xr3:uid="{8F566D64-18F6-4428-A8A4-AD818AF670D1}" name="TRIP NO" dataDxfId="275"/>
    <tableColumn id="5" xr3:uid="{490ACC0F-0CE0-452D-B2D6-AF3E0739E7E2}" name="TOTAL BOX" dataDxfId="274"/>
    <tableColumn id="6" xr3:uid="{310A797C-C88D-48E5-A6FF-09E78B60B070}" name="TOTAL BOX MATCHING" dataDxfId="273">
      <calculatedColumnFormula>IF(SUM(E6:E14)=RTN_236[[#This Row],[TOTAL BOX]],"MATCHING TOTAL BOX","NOT MATCHING ")</calculatedColumnFormula>
    </tableColumn>
    <tableColumn id="7" xr3:uid="{1EAE8A78-519F-4399-A6C8-6FFEBBDA2107}" name="PURCHASE" dataDxfId="272"/>
    <tableColumn id="8" xr3:uid="{43899AED-692B-461F-9714-561A2BFF832A}" name="RENT" dataDxfId="271"/>
    <tableColumn id="9" xr3:uid="{70DBFA76-940C-4579-BDED-CB55E6B5F0C5}" name="LINE" dataDxfId="270"/>
  </tableColumns>
  <tableStyleInfo name="TableStyleMedium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B245DBD5-D4D3-46BC-A93B-8628192AEC72}" name="R_36" displayName="R_36" ref="B5:H15" totalsRowCount="1" headerRowDxfId="269" dataDxfId="268" totalsRowDxfId="267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86F7F7AA-9A88-4B3B-889D-01E992CFD571}" name="DATE" totalsRowLabel="Total" dataDxfId="266" totalsRowDxfId="265"/>
    <tableColumn id="2" xr3:uid="{0D58366E-8B58-4981-B10A-7BA84E950CA1}" name="PARTY NAME" dataDxfId="264" totalsRowDxfId="263"/>
    <tableColumn id="7" xr3:uid="{E78719FD-B011-433E-9281-52BB9FBF4A53}" name="NICK NAME" dataDxfId="262" totalsRowDxfId="261"/>
    <tableColumn id="3" xr3:uid="{C4E28573-1242-4383-AADB-142E9A193059}" name="BOX" totalsRowFunction="custom" dataDxfId="260" totalsRowDxfId="259">
      <totalsRowFormula>SUM(R_36[BOX])</totalsRowFormula>
    </tableColumn>
    <tableColumn id="4" xr3:uid="{1AD84A71-6405-49B1-8CFD-813FF142E5D9}" name="ADVANCE" dataDxfId="258" totalsRowDxfId="257"/>
    <tableColumn id="5" xr3:uid="{A7E29F01-5115-4B7A-9399-8CA48760DF4A}" name="ADV NO" dataDxfId="256" totalsRowDxfId="255"/>
    <tableColumn id="6" xr3:uid="{BDAD51CB-792A-4FA5-A4E6-ADA894AFE6C4}" name="AMOUNT" totalsRowFunction="sum" dataDxfId="254" totalsRowDxfId="25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4A8394E0-6BD0-4D68-AF2F-966DE7447A83}" name="RTN_237" displayName="RTN_237" ref="B2:J4" totalsRowShown="0" headerRowDxfId="252" dataDxfId="251">
  <autoFilter ref="B2:J4" xr:uid="{BFD13A6F-577B-4F1B-BC0A-3E8C78685613}"/>
  <tableColumns count="9">
    <tableColumn id="1" xr3:uid="{57176AC2-C481-4D07-9B7C-012A85A20625}" name="TP NO " dataDxfId="250"/>
    <tableColumn id="4" xr3:uid="{62A7043E-FC7E-430C-BE13-CF939F0C2C47}" name="LORRY NO" dataDxfId="249"/>
    <tableColumn id="2" xr3:uid="{0A2AF648-05BD-4C82-AF12-4233958E7AC3}" name="TP DATE" dataDxfId="248"/>
    <tableColumn id="3" xr3:uid="{817F2825-144B-49A8-8E90-F199ADBD4F28}" name="TRIP NO" dataDxfId="247"/>
    <tableColumn id="5" xr3:uid="{998BF812-73A3-4C8C-B971-1295D177C272}" name="TOTAL BOX" dataDxfId="246"/>
    <tableColumn id="6" xr3:uid="{77C3BCEA-F615-41B0-A1F9-30E8C17C4EAE}" name="TOTAL BOX MATCHING" dataDxfId="245">
      <calculatedColumnFormula>IF(SUM(E6:E19)=RTN_237[[#This Row],[TOTAL BOX]],"MATCHING TOTAL BOX","NOT MATCHING ")</calculatedColumnFormula>
    </tableColumn>
    <tableColumn id="7" xr3:uid="{FA9EC99D-A983-4AC7-B4AB-E008BB92B4A6}" name="PURCHASE" dataDxfId="244"/>
    <tableColumn id="8" xr3:uid="{F76CA7EB-9C1C-4DEC-9489-D0BA9AFDFFFD}" name="RENT" dataDxfId="243"/>
    <tableColumn id="9" xr3:uid="{6C19EFFD-F16A-418E-B7FD-8D0D00A85826}" name="LINE" dataDxfId="2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4F45C3-2912-4B4E-AC2A-9A67DCBBF406}" name="AL_01" displayName="AL_01" ref="B6:H20" totalsRowCount="1" headerRowDxfId="1143">
  <autoFilter ref="B6:H19" xr:uid="{254F45C3-2912-4B4E-AC2A-9A67DCBBF406}"/>
  <sortState xmlns:xlrd2="http://schemas.microsoft.com/office/spreadsheetml/2017/richdata2" ref="B7:H19">
    <sortCondition ref="B6:B19"/>
  </sortState>
  <tableColumns count="7">
    <tableColumn id="1" xr3:uid="{65D05613-A3A3-4853-875E-D79C8A010BED}" name="DATE" totalsRowLabel="Total" dataDxfId="1142"/>
    <tableColumn id="2" xr3:uid="{ED440A09-D2AF-4B9E-9B3C-4711C8B903E2}" name="PARTY NAME"/>
    <tableColumn id="7" xr3:uid="{8BCD71E9-A992-42F6-A85B-A5E2BB770AE0}" name="NICK NAME"/>
    <tableColumn id="3" xr3:uid="{FD825794-A680-4D96-BB7F-B31D82BB4828}" name="BOX" totalsRowFunction="custom" dataDxfId="1141" totalsRowDxfId="1140">
      <totalsRowFormula>SUM(AL_01[BOX])</totalsRowFormula>
    </tableColumn>
    <tableColumn id="4" xr3:uid="{6DB8B6A2-BDBF-459C-8B4D-AFBB78E3527B}" name="ADVANCE" dataDxfId="1139"/>
    <tableColumn id="5" xr3:uid="{38D263AA-563D-48DC-9CE2-429F60FB7A1C}" name="ADV NO" dataDxfId="1138"/>
    <tableColumn id="6" xr3:uid="{37AB6411-CDFB-4DC5-A882-DEBAB160A357}" name="AMOUNT" totalsRowFunction="sum" dataDxfId="1137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1FA8D65-7BFE-42D5-9D7F-BE66C3448CD9}" name="R_37" displayName="R_37" ref="B5:H20" totalsRowCount="1" headerRowDxfId="241" dataDxfId="240" totalsRowDxfId="239">
  <autoFilter ref="B5:H19" xr:uid="{3041FDEA-DFC6-449B-865C-21097BB1A3BD}"/>
  <sortState xmlns:xlrd2="http://schemas.microsoft.com/office/spreadsheetml/2017/richdata2" ref="B6:H17">
    <sortCondition ref="B5:B17"/>
  </sortState>
  <tableColumns count="7">
    <tableColumn id="1" xr3:uid="{550818FB-CDFD-42FC-AC42-261EFEE4CEB6}" name="DATE" totalsRowLabel="Total" dataDxfId="238"/>
    <tableColumn id="2" xr3:uid="{9123DB32-BF66-4C37-8A3F-343D2F7E714A}" name="PARTY NAME" dataDxfId="237"/>
    <tableColumn id="7" xr3:uid="{9DFA9BE8-B735-40DC-85F9-FBC46AA7429B}" name="NICK NAME" dataDxfId="236"/>
    <tableColumn id="3" xr3:uid="{7B83E61F-15C1-4936-8F52-E2CB8C4ACD20}" name="BOX" totalsRowFunction="custom" dataDxfId="235" totalsRowDxfId="234">
      <totalsRowFormula>SUM(R_37[BOX])</totalsRowFormula>
    </tableColumn>
    <tableColumn id="4" xr3:uid="{CE7BC0E8-237E-4D60-9500-567EDC577A82}" name="ADVANCE" dataDxfId="233"/>
    <tableColumn id="5" xr3:uid="{FA920ADA-5507-46AC-8609-36A7A36974D1}" name="ADV NO" dataDxfId="232"/>
    <tableColumn id="6" xr3:uid="{45269E0C-2166-461F-A0BE-E2DFAE20480B}" name="AMOUNT" totalsRowFunction="sum" dataDxfId="231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39736D89-D625-4ABF-AB9B-F37747278A90}" name="RTN_238" displayName="RTN_238" ref="B2:J4" totalsRowShown="0" headerRowDxfId="230" dataDxfId="229">
  <autoFilter ref="B2:J4" xr:uid="{BFD13A6F-577B-4F1B-BC0A-3E8C78685613}"/>
  <tableColumns count="9">
    <tableColumn id="1" xr3:uid="{8EEA0DD0-38AC-4860-BA99-01871B766EAE}" name="TP NO " dataDxfId="228"/>
    <tableColumn id="4" xr3:uid="{6DF5E039-ACBF-4EBE-A9CD-8197C89E926A}" name="LORRY NO" dataDxfId="227"/>
    <tableColumn id="2" xr3:uid="{AF8011B2-AFF2-4CB0-824D-004EF3BCD59B}" name="TP DATE" dataDxfId="226"/>
    <tableColumn id="3" xr3:uid="{D18A6F17-5A23-492E-8675-A2C6424121FB}" name="TRIP NO" dataDxfId="225"/>
    <tableColumn id="5" xr3:uid="{D8092392-5858-41D6-B4B0-840B64888485}" name="TOTAL BOX" dataDxfId="224"/>
    <tableColumn id="6" xr3:uid="{42219FA5-AD4A-4082-AC69-8319CE46352C}" name="TOTAL BOX MATCHING" dataDxfId="223">
      <calculatedColumnFormula>IF(SUM(E6:E14)=RTN_238[[#This Row],[TOTAL BOX]],"MATCHING TOTAL BOX","NOT MATCHING ")</calculatedColumnFormula>
    </tableColumn>
    <tableColumn id="7" xr3:uid="{1FD9D604-621E-4BF5-B768-740B1056B74A}" name="PURCHASE" dataDxfId="222"/>
    <tableColumn id="8" xr3:uid="{1ED464A8-17DA-466C-9479-CD5598BCD640}" name="RENT" dataDxfId="221"/>
    <tableColumn id="9" xr3:uid="{34F7E50C-FE40-444B-B190-8486BE011BDA}" name="LINE" dataDxfId="220"/>
  </tableColumns>
  <tableStyleInfo name="TableStyleMedium9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4FA5C7D-8977-49BD-9077-812EF308CE8D}" name="R_38" displayName="R_38" ref="B5:H15" totalsRowCount="1" headerRowDxfId="219" dataDxfId="218" totalsRowDxfId="217">
  <autoFilter ref="B5:H14" xr:uid="{3041FDEA-DFC6-449B-865C-21097BB1A3BD}"/>
  <sortState xmlns:xlrd2="http://schemas.microsoft.com/office/spreadsheetml/2017/richdata2" ref="B6:H14">
    <sortCondition ref="B5:B14"/>
  </sortState>
  <tableColumns count="7">
    <tableColumn id="1" xr3:uid="{C824DA9C-521F-4EAE-BD07-A0960D4A513E}" name="DATE" totalsRowLabel="Total" dataDxfId="216" totalsRowDxfId="215"/>
    <tableColumn id="2" xr3:uid="{D2766C1A-3EF6-42D5-A578-FFB65C14BAD0}" name="PARTY NAME" dataDxfId="214" totalsRowDxfId="213"/>
    <tableColumn id="7" xr3:uid="{7612B897-4CE3-4E79-BF3E-C5189347FBA7}" name="NICK NAME" dataDxfId="212" totalsRowDxfId="211"/>
    <tableColumn id="3" xr3:uid="{66A502F6-AE04-4BF0-BD20-21006EDFB3E6}" name="BOX" totalsRowFunction="custom" dataDxfId="210" totalsRowDxfId="209">
      <totalsRowFormula>SUM(R_38[BOX])</totalsRowFormula>
    </tableColumn>
    <tableColumn id="4" xr3:uid="{E364281C-7254-4F9C-80B0-5CD206375E26}" name="ADVANCE" dataDxfId="208" totalsRowDxfId="207"/>
    <tableColumn id="5" xr3:uid="{1B0B5630-81B2-458A-B3DA-24A36C496C18}" name="ADV NO" dataDxfId="206" totalsRowDxfId="205"/>
    <tableColumn id="6" xr3:uid="{3150398A-3553-43F5-B934-5E256A2E9D43}" name="AMOUNT" totalsRowFunction="sum" dataDxfId="204" totalsRowDxfId="203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E65DAE0D-B05B-481C-9602-8BE75C09AF6A}" name="RTN_239" displayName="RTN_239" ref="B2:J4" totalsRowShown="0" headerRowDxfId="202" dataDxfId="201">
  <autoFilter ref="B2:J4" xr:uid="{BFD13A6F-577B-4F1B-BC0A-3E8C78685613}"/>
  <tableColumns count="9">
    <tableColumn id="1" xr3:uid="{D00C4CDF-003E-4F84-8476-BEECB87A2587}" name="TP NO " dataDxfId="200"/>
    <tableColumn id="4" xr3:uid="{66DE4C07-8531-431F-9D8F-A5712BB0F60E}" name="LORRY NO" dataDxfId="199"/>
    <tableColumn id="2" xr3:uid="{840CAEA6-FEBB-4FE1-AF7E-431A402A154F}" name="TP DATE" dataDxfId="198"/>
    <tableColumn id="3" xr3:uid="{9F243366-7847-4FB2-815F-10A3C2BE108B}" name="TRIP NO" dataDxfId="197"/>
    <tableColumn id="5" xr3:uid="{81FB6EA5-477B-4006-AAB7-FF0F2BCACEB5}" name="TOTAL BOX" dataDxfId="196"/>
    <tableColumn id="6" xr3:uid="{EFB8B578-A3B2-4CBD-90C3-870D52B6ECF6}" name="TOTAL BOX MATCHING" dataDxfId="195">
      <calculatedColumnFormula>IF(SUM(E6:E16)=RTN_239[[#This Row],[TOTAL BOX]],"MATCHING TOTAL BOX","NOT MATCHING ")</calculatedColumnFormula>
    </tableColumn>
    <tableColumn id="7" xr3:uid="{EACD8438-00E2-4F7B-98BC-6399C704FADE}" name="PURCHASE" dataDxfId="194"/>
    <tableColumn id="8" xr3:uid="{55C49298-16F2-44DD-A1A8-6314045401A9}" name="RENT" dataDxfId="193"/>
    <tableColumn id="9" xr3:uid="{FBF8AB49-040A-4228-B8D4-D86DE1B2A4E2}" name="LINE" dataDxfId="192"/>
  </tableColumns>
  <tableStyleInfo name="TableStyleMedium9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249DC43-826F-4F49-9CCA-32A41486D109}" name="R_39" displayName="R_39" ref="B5:H17" totalsRowCount="1" headerRowDxfId="191" dataDxfId="190" totalsRowDxfId="189">
  <autoFilter ref="B5:H16" xr:uid="{3041FDEA-DFC6-449B-865C-21097BB1A3BD}"/>
  <sortState xmlns:xlrd2="http://schemas.microsoft.com/office/spreadsheetml/2017/richdata2" ref="B6:H16">
    <sortCondition ref="B5:B16"/>
  </sortState>
  <tableColumns count="7">
    <tableColumn id="1" xr3:uid="{C27F38A5-6DD7-435A-AD51-FDF212B748F3}" name="DATE" totalsRowLabel="Total" dataDxfId="188" totalsRowDxfId="187"/>
    <tableColumn id="2" xr3:uid="{27B3BFA8-3FE9-44BD-982E-90B0A3CC9228}" name="PARTY NAME" dataDxfId="186" totalsRowDxfId="185"/>
    <tableColumn id="7" xr3:uid="{BAF18D58-893E-4932-BCDF-E2F2863A5193}" name="NICK NAME" dataDxfId="184" totalsRowDxfId="183"/>
    <tableColumn id="3" xr3:uid="{EC9743FA-6DC9-46A8-B04B-58269EA575F6}" name="BOX" totalsRowFunction="custom" dataDxfId="182" totalsRowDxfId="181">
      <totalsRowFormula>SUM(R_39[BOX])</totalsRowFormula>
    </tableColumn>
    <tableColumn id="4" xr3:uid="{7C65C7D4-2818-4DFF-9DBB-31D96F21770D}" name="ADVANCE" dataDxfId="180" totalsRowDxfId="179"/>
    <tableColumn id="5" xr3:uid="{C268E71E-DF38-4142-AF7A-5571C8298BB5}" name="ADV NO" dataDxfId="178" totalsRowDxfId="177"/>
    <tableColumn id="6" xr3:uid="{07C3F14B-781B-4A59-8E43-4C56BD55A50B}" name="AMOUNT" totalsRowFunction="sum" dataDxfId="176" totalsRowDxfId="175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785E255-8ADF-4807-A7F2-6C42EB3FC1F3}" name="RTN_240" displayName="RTN_240" ref="B2:J4" totalsRowShown="0" headerRowDxfId="174" dataDxfId="173">
  <autoFilter ref="B2:J4" xr:uid="{BFD13A6F-577B-4F1B-BC0A-3E8C78685613}"/>
  <tableColumns count="9">
    <tableColumn id="1" xr3:uid="{86B9ABE9-E6A9-4D59-AB7F-C89592C59B73}" name="TP NO " dataDxfId="172"/>
    <tableColumn id="4" xr3:uid="{F72BFCF0-6903-469E-BE2B-08C343F53FB6}" name="LORRY NO" dataDxfId="171"/>
    <tableColumn id="2" xr3:uid="{4EE43B04-2782-4E41-B34D-78E7E9A75E90}" name="TP DATE" dataDxfId="170"/>
    <tableColumn id="3" xr3:uid="{8C7FE6F6-BB2B-45DD-B388-1F0680D60FFE}" name="TRIP NO" dataDxfId="169"/>
    <tableColumn id="5" xr3:uid="{95DD4205-B6AE-425F-ABC9-7B36FF4C5C63}" name="TOTAL BOX" dataDxfId="168"/>
    <tableColumn id="6" xr3:uid="{12116BB4-56AD-4CBF-A255-7605604B5E8D}" name="TOTAL BOX MATCHING" dataDxfId="167">
      <calculatedColumnFormula>IF(SUM(E6:E16)=RTN_240[[#This Row],[TOTAL BOX]],"MATCHING TOTAL BOX","NOT MATCHING ")</calculatedColumnFormula>
    </tableColumn>
    <tableColumn id="7" xr3:uid="{526EF37A-F92E-45CA-AAFF-C521A3F73077}" name="PURCHASE" dataDxfId="166"/>
    <tableColumn id="8" xr3:uid="{2C26283B-1A9B-4658-AA20-75206FA7B55C}" name="RENT" dataDxfId="165"/>
    <tableColumn id="9" xr3:uid="{CE5D8C16-10D4-488E-8600-B958E5E6287F}" name="LINE" dataDxfId="164"/>
  </tableColumns>
  <tableStyleInfo name="TableStyleMedium9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34B67977-F9AA-4A59-B6E3-6CBD64F36A3E}" name="R_40" displayName="R_40" ref="B5:H17" totalsRowCount="1" headerRowDxfId="163" dataDxfId="162" totalsRowDxfId="161">
  <autoFilter ref="B5:H16" xr:uid="{3041FDEA-DFC6-449B-865C-21097BB1A3BD}"/>
  <sortState xmlns:xlrd2="http://schemas.microsoft.com/office/spreadsheetml/2017/richdata2" ref="B6:H16">
    <sortCondition ref="B5:B16"/>
  </sortState>
  <tableColumns count="7">
    <tableColumn id="1" xr3:uid="{85119691-EDD9-4B42-9B7D-77A70F75ED95}" name="DATE" totalsRowLabel="Total" dataDxfId="160"/>
    <tableColumn id="2" xr3:uid="{82F12BE5-CEB4-4C19-B0D8-7758F705879A}" name="PARTY NAME" dataDxfId="159"/>
    <tableColumn id="7" xr3:uid="{7C525A89-0EC2-4E3A-BC8A-0F95C31D19FD}" name="NICK NAME" dataDxfId="158"/>
    <tableColumn id="3" xr3:uid="{1F6F1292-54FE-4201-871E-BEC193D2F06F}" name="BOX" totalsRowFunction="custom" dataDxfId="157" totalsRowDxfId="156">
      <totalsRowFormula>SUM(R_40[BOX])</totalsRowFormula>
    </tableColumn>
    <tableColumn id="4" xr3:uid="{6D665389-04D8-4A39-BB25-D785C45ADF1C}" name="ADVANCE" dataDxfId="155"/>
    <tableColumn id="5" xr3:uid="{44035B42-6C17-465F-9BD6-43D1BDA8CF3F}" name="ADV NO" dataDxfId="154"/>
    <tableColumn id="6" xr3:uid="{A6131FC5-A8A2-4F25-9ED6-5F1F0D2FDA05}" name="AMOUNT" totalsRowFunction="sum" dataDxfId="153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AFD8EDB-B6C8-4CCE-A6ED-C796986B8C79}" name="AL_104" displayName="AL_104" ref="B2:J4" totalsRowShown="0" headerRowDxfId="152" dataDxfId="151">
  <autoFilter ref="B2:J4" xr:uid="{BFD13A6F-577B-4F1B-BC0A-3E8C78685613}"/>
  <tableColumns count="9">
    <tableColumn id="1" xr3:uid="{24D75E01-EA93-4A5F-B0EA-A63C9ADE9AD2}" name="TP NO " dataDxfId="150"/>
    <tableColumn id="4" xr3:uid="{24409CAD-D799-4E58-9586-C0BC36D37144}" name="LORRY NO" dataDxfId="149"/>
    <tableColumn id="2" xr3:uid="{66C6474D-FAB9-4DB5-A2EB-C1CD87E57D0A}" name="TP DATE" dataDxfId="148"/>
    <tableColumn id="3" xr3:uid="{46708DFB-D1D0-4582-BC57-02A425E285CA}" name="TRIP NO" dataDxfId="147"/>
    <tableColumn id="5" xr3:uid="{A842E334-F379-4A79-A403-E07155330D34}" name="TOTAL BOX" dataDxfId="146"/>
    <tableColumn id="6" xr3:uid="{C7C19290-1F08-430F-8A7B-4A1829759590}" name="TOTAL BOX MATCHING" dataDxfId="145">
      <calculatedColumnFormula>IF(SUM(E6:E16)=AL_104[[#This Row],[TOTAL BOX]],"MATCHING TOTAL BOX","NOT MATCHING ")</calculatedColumnFormula>
    </tableColumn>
    <tableColumn id="7" xr3:uid="{F71BA6E1-AA5D-4C78-B20C-F7C88923A387}" name="PURCHASE" dataDxfId="144"/>
    <tableColumn id="8" xr3:uid="{A2F8CC98-5E5E-4C6A-BEF1-0D6E0D871A33}" name="RENT" dataDxfId="143"/>
    <tableColumn id="9" xr3:uid="{A9DA0636-31B0-453D-A95B-DDED5E0BB6C0}" name="LINE" dataDxfId="142"/>
  </tableColumns>
  <tableStyleInfo name="TableStyleMedium9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B20DB430-0A61-455E-8342-03BE39B12826}" name="AL_04" displayName="AL_04" ref="B5:H17" totalsRowCount="1" headerRowDxfId="141" dataDxfId="140" totalsRowDxfId="139">
  <autoFilter ref="B5:H16" xr:uid="{3041FDEA-DFC6-449B-865C-21097BB1A3BD}"/>
  <sortState xmlns:xlrd2="http://schemas.microsoft.com/office/spreadsheetml/2017/richdata2" ref="B6:H16">
    <sortCondition ref="B5:B16"/>
  </sortState>
  <tableColumns count="7">
    <tableColumn id="1" xr3:uid="{E85214DF-7097-4C47-90A6-42CBD8C0DAB7}" name="DATE" totalsRowLabel="Total" dataDxfId="138"/>
    <tableColumn id="2" xr3:uid="{99BFFB9F-936F-4650-998F-17EF0648F34E}" name="PARTY NAME" dataDxfId="137"/>
    <tableColumn id="7" xr3:uid="{87289EAB-D9C9-4690-BC8C-5905037A8A92}" name="NICK NAME" dataDxfId="136"/>
    <tableColumn id="3" xr3:uid="{0DE2F481-7FA8-47F0-B8AE-739A3DBD8A81}" name="BOX" totalsRowFunction="custom" dataDxfId="135" totalsRowDxfId="134">
      <totalsRowFormula>SUM(AL_04[BOX])</totalsRowFormula>
    </tableColumn>
    <tableColumn id="4" xr3:uid="{00882C0D-30E2-4A68-9676-81B4D279EFA3}" name="ADVANCE" dataDxfId="133"/>
    <tableColumn id="5" xr3:uid="{D1D07250-4C06-4E88-95F3-F85BD0B9D90C}" name="ADV NO" dataDxfId="132"/>
    <tableColumn id="6" xr3:uid="{3ED1AFC5-EA25-438B-8BF2-998E8E6FD59C}" name="AMOUNT" totalsRowFunction="sum" dataDxfId="1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5C49DC-B145-481A-A5BD-1426B3E161F4}" name="RTN_204" displayName="RTN_204" ref="B3:J5" totalsRowShown="0" headerRowDxfId="1136" dataDxfId="1135">
  <autoFilter ref="B3:J5" xr:uid="{8B5C49DC-B145-481A-A5BD-1426B3E161F4}"/>
  <tableColumns count="9">
    <tableColumn id="1" xr3:uid="{89EA0C7D-992F-4C70-B34F-3B387109C00A}" name="TP NO " dataDxfId="1134"/>
    <tableColumn id="4" xr3:uid="{FAB73347-212D-4E2F-B958-8D752D1AB553}" name="LORRY NO" dataDxfId="1133"/>
    <tableColumn id="2" xr3:uid="{47EDA4AC-8183-4FA3-8A0A-2AD0FB8E8D70}" name="TP DATE" dataDxfId="1132"/>
    <tableColumn id="3" xr3:uid="{B31E633F-8BBF-45A5-A45F-ABD635E48B17}" name="TRIP NO" dataDxfId="1131"/>
    <tableColumn id="5" xr3:uid="{B06AC0F7-B84D-43ED-A854-C7550BE69B4D}" name="TOTAL BOX" dataDxfId="1130"/>
    <tableColumn id="6" xr3:uid="{BF593954-1975-495B-9D18-7068DCDECC69}" name="TOTAL BOX MATCHING" dataDxfId="1129">
      <calculatedColumnFormula>IF(SUM(E7:E12)=RTN_204[[#This Row],[TOTAL BOX]],"MATCHING TOTAL BOX","NOT MATCHING ")</calculatedColumnFormula>
    </tableColumn>
    <tableColumn id="7" xr3:uid="{0EA411A4-449F-46CA-94C8-4D35D606B0C9}" name="PURCHASE" dataDxfId="1128"/>
    <tableColumn id="8" xr3:uid="{F1736880-7323-4FDF-892A-8B46A28D3989}" name="RENT" dataDxfId="1127"/>
    <tableColumn id="9" xr3:uid="{575BE738-24AF-43DE-8B3E-20C41EBC6701}" name="LINE" dataDxfId="11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table" Target="../tables/table75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8.xml"/><Relationship Id="rId1" Type="http://schemas.openxmlformats.org/officeDocument/2006/relationships/table" Target="../tables/table7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table" Target="../tables/table7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table" Target="../tables/table8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table" Target="../tables/table83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table" Target="../tables/table85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8.xml"/><Relationship Id="rId1" Type="http://schemas.openxmlformats.org/officeDocument/2006/relationships/table" Target="../tables/table8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ACAB-0519-416C-81EE-D9C260F41D0E}">
  <sheetPr codeName="Sheet1">
    <tabColor rgb="FF92D050"/>
  </sheetPr>
  <dimension ref="B2:J21"/>
  <sheetViews>
    <sheetView zoomScale="89" workbookViewId="0">
      <selection activeCell="C9" sqref="C9"/>
    </sheetView>
  </sheetViews>
  <sheetFormatPr defaultRowHeight="15" x14ac:dyDescent="0.25"/>
  <cols>
    <col min="2" max="2" width="11.42578125" bestFit="1" customWidth="1"/>
    <col min="3" max="3" width="25.140625" bestFit="1" customWidth="1"/>
    <col min="4" max="4" width="11.42578125" bestFit="1" customWidth="1"/>
    <col min="6" max="6" width="15.7109375" bestFit="1" customWidth="1"/>
    <col min="7" max="7" width="23.85546875" bestFit="1" customWidth="1"/>
    <col min="8" max="8" width="12.85546875" bestFit="1" customWidth="1"/>
    <col min="10" max="10" width="7.5703125" bestFit="1" customWidth="1"/>
    <col min="11" max="11" width="1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239</v>
      </c>
      <c r="J2" s="1" t="s">
        <v>240</v>
      </c>
    </row>
    <row r="3" spans="2:10" x14ac:dyDescent="0.25">
      <c r="B3" s="2">
        <v>201</v>
      </c>
      <c r="C3" s="1" t="s">
        <v>6</v>
      </c>
      <c r="D3" s="3">
        <v>45545</v>
      </c>
      <c r="E3" s="2">
        <v>1</v>
      </c>
      <c r="F3" s="1">
        <v>240</v>
      </c>
      <c r="G3" s="5" t="str">
        <f>IF(SUM(E8:E20)=RTN_201[[#This Row],[TOTAL BOX]],"MATCHING TOTAL BOX","NOT MATCHING ")</f>
        <v>MATCHING TOTAL BOX</v>
      </c>
      <c r="H3" s="6">
        <v>411300</v>
      </c>
      <c r="I3" s="2">
        <v>124500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7" spans="2:10" x14ac:dyDescent="0.25">
      <c r="B7" s="1" t="s">
        <v>7</v>
      </c>
      <c r="C7" s="1" t="s">
        <v>8</v>
      </c>
      <c r="D7" s="1" t="s">
        <v>36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2:10" x14ac:dyDescent="0.25">
      <c r="B8" s="4">
        <v>45546</v>
      </c>
      <c r="C8" t="s">
        <v>15</v>
      </c>
      <c r="D8" t="s">
        <v>243</v>
      </c>
      <c r="E8" s="5">
        <v>16</v>
      </c>
      <c r="F8" s="1"/>
      <c r="G8" s="2"/>
      <c r="H8" s="1">
        <v>45100</v>
      </c>
    </row>
    <row r="9" spans="2:10" x14ac:dyDescent="0.25">
      <c r="B9" s="4">
        <v>45546</v>
      </c>
      <c r="C9" t="s">
        <v>16</v>
      </c>
      <c r="D9" t="s">
        <v>44</v>
      </c>
      <c r="E9" s="5">
        <v>40</v>
      </c>
      <c r="F9" s="1"/>
      <c r="G9" s="2"/>
      <c r="H9" s="1">
        <v>2700</v>
      </c>
    </row>
    <row r="10" spans="2:10" x14ac:dyDescent="0.25">
      <c r="B10" s="4">
        <v>45546</v>
      </c>
      <c r="C10" t="s">
        <v>18</v>
      </c>
      <c r="D10" t="s">
        <v>42</v>
      </c>
      <c r="E10" s="5">
        <v>4</v>
      </c>
      <c r="F10" s="1"/>
      <c r="G10" s="2"/>
      <c r="H10" s="1">
        <v>6800</v>
      </c>
    </row>
    <row r="11" spans="2:10" x14ac:dyDescent="0.25">
      <c r="B11" s="4">
        <v>45547</v>
      </c>
      <c r="C11" t="s">
        <v>17</v>
      </c>
      <c r="D11" t="s">
        <v>57</v>
      </c>
      <c r="E11" s="5">
        <v>45</v>
      </c>
      <c r="F11" s="1"/>
      <c r="G11" s="2"/>
      <c r="H11" s="1">
        <v>108600</v>
      </c>
    </row>
    <row r="12" spans="2:10" x14ac:dyDescent="0.25">
      <c r="B12" s="4">
        <v>45547</v>
      </c>
      <c r="C12" t="s">
        <v>18</v>
      </c>
      <c r="D12" t="s">
        <v>42</v>
      </c>
      <c r="E12" s="5">
        <v>24</v>
      </c>
      <c r="F12" s="1"/>
      <c r="G12" s="2"/>
      <c r="H12" s="1">
        <v>54400</v>
      </c>
    </row>
    <row r="13" spans="2:10" x14ac:dyDescent="0.25">
      <c r="B13" s="4">
        <v>45547</v>
      </c>
      <c r="C13" t="s">
        <v>19</v>
      </c>
      <c r="D13" t="s">
        <v>46</v>
      </c>
      <c r="E13" s="5">
        <v>15</v>
      </c>
      <c r="F13" s="1"/>
      <c r="G13" s="2"/>
      <c r="H13" s="1">
        <v>29300</v>
      </c>
    </row>
    <row r="14" spans="2:10" x14ac:dyDescent="0.25">
      <c r="B14" s="4">
        <v>45547</v>
      </c>
      <c r="C14" t="s">
        <v>20</v>
      </c>
      <c r="D14" t="s">
        <v>151</v>
      </c>
      <c r="E14" s="5">
        <v>15</v>
      </c>
      <c r="F14" s="1"/>
      <c r="G14" s="2"/>
      <c r="H14" s="1">
        <v>33900</v>
      </c>
    </row>
    <row r="15" spans="2:10" x14ac:dyDescent="0.25">
      <c r="B15" s="4">
        <v>45547</v>
      </c>
      <c r="C15" t="s">
        <v>21</v>
      </c>
      <c r="D15" t="s">
        <v>244</v>
      </c>
      <c r="E15" s="5">
        <v>15</v>
      </c>
      <c r="F15" s="1"/>
      <c r="G15" s="2"/>
      <c r="H15" s="1">
        <v>31500</v>
      </c>
    </row>
    <row r="16" spans="2:10" x14ac:dyDescent="0.25">
      <c r="B16" s="4">
        <v>45547</v>
      </c>
      <c r="C16" t="s">
        <v>22</v>
      </c>
      <c r="D16" t="s">
        <v>143</v>
      </c>
      <c r="E16" s="5">
        <v>4</v>
      </c>
      <c r="F16" s="1"/>
      <c r="G16" s="2"/>
      <c r="H16" s="1">
        <v>7100</v>
      </c>
    </row>
    <row r="17" spans="2:8" x14ac:dyDescent="0.25">
      <c r="B17" s="4">
        <v>45547</v>
      </c>
      <c r="C17" t="s">
        <v>23</v>
      </c>
      <c r="D17" t="s">
        <v>245</v>
      </c>
      <c r="E17" s="5">
        <v>12</v>
      </c>
      <c r="F17" s="1"/>
      <c r="G17" s="2"/>
      <c r="H17" s="1">
        <v>21500</v>
      </c>
    </row>
    <row r="18" spans="2:8" x14ac:dyDescent="0.25">
      <c r="B18" s="4">
        <v>45548</v>
      </c>
      <c r="C18" t="s">
        <v>24</v>
      </c>
      <c r="D18" t="s">
        <v>78</v>
      </c>
      <c r="E18" s="5">
        <v>20</v>
      </c>
      <c r="F18" s="1">
        <v>3000</v>
      </c>
      <c r="G18" s="2">
        <v>1</v>
      </c>
      <c r="H18" s="1">
        <v>34900</v>
      </c>
    </row>
    <row r="19" spans="2:8" x14ac:dyDescent="0.25">
      <c r="B19" s="4">
        <v>45548</v>
      </c>
      <c r="C19" t="s">
        <v>26</v>
      </c>
      <c r="D19" t="s">
        <v>38</v>
      </c>
      <c r="E19" s="5">
        <v>15</v>
      </c>
      <c r="F19" s="1"/>
      <c r="G19" s="2"/>
      <c r="H19" s="1">
        <v>21700</v>
      </c>
    </row>
    <row r="20" spans="2:8" x14ac:dyDescent="0.25">
      <c r="B20" s="4">
        <v>45549</v>
      </c>
      <c r="C20" t="s">
        <v>25</v>
      </c>
      <c r="D20" t="s">
        <v>76</v>
      </c>
      <c r="E20" s="5">
        <v>15</v>
      </c>
      <c r="F20" s="1"/>
      <c r="G20" s="2"/>
      <c r="H20" s="1">
        <v>27000</v>
      </c>
    </row>
    <row r="21" spans="2:8" x14ac:dyDescent="0.25">
      <c r="B21" t="s">
        <v>13</v>
      </c>
      <c r="E21" s="5">
        <f>SUM(R_01[BOX])</f>
        <v>240</v>
      </c>
      <c r="H21">
        <f>SUBTOTAL(109,R_01[AMOUNT])</f>
        <v>424500</v>
      </c>
    </row>
  </sheetData>
  <conditionalFormatting sqref="F8:G20">
    <cfRule type="notContainsBlanks" dxfId="130" priority="9">
      <formula>LEN(TRIM(F8))&gt;0</formula>
    </cfRule>
  </conditionalFormatting>
  <conditionalFormatting sqref="G3:G4">
    <cfRule type="containsText" dxfId="129" priority="7" operator="containsText" text="NOT MATCHING">
      <formula>NOT(ISERROR(SEARCH("NOT MATCHING",G3)))</formula>
    </cfRule>
    <cfRule type="containsText" dxfId="128" priority="8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404C-45E5-4452-B1E8-0ABEEDFABD99}">
  <sheetPr codeName="Sheet10">
    <tabColor rgb="FFFF0000"/>
  </sheetPr>
  <dimension ref="B2:J11"/>
  <sheetViews>
    <sheetView workbookViewId="0">
      <selection activeCell="E10" sqref="E10"/>
    </sheetView>
  </sheetViews>
  <sheetFormatPr defaultRowHeight="15" x14ac:dyDescent="0.25"/>
  <cols>
    <col min="2" max="2" width="10.42578125" bestFit="1" customWidth="1"/>
    <col min="3" max="3" width="19" bestFit="1" customWidth="1"/>
    <col min="4" max="4" width="13.5703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209</v>
      </c>
      <c r="C3" s="1" t="s">
        <v>116</v>
      </c>
      <c r="D3" s="3">
        <v>45564</v>
      </c>
      <c r="E3" s="2">
        <v>9</v>
      </c>
      <c r="F3" s="1">
        <v>198</v>
      </c>
      <c r="G3" s="5" t="str">
        <f>IF(SUM(E6:E10)=RTN_209[[#This Row],[TOTAL BOX]],"MATCHING TOTAL BOX","NOT MATCHING ")</f>
        <v>MATCHING TOTAL BOX</v>
      </c>
      <c r="H3" s="2">
        <v>204200</v>
      </c>
      <c r="I3" s="2">
        <v>111300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45566</v>
      </c>
      <c r="C6" t="s">
        <v>129</v>
      </c>
      <c r="D6" t="s">
        <v>127</v>
      </c>
      <c r="E6" s="5">
        <v>53</v>
      </c>
      <c r="F6" s="1"/>
      <c r="G6" s="2"/>
      <c r="H6" s="1">
        <v>83400</v>
      </c>
    </row>
    <row r="7" spans="2:10" x14ac:dyDescent="0.25">
      <c r="B7" s="4">
        <v>45566</v>
      </c>
      <c r="C7" t="s">
        <v>77</v>
      </c>
      <c r="D7" t="s">
        <v>78</v>
      </c>
      <c r="E7" s="5">
        <v>20</v>
      </c>
      <c r="F7" s="1">
        <v>3000</v>
      </c>
      <c r="G7" s="2">
        <v>6</v>
      </c>
      <c r="H7" s="1">
        <v>22600</v>
      </c>
    </row>
    <row r="8" spans="2:10" x14ac:dyDescent="0.25">
      <c r="B8" s="4">
        <v>45566</v>
      </c>
      <c r="C8" t="s">
        <v>112</v>
      </c>
      <c r="D8" t="s">
        <v>76</v>
      </c>
      <c r="E8" s="5">
        <v>32</v>
      </c>
      <c r="F8" s="1"/>
      <c r="G8" s="2"/>
      <c r="H8" s="1">
        <v>41650</v>
      </c>
    </row>
    <row r="9" spans="2:10" x14ac:dyDescent="0.25">
      <c r="B9" s="4">
        <v>45566</v>
      </c>
      <c r="C9" t="s">
        <v>108</v>
      </c>
      <c r="D9" t="s">
        <v>38</v>
      </c>
      <c r="E9" s="5">
        <v>54</v>
      </c>
      <c r="F9" s="1"/>
      <c r="G9" s="2"/>
      <c r="H9" s="1">
        <v>75000</v>
      </c>
    </row>
    <row r="10" spans="2:10" x14ac:dyDescent="0.25">
      <c r="B10" s="4">
        <v>45566</v>
      </c>
      <c r="C10" t="s">
        <v>39</v>
      </c>
      <c r="D10" t="s">
        <v>40</v>
      </c>
      <c r="E10" s="5">
        <v>39</v>
      </c>
      <c r="F10" s="1"/>
      <c r="G10" s="2"/>
      <c r="H10" s="1">
        <v>40900</v>
      </c>
    </row>
    <row r="11" spans="2:10" x14ac:dyDescent="0.25">
      <c r="B11" t="s">
        <v>13</v>
      </c>
      <c r="E11" s="5">
        <f>SUM(R_09[BOX])</f>
        <v>198</v>
      </c>
      <c r="H11">
        <f>SUBTOTAL(109,R_09[AMOUNT])</f>
        <v>263550</v>
      </c>
    </row>
  </sheetData>
  <conditionalFormatting sqref="F6:G10">
    <cfRule type="notContainsBlanks" dxfId="104" priority="7">
      <formula>LEN(TRIM(F6))&gt;0</formula>
    </cfRule>
  </conditionalFormatting>
  <conditionalFormatting sqref="G3:G4">
    <cfRule type="containsText" dxfId="103" priority="5" operator="containsText" text="NOT MATCHING">
      <formula>NOT(ISERROR(SEARCH("NOT MATCHING",G3)))</formula>
    </cfRule>
    <cfRule type="containsText" dxfId="102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1AD4-DBDA-4182-AEA9-8455332E2B18}">
  <sheetPr codeName="Sheet11">
    <tabColor rgb="FFFF0000"/>
  </sheetPr>
  <dimension ref="B2:J16"/>
  <sheetViews>
    <sheetView zoomScale="93" workbookViewId="0">
      <selection activeCell="G14" sqref="G14"/>
    </sheetView>
  </sheetViews>
  <sheetFormatPr defaultRowHeight="15" x14ac:dyDescent="0.25"/>
  <cols>
    <col min="2" max="2" width="10.85546875" bestFit="1" customWidth="1"/>
    <col min="3" max="3" width="19" bestFit="1" customWidth="1"/>
    <col min="4" max="4" width="13.5703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210</v>
      </c>
      <c r="C3" s="1" t="s">
        <v>6</v>
      </c>
      <c r="D3" s="3">
        <v>45565</v>
      </c>
      <c r="E3" s="2">
        <v>10</v>
      </c>
      <c r="F3" s="1">
        <v>230</v>
      </c>
      <c r="G3" s="5" t="str">
        <f>IF(SUM(E6:E15)=RTN_210[[#This Row],[TOTAL BOX]],"MATCHING TOTAL BOX","NOT MATCHING ")</f>
        <v>MATCHING TOTAL BOX</v>
      </c>
      <c r="H3" s="2">
        <v>307800</v>
      </c>
      <c r="I3" s="2">
        <v>113400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45567</v>
      </c>
      <c r="C6" t="s">
        <v>58</v>
      </c>
      <c r="D6" t="s">
        <v>59</v>
      </c>
      <c r="E6" s="5">
        <v>20</v>
      </c>
      <c r="F6" s="1"/>
      <c r="G6" s="2"/>
      <c r="H6" s="1">
        <v>35900</v>
      </c>
    </row>
    <row r="7" spans="2:10" x14ac:dyDescent="0.25">
      <c r="B7" s="4">
        <v>45567</v>
      </c>
      <c r="C7" t="s">
        <v>120</v>
      </c>
      <c r="D7" t="s">
        <v>95</v>
      </c>
      <c r="E7" s="5">
        <v>25</v>
      </c>
      <c r="F7" s="1"/>
      <c r="G7" s="2"/>
      <c r="H7" s="1">
        <v>22050</v>
      </c>
    </row>
    <row r="8" spans="2:10" x14ac:dyDescent="0.25">
      <c r="B8" s="4">
        <v>45567</v>
      </c>
      <c r="C8" t="s">
        <v>119</v>
      </c>
      <c r="D8" t="s">
        <v>111</v>
      </c>
      <c r="E8" s="5">
        <v>15</v>
      </c>
      <c r="F8" s="1"/>
      <c r="G8" s="2"/>
      <c r="H8" s="1">
        <v>24650</v>
      </c>
    </row>
    <row r="9" spans="2:10" x14ac:dyDescent="0.25">
      <c r="B9" s="4">
        <v>45568</v>
      </c>
      <c r="C9" t="s">
        <v>112</v>
      </c>
      <c r="D9" t="s">
        <v>76</v>
      </c>
      <c r="E9" s="5">
        <v>20</v>
      </c>
      <c r="F9" s="1"/>
      <c r="G9" s="2"/>
      <c r="H9" s="1">
        <v>38700</v>
      </c>
    </row>
    <row r="10" spans="2:10" x14ac:dyDescent="0.25">
      <c r="B10" s="4">
        <v>45568</v>
      </c>
      <c r="C10" t="s">
        <v>77</v>
      </c>
      <c r="D10" t="s">
        <v>78</v>
      </c>
      <c r="E10" s="5">
        <v>20</v>
      </c>
      <c r="F10" s="1">
        <v>3000</v>
      </c>
      <c r="G10" s="2">
        <v>7</v>
      </c>
      <c r="H10" s="1">
        <v>34920</v>
      </c>
    </row>
    <row r="11" spans="2:10" x14ac:dyDescent="0.25">
      <c r="B11" s="4">
        <v>45568</v>
      </c>
      <c r="C11" t="s">
        <v>129</v>
      </c>
      <c r="D11" t="s">
        <v>127</v>
      </c>
      <c r="E11" s="5">
        <v>55</v>
      </c>
      <c r="F11" s="1"/>
      <c r="G11" s="2"/>
      <c r="H11" s="1">
        <v>108850</v>
      </c>
    </row>
    <row r="12" spans="2:10" x14ac:dyDescent="0.25">
      <c r="B12" s="4">
        <v>45568</v>
      </c>
      <c r="C12" t="s">
        <v>117</v>
      </c>
      <c r="D12" t="s">
        <v>38</v>
      </c>
      <c r="E12" s="5">
        <v>21</v>
      </c>
      <c r="F12" s="1"/>
      <c r="G12" s="2"/>
      <c r="H12" s="1">
        <v>42600</v>
      </c>
    </row>
    <row r="13" spans="2:10" x14ac:dyDescent="0.25">
      <c r="B13" s="4">
        <v>45567</v>
      </c>
      <c r="C13" t="s">
        <v>41</v>
      </c>
      <c r="D13" t="s">
        <v>42</v>
      </c>
      <c r="E13" s="5">
        <v>50</v>
      </c>
      <c r="F13" s="1"/>
      <c r="G13" s="2"/>
      <c r="H13" s="1">
        <v>98700</v>
      </c>
    </row>
    <row r="14" spans="2:10" x14ac:dyDescent="0.25">
      <c r="B14" s="4">
        <v>45567</v>
      </c>
      <c r="C14" t="s">
        <v>41</v>
      </c>
      <c r="D14" t="s">
        <v>42</v>
      </c>
      <c r="E14" s="5">
        <v>4</v>
      </c>
      <c r="F14" s="1"/>
      <c r="G14" s="2"/>
      <c r="H14" s="1">
        <v>7900</v>
      </c>
    </row>
    <row r="15" spans="2:10" x14ac:dyDescent="0.25">
      <c r="B15" s="4"/>
      <c r="E15" s="5"/>
      <c r="F15" s="1"/>
      <c r="G15" s="2"/>
      <c r="H15" s="1"/>
    </row>
    <row r="16" spans="2:10" x14ac:dyDescent="0.25">
      <c r="B16" t="s">
        <v>13</v>
      </c>
      <c r="E16" s="5">
        <f>SUM(R_10[BOX])</f>
        <v>230</v>
      </c>
      <c r="H16">
        <f>SUBTOTAL(109,R_10[AMOUNT])</f>
        <v>414270</v>
      </c>
    </row>
  </sheetData>
  <conditionalFormatting sqref="F6:G15">
    <cfRule type="notContainsBlanks" dxfId="101" priority="7">
      <formula>LEN(TRIM(F6))&gt;0</formula>
    </cfRule>
  </conditionalFormatting>
  <conditionalFormatting sqref="G3:G4">
    <cfRule type="containsText" dxfId="100" priority="5" operator="containsText" text="NOT MATCHING">
      <formula>NOT(ISERROR(SEARCH("NOT MATCHING",G3)))</formula>
    </cfRule>
    <cfRule type="containsText" dxfId="99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DF76-5C1E-4D9C-8BD8-B5AAE04F93C5}">
  <sheetPr codeName="Sheet12">
    <tabColor rgb="FFFF0000"/>
  </sheetPr>
  <dimension ref="B2:J13"/>
  <sheetViews>
    <sheetView zoomScale="84" zoomScaleNormal="70" workbookViewId="0">
      <selection activeCell="F7" sqref="F7"/>
    </sheetView>
  </sheetViews>
  <sheetFormatPr defaultRowHeight="15" x14ac:dyDescent="0.25"/>
  <cols>
    <col min="2" max="2" width="13.42578125" bestFit="1" customWidth="1"/>
    <col min="3" max="3" width="19" bestFit="1" customWidth="1"/>
    <col min="4" max="4" width="13.5703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211</v>
      </c>
      <c r="C3" s="1" t="s">
        <v>35</v>
      </c>
      <c r="D3" s="3"/>
      <c r="E3" s="2">
        <v>11</v>
      </c>
      <c r="F3" s="1">
        <v>200</v>
      </c>
      <c r="G3" s="5" t="str">
        <f>IF(SUM(E6:E12)=RTN_211[[#This Row],[TOTAL BOX]],"MATCHING TOTAL BOX","NOT MATCHING ")</f>
        <v>MATCHING TOTAL BOX</v>
      </c>
      <c r="H3" s="2">
        <v>296400</v>
      </c>
      <c r="I3" s="2">
        <v>109200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45568</v>
      </c>
      <c r="C6" t="s">
        <v>47</v>
      </c>
      <c r="D6" t="s">
        <v>48</v>
      </c>
      <c r="E6" s="5">
        <v>118</v>
      </c>
      <c r="F6" s="1"/>
      <c r="G6" s="2"/>
      <c r="H6" s="1">
        <v>230100</v>
      </c>
    </row>
    <row r="7" spans="2:10" x14ac:dyDescent="0.25">
      <c r="B7" s="4">
        <v>45568</v>
      </c>
      <c r="C7" t="s">
        <v>122</v>
      </c>
      <c r="D7" t="s">
        <v>135</v>
      </c>
      <c r="E7" s="5">
        <v>55</v>
      </c>
      <c r="F7" s="1"/>
      <c r="G7" s="2"/>
      <c r="H7" s="1">
        <v>117100</v>
      </c>
    </row>
    <row r="8" spans="2:10" x14ac:dyDescent="0.25">
      <c r="B8" s="4">
        <v>45568</v>
      </c>
      <c r="C8" t="s">
        <v>123</v>
      </c>
      <c r="D8" t="s">
        <v>124</v>
      </c>
      <c r="E8" s="5">
        <v>7</v>
      </c>
      <c r="F8" s="1"/>
      <c r="G8" s="2"/>
      <c r="H8" s="1">
        <v>12500</v>
      </c>
    </row>
    <row r="9" spans="2:10" x14ac:dyDescent="0.25">
      <c r="B9" s="4">
        <v>45569</v>
      </c>
      <c r="C9" t="s">
        <v>125</v>
      </c>
      <c r="D9" t="s">
        <v>99</v>
      </c>
      <c r="E9" s="5">
        <v>7</v>
      </c>
      <c r="F9" s="1"/>
      <c r="G9" s="2"/>
      <c r="H9" s="1">
        <v>9400</v>
      </c>
    </row>
    <row r="10" spans="2:10" x14ac:dyDescent="0.25">
      <c r="B10" s="4">
        <v>45572</v>
      </c>
      <c r="C10" t="s">
        <v>134</v>
      </c>
      <c r="D10" t="s">
        <v>63</v>
      </c>
      <c r="E10" s="5">
        <v>8</v>
      </c>
      <c r="F10" s="1"/>
      <c r="G10" s="2"/>
      <c r="H10" s="1">
        <v>13700</v>
      </c>
    </row>
    <row r="11" spans="2:10" x14ac:dyDescent="0.25">
      <c r="B11" s="4">
        <v>45568</v>
      </c>
      <c r="C11" t="s">
        <v>121</v>
      </c>
      <c r="D11" t="s">
        <v>46</v>
      </c>
      <c r="E11" s="5">
        <v>5</v>
      </c>
      <c r="F11" s="1"/>
      <c r="G11" s="2"/>
      <c r="H11" s="1">
        <v>9500</v>
      </c>
    </row>
    <row r="12" spans="2:10" x14ac:dyDescent="0.25">
      <c r="B12" s="4"/>
      <c r="E12" s="5"/>
      <c r="F12" s="1"/>
      <c r="G12" s="2"/>
      <c r="H12" s="1"/>
    </row>
    <row r="13" spans="2:10" x14ac:dyDescent="0.25">
      <c r="B13" t="s">
        <v>13</v>
      </c>
      <c r="E13" s="5">
        <f>SUM(R_11[BOX])</f>
        <v>200</v>
      </c>
      <c r="H13">
        <f>SUBTOTAL(109,R_11[AMOUNT])</f>
        <v>392300</v>
      </c>
    </row>
  </sheetData>
  <conditionalFormatting sqref="F6:G12">
    <cfRule type="notContainsBlanks" dxfId="98" priority="7">
      <formula>LEN(TRIM(F6))&gt;0</formula>
    </cfRule>
  </conditionalFormatting>
  <conditionalFormatting sqref="G3:G4">
    <cfRule type="containsText" dxfId="97" priority="5" operator="containsText" text="NOT MATCHING">
      <formula>NOT(ISERROR(SEARCH("NOT MATCHING",G3)))</formula>
    </cfRule>
    <cfRule type="containsText" dxfId="96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3A6D-F9FC-4EB2-A59A-FE08B298467A}">
  <sheetPr codeName="Sheet13">
    <tabColor rgb="FF92D050"/>
  </sheetPr>
  <dimension ref="B2:L19"/>
  <sheetViews>
    <sheetView tabSelected="1" workbookViewId="0">
      <selection activeCell="M13" sqref="M13"/>
    </sheetView>
  </sheetViews>
  <sheetFormatPr defaultRowHeight="15" x14ac:dyDescent="0.25"/>
  <cols>
    <col min="2" max="2" width="10.42578125" bestFit="1" customWidth="1"/>
    <col min="3" max="3" width="19" bestFit="1" customWidth="1"/>
    <col min="4" max="4" width="13.5703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212</v>
      </c>
      <c r="C3" s="1" t="s">
        <v>90</v>
      </c>
      <c r="D3" s="3"/>
      <c r="E3" s="2">
        <v>12</v>
      </c>
      <c r="F3" s="1">
        <v>200</v>
      </c>
      <c r="G3" s="5" t="str">
        <f>IF(SUM(E6:E11)=RTN_212[[#This Row],[TOTAL BOX]],"MATCHING TOTAL BOX","NOT MATCHING ")</f>
        <v>MATCHING TOTAL BOX</v>
      </c>
      <c r="H3" s="2">
        <v>219300</v>
      </c>
      <c r="I3" s="2">
        <v>113400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45569</v>
      </c>
      <c r="C6" t="s">
        <v>117</v>
      </c>
      <c r="D6" t="s">
        <v>38</v>
      </c>
      <c r="E6" s="5">
        <v>19</v>
      </c>
      <c r="F6" s="1"/>
      <c r="G6" s="2"/>
      <c r="H6" s="1">
        <v>46300</v>
      </c>
    </row>
    <row r="7" spans="2:10" x14ac:dyDescent="0.25">
      <c r="B7" s="4">
        <v>45569</v>
      </c>
      <c r="C7" t="s">
        <v>118</v>
      </c>
      <c r="D7" t="s">
        <v>127</v>
      </c>
      <c r="E7" s="5">
        <v>47</v>
      </c>
      <c r="F7" s="1"/>
      <c r="G7" s="2"/>
      <c r="H7" s="1">
        <v>124400</v>
      </c>
    </row>
    <row r="8" spans="2:10" x14ac:dyDescent="0.25">
      <c r="B8" s="4">
        <v>45569</v>
      </c>
      <c r="C8" t="s">
        <v>79</v>
      </c>
      <c r="D8" t="s">
        <v>126</v>
      </c>
      <c r="E8" s="5">
        <v>26</v>
      </c>
      <c r="F8" s="1"/>
      <c r="G8" s="2"/>
      <c r="H8" s="1">
        <v>59750</v>
      </c>
    </row>
    <row r="9" spans="2:10" x14ac:dyDescent="0.25">
      <c r="B9" s="8">
        <v>45570</v>
      </c>
      <c r="C9" t="s">
        <v>117</v>
      </c>
      <c r="D9" t="s">
        <v>38</v>
      </c>
      <c r="E9" s="5">
        <v>11</v>
      </c>
      <c r="F9" s="1"/>
      <c r="G9" s="2"/>
      <c r="H9" s="1">
        <v>22500</v>
      </c>
    </row>
    <row r="10" spans="2:10" x14ac:dyDescent="0.25">
      <c r="B10" s="8">
        <v>45570</v>
      </c>
      <c r="C10" t="s">
        <v>118</v>
      </c>
      <c r="D10" t="s">
        <v>127</v>
      </c>
      <c r="E10" s="5">
        <v>60</v>
      </c>
      <c r="F10" s="1"/>
      <c r="G10" s="2"/>
      <c r="H10" s="1">
        <v>115800</v>
      </c>
    </row>
    <row r="11" spans="2:10" x14ac:dyDescent="0.25">
      <c r="B11" s="8">
        <v>45570</v>
      </c>
      <c r="C11" t="s">
        <v>79</v>
      </c>
      <c r="D11" t="s">
        <v>126</v>
      </c>
      <c r="E11" s="5">
        <v>37</v>
      </c>
      <c r="F11" s="1"/>
      <c r="G11" s="2"/>
      <c r="H11" s="1">
        <v>56300</v>
      </c>
    </row>
    <row r="12" spans="2:10" x14ac:dyDescent="0.25">
      <c r="B12" t="s">
        <v>13</v>
      </c>
      <c r="E12" s="5">
        <f>SUM(R_12[BOX])</f>
        <v>200</v>
      </c>
      <c r="H12">
        <f>SUBTOTAL(109,R_12[AMOUNT])</f>
        <v>425050</v>
      </c>
    </row>
    <row r="19" spans="12:12" x14ac:dyDescent="0.25">
      <c r="L19" t="s">
        <v>189</v>
      </c>
    </row>
  </sheetData>
  <conditionalFormatting sqref="F6:G11">
    <cfRule type="notContainsBlanks" dxfId="95" priority="7">
      <formula>LEN(TRIM(F6))&gt;0</formula>
    </cfRule>
  </conditionalFormatting>
  <conditionalFormatting sqref="G3:G4">
    <cfRule type="containsText" dxfId="94" priority="5" operator="containsText" text="NOT MATCHING">
      <formula>NOT(ISERROR(SEARCH("NOT MATCHING",G3)))</formula>
    </cfRule>
    <cfRule type="containsText" dxfId="93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B9B-7039-4033-AE1C-983693FB5BF4}">
  <sheetPr codeName="Sheet14">
    <tabColor rgb="FFFF0000"/>
  </sheetPr>
  <dimension ref="B2:J9"/>
  <sheetViews>
    <sheetView workbookViewId="0">
      <selection activeCell="K16" sqref="K16"/>
    </sheetView>
  </sheetViews>
  <sheetFormatPr defaultRowHeight="15" x14ac:dyDescent="0.25"/>
  <cols>
    <col min="2" max="2" width="10.42578125" bestFit="1" customWidth="1"/>
    <col min="3" max="3" width="15" bestFit="1" customWidth="1"/>
    <col min="4" max="4" width="13.5703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213</v>
      </c>
      <c r="C3" s="1" t="s">
        <v>138</v>
      </c>
      <c r="D3" s="3">
        <v>45575</v>
      </c>
      <c r="E3" s="2">
        <v>13</v>
      </c>
      <c r="F3" s="1">
        <v>206</v>
      </c>
      <c r="G3" s="5" t="str">
        <f>IF(SUM(E6:E8)=RTN_213[[#This Row],[TOTAL BOX]],"MATCHING TOTAL BOX","NOT MATCHING ")</f>
        <v>MATCHING TOTAL BOX</v>
      </c>
      <c r="H3" s="2">
        <v>724450</v>
      </c>
      <c r="I3" s="2">
        <v>105000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45576</v>
      </c>
      <c r="C6" t="s">
        <v>106</v>
      </c>
      <c r="D6" t="s">
        <v>107</v>
      </c>
      <c r="E6" s="5">
        <v>97</v>
      </c>
      <c r="F6" s="1"/>
      <c r="G6" s="2"/>
      <c r="H6" s="1">
        <v>351420</v>
      </c>
    </row>
    <row r="7" spans="2:10" x14ac:dyDescent="0.25">
      <c r="B7" s="4">
        <v>45577</v>
      </c>
      <c r="C7" t="s">
        <v>121</v>
      </c>
      <c r="D7" t="s">
        <v>46</v>
      </c>
      <c r="E7" s="5">
        <v>43</v>
      </c>
      <c r="F7" s="1"/>
      <c r="G7" s="2"/>
      <c r="H7" s="1">
        <v>160800</v>
      </c>
    </row>
    <row r="8" spans="2:10" x14ac:dyDescent="0.25">
      <c r="B8" s="4">
        <v>45578</v>
      </c>
      <c r="C8" t="s">
        <v>121</v>
      </c>
      <c r="D8" t="s">
        <v>46</v>
      </c>
      <c r="E8" s="5">
        <v>66</v>
      </c>
      <c r="F8" s="1"/>
      <c r="G8" s="2"/>
      <c r="H8" s="1">
        <v>233800</v>
      </c>
    </row>
    <row r="9" spans="2:10" x14ac:dyDescent="0.25">
      <c r="B9" t="s">
        <v>13</v>
      </c>
      <c r="E9" s="5">
        <f>SUM(R_13[BOX])</f>
        <v>206</v>
      </c>
      <c r="H9">
        <f>SUBTOTAL(109,R_13[AMOUNT])</f>
        <v>746020</v>
      </c>
    </row>
  </sheetData>
  <conditionalFormatting sqref="F6:G8">
    <cfRule type="notContainsBlanks" dxfId="92" priority="7">
      <formula>LEN(TRIM(F6))&gt;0</formula>
    </cfRule>
  </conditionalFormatting>
  <conditionalFormatting sqref="G3:G4">
    <cfRule type="containsText" dxfId="91" priority="5" operator="containsText" text="NOT MATCHING">
      <formula>NOT(ISERROR(SEARCH("NOT MATCHING",G3)))</formula>
    </cfRule>
    <cfRule type="containsText" dxfId="90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CE0A-837C-4A43-B883-F4175B538E33}">
  <sheetPr codeName="Sheet15">
    <tabColor rgb="FF92D050"/>
  </sheetPr>
  <dimension ref="B2:J10"/>
  <sheetViews>
    <sheetView workbookViewId="0">
      <selection activeCell="M10" sqref="M10"/>
    </sheetView>
  </sheetViews>
  <sheetFormatPr defaultRowHeight="15" x14ac:dyDescent="0.25"/>
  <cols>
    <col min="2" max="2" width="10.42578125" bestFit="1" customWidth="1"/>
    <col min="3" max="3" width="17.28515625" bestFit="1" customWidth="1"/>
    <col min="4" max="4" width="13.5703125" bestFit="1" customWidth="1"/>
    <col min="5" max="5" width="10.42578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214</v>
      </c>
      <c r="C3" s="1" t="s">
        <v>139</v>
      </c>
      <c r="D3" s="3">
        <v>45579</v>
      </c>
      <c r="E3" s="2">
        <v>14</v>
      </c>
      <c r="F3" s="1">
        <v>200</v>
      </c>
      <c r="G3" s="5" t="str">
        <f>IF(SUM(E6:E9)=RTN_214[[#This Row],[TOTAL BOX]],"MATCHING TOTAL BOX","NOT MATCHING ")</f>
        <v>MATCHING TOTAL BOX</v>
      </c>
      <c r="H3" s="2">
        <v>294400</v>
      </c>
      <c r="I3" s="2">
        <v>109200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45581</v>
      </c>
      <c r="C6" t="s">
        <v>146</v>
      </c>
      <c r="D6" t="s">
        <v>145</v>
      </c>
      <c r="E6" s="5">
        <v>113</v>
      </c>
      <c r="F6" s="1"/>
      <c r="G6" s="2"/>
      <c r="H6" s="1">
        <v>246700</v>
      </c>
    </row>
    <row r="7" spans="2:10" x14ac:dyDescent="0.25">
      <c r="B7" s="4">
        <v>45581</v>
      </c>
      <c r="C7" t="s">
        <v>77</v>
      </c>
      <c r="D7" t="s">
        <v>78</v>
      </c>
      <c r="E7" s="5">
        <v>30</v>
      </c>
      <c r="F7" s="1">
        <v>3000</v>
      </c>
      <c r="G7" s="2">
        <v>9</v>
      </c>
      <c r="H7" s="1">
        <v>61800</v>
      </c>
    </row>
    <row r="8" spans="2:10" x14ac:dyDescent="0.25">
      <c r="B8" s="4">
        <v>45581</v>
      </c>
      <c r="C8" t="s">
        <v>79</v>
      </c>
      <c r="D8" t="s">
        <v>80</v>
      </c>
      <c r="E8" s="5">
        <v>52</v>
      </c>
      <c r="F8" s="1"/>
      <c r="G8" s="2"/>
      <c r="H8" s="1">
        <v>111400</v>
      </c>
    </row>
    <row r="9" spans="2:10" x14ac:dyDescent="0.25">
      <c r="B9" s="4">
        <v>45581</v>
      </c>
      <c r="C9" t="s">
        <v>81</v>
      </c>
      <c r="D9" t="s">
        <v>38</v>
      </c>
      <c r="E9" s="5">
        <v>5</v>
      </c>
      <c r="F9" s="1"/>
      <c r="G9" s="2"/>
      <c r="H9" s="1">
        <v>11050</v>
      </c>
    </row>
    <row r="10" spans="2:10" x14ac:dyDescent="0.25">
      <c r="B10" t="s">
        <v>13</v>
      </c>
      <c r="E10" s="5">
        <f>SUM(R_14[BOX])</f>
        <v>200</v>
      </c>
      <c r="H10">
        <f>SUBTOTAL(109,R_14[AMOUNT])</f>
        <v>430950</v>
      </c>
    </row>
  </sheetData>
  <conditionalFormatting sqref="F6:G9">
    <cfRule type="notContainsBlanks" dxfId="89" priority="7">
      <formula>LEN(TRIM(F6))&gt;0</formula>
    </cfRule>
  </conditionalFormatting>
  <conditionalFormatting sqref="G3:G4">
    <cfRule type="containsText" dxfId="88" priority="5" operator="containsText" text="NOT MATCHING">
      <formula>NOT(ISERROR(SEARCH("NOT MATCHING",G3)))</formula>
    </cfRule>
    <cfRule type="containsText" dxfId="87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F7EF-4BA2-4C6E-BB29-634BDB5EE9DB}">
  <sheetPr codeName="Sheet16">
    <tabColor rgb="FF92D050"/>
  </sheetPr>
  <dimension ref="B1:J15"/>
  <sheetViews>
    <sheetView topLeftCell="A8" workbookViewId="0">
      <selection activeCell="E16" sqref="E16:K26"/>
    </sheetView>
  </sheetViews>
  <sheetFormatPr defaultRowHeight="15" x14ac:dyDescent="0.25"/>
  <cols>
    <col min="2" max="2" width="10.42578125" bestFit="1" customWidth="1"/>
    <col min="3" max="3" width="17.7109375" bestFit="1" customWidth="1"/>
    <col min="4" max="4" width="13.5703125" bestFit="1" customWidth="1"/>
    <col min="5" max="5" width="10.42578125" bestFit="1" customWidth="1"/>
    <col min="6" max="6" width="15.7109375" bestFit="1" customWidth="1"/>
    <col min="7" max="7" width="23.85546875" bestFit="1" customWidth="1"/>
  </cols>
  <sheetData>
    <row r="1" spans="2:10" x14ac:dyDescent="0.25">
      <c r="B1" s="14" t="s">
        <v>140</v>
      </c>
      <c r="C1" s="14"/>
      <c r="D1" s="14"/>
      <c r="E1" s="14"/>
      <c r="F1" s="14"/>
      <c r="G1" s="14"/>
    </row>
    <row r="2" spans="2:10" x14ac:dyDescent="0.25">
      <c r="B2" s="14"/>
      <c r="C2" s="14"/>
      <c r="D2" s="14"/>
      <c r="E2" s="14"/>
      <c r="F2" s="14"/>
      <c r="G2" s="14"/>
    </row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14</v>
      </c>
      <c r="I3" s="1" t="s">
        <v>241</v>
      </c>
      <c r="J3" s="1" t="s">
        <v>240</v>
      </c>
    </row>
    <row r="4" spans="2:10" x14ac:dyDescent="0.25">
      <c r="B4" s="2"/>
      <c r="C4" s="1" t="s">
        <v>141</v>
      </c>
      <c r="D4" s="3">
        <v>45575</v>
      </c>
      <c r="E4" s="2">
        <v>2</v>
      </c>
      <c r="F4" s="1">
        <v>239</v>
      </c>
      <c r="G4" s="5" t="str">
        <f>IF(SUM(E7:E14)=AL_102[[#This Row],[TOTAL BOX]],"MATCHING TOTAL BOX","NOT MATCHING ")</f>
        <v>MATCHING TOTAL BOX</v>
      </c>
      <c r="H4" s="2">
        <v>2997911</v>
      </c>
      <c r="I4" s="2">
        <v>126000</v>
      </c>
      <c r="J4" s="2">
        <v>4000</v>
      </c>
    </row>
    <row r="5" spans="2:10" x14ac:dyDescent="0.25">
      <c r="B5" s="2"/>
      <c r="C5" s="2"/>
      <c r="D5" s="3"/>
      <c r="E5" s="2"/>
      <c r="F5" s="1"/>
      <c r="G5" s="2"/>
      <c r="H5" s="2"/>
      <c r="I5" s="2"/>
      <c r="J5" s="2"/>
    </row>
    <row r="6" spans="2:10" x14ac:dyDescent="0.25">
      <c r="B6" s="1" t="s">
        <v>7</v>
      </c>
      <c r="C6" s="1" t="s">
        <v>8</v>
      </c>
      <c r="D6" s="1" t="s">
        <v>36</v>
      </c>
      <c r="E6" s="1" t="s">
        <v>9</v>
      </c>
      <c r="F6" s="1" t="s">
        <v>10</v>
      </c>
      <c r="G6" s="1" t="s">
        <v>11</v>
      </c>
      <c r="H6" s="1" t="s">
        <v>12</v>
      </c>
    </row>
    <row r="7" spans="2:10" x14ac:dyDescent="0.25">
      <c r="B7" s="4">
        <v>45577</v>
      </c>
      <c r="C7" t="s">
        <v>88</v>
      </c>
      <c r="D7" t="s">
        <v>123</v>
      </c>
      <c r="E7" s="5">
        <v>39</v>
      </c>
      <c r="F7" s="1"/>
      <c r="G7" s="2"/>
      <c r="H7" s="1">
        <v>102050</v>
      </c>
    </row>
    <row r="8" spans="2:10" x14ac:dyDescent="0.25">
      <c r="B8" s="4">
        <v>45578</v>
      </c>
      <c r="C8" t="s">
        <v>39</v>
      </c>
      <c r="D8" t="s">
        <v>40</v>
      </c>
      <c r="E8" s="5">
        <v>11</v>
      </c>
      <c r="F8" s="1"/>
      <c r="G8" s="2"/>
      <c r="H8" s="1">
        <v>28000</v>
      </c>
    </row>
    <row r="9" spans="2:10" x14ac:dyDescent="0.25">
      <c r="B9" s="4">
        <v>45578</v>
      </c>
      <c r="C9" t="s">
        <v>142</v>
      </c>
      <c r="D9" t="s">
        <v>143</v>
      </c>
      <c r="E9" s="5">
        <v>40</v>
      </c>
      <c r="F9" s="1"/>
      <c r="G9" s="2"/>
      <c r="H9" s="1">
        <v>94100</v>
      </c>
    </row>
    <row r="10" spans="2:10" x14ac:dyDescent="0.25">
      <c r="B10" s="4">
        <v>45579</v>
      </c>
      <c r="C10" t="s">
        <v>77</v>
      </c>
      <c r="D10" t="s">
        <v>78</v>
      </c>
      <c r="E10" s="5">
        <v>32</v>
      </c>
      <c r="F10" s="1">
        <v>3000</v>
      </c>
      <c r="G10" s="2">
        <v>8</v>
      </c>
      <c r="H10" s="1">
        <v>70170</v>
      </c>
    </row>
    <row r="11" spans="2:10" x14ac:dyDescent="0.25">
      <c r="B11" s="4">
        <v>45579</v>
      </c>
      <c r="C11" t="s">
        <v>79</v>
      </c>
      <c r="D11" t="s">
        <v>80</v>
      </c>
      <c r="E11" s="5">
        <v>58</v>
      </c>
      <c r="F11" s="1"/>
      <c r="G11" s="2"/>
      <c r="H11" s="1">
        <v>132450</v>
      </c>
    </row>
    <row r="12" spans="2:10" x14ac:dyDescent="0.25">
      <c r="B12" s="4">
        <v>45579</v>
      </c>
      <c r="C12" t="s">
        <v>81</v>
      </c>
      <c r="D12" t="s">
        <v>144</v>
      </c>
      <c r="E12" s="5">
        <v>12</v>
      </c>
      <c r="F12" s="1"/>
      <c r="G12" s="2"/>
      <c r="H12" s="1">
        <v>26900</v>
      </c>
    </row>
    <row r="13" spans="2:10" x14ac:dyDescent="0.25">
      <c r="B13" s="4">
        <v>45579</v>
      </c>
      <c r="C13" t="s">
        <v>73</v>
      </c>
      <c r="D13" t="s">
        <v>145</v>
      </c>
      <c r="E13" s="5">
        <v>27</v>
      </c>
      <c r="F13" s="1"/>
      <c r="G13" s="2"/>
      <c r="H13" s="1">
        <v>62800</v>
      </c>
    </row>
    <row r="14" spans="2:10" x14ac:dyDescent="0.25">
      <c r="B14" s="4">
        <v>45575</v>
      </c>
      <c r="C14" t="s">
        <v>75</v>
      </c>
      <c r="D14" t="s">
        <v>76</v>
      </c>
      <c r="E14" s="5">
        <v>20</v>
      </c>
      <c r="F14" s="1"/>
      <c r="G14" s="2"/>
      <c r="H14" s="1">
        <v>47700</v>
      </c>
    </row>
    <row r="15" spans="2:10" x14ac:dyDescent="0.25">
      <c r="B15" t="s">
        <v>13</v>
      </c>
      <c r="E15" s="5">
        <f>SUM(AL_02[BOX])</f>
        <v>239</v>
      </c>
      <c r="H15">
        <f>SUBTOTAL(109,AL_02[AMOUNT])</f>
        <v>564170</v>
      </c>
    </row>
  </sheetData>
  <mergeCells count="1">
    <mergeCell ref="B1:G2"/>
  </mergeCells>
  <conditionalFormatting sqref="F7:G14">
    <cfRule type="notContainsBlanks" dxfId="86" priority="7">
      <formula>LEN(TRIM(F7))&gt;0</formula>
    </cfRule>
  </conditionalFormatting>
  <conditionalFormatting sqref="G4:G5">
    <cfRule type="containsText" dxfId="85" priority="5" operator="containsText" text="NOT MATCHING">
      <formula>NOT(ISERROR(SEARCH("NOT MATCHING",G4)))</formula>
    </cfRule>
    <cfRule type="containsText" dxfId="84" priority="6" operator="containsText" text="MATCHING TOTAL BOX">
      <formula>NOT(ISERROR(SEARCH("MATCHING TOTAL BOX",G4)))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D0DA-78BC-4521-B51A-DDFB9DAEFC7C}">
  <sheetPr codeName="Sheet17">
    <tabColor rgb="FFFF0000"/>
  </sheetPr>
  <dimension ref="B2:J14"/>
  <sheetViews>
    <sheetView topLeftCell="A3" zoomScale="88" workbookViewId="0">
      <selection activeCell="F12" sqref="F12"/>
    </sheetView>
  </sheetViews>
  <sheetFormatPr defaultRowHeight="15" x14ac:dyDescent="0.25"/>
  <cols>
    <col min="2" max="2" width="11.5703125" bestFit="1" customWidth="1"/>
    <col min="3" max="3" width="17.28515625" bestFit="1" customWidth="1"/>
    <col min="4" max="4" width="13.5703125" bestFit="1" customWidth="1"/>
    <col min="5" max="5" width="10.42578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215</v>
      </c>
      <c r="C3" s="1" t="s">
        <v>147</v>
      </c>
      <c r="D3" s="3">
        <v>45583</v>
      </c>
      <c r="E3" s="2">
        <v>15</v>
      </c>
      <c r="F3" s="1">
        <v>200</v>
      </c>
      <c r="G3" s="5" t="str">
        <f>IF(SUM(E6:E13)=RTN_215[[#This Row],[TOTAL BOX]],"MATCHING TOTAL BOX","NOT MATCHING ")</f>
        <v>MATCHING TOTAL BOX</v>
      </c>
      <c r="H3" s="2">
        <v>493800</v>
      </c>
      <c r="I3" s="2">
        <v>113570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45585</v>
      </c>
      <c r="C6" t="s">
        <v>43</v>
      </c>
      <c r="D6" t="s">
        <v>44</v>
      </c>
      <c r="E6" s="5">
        <v>11</v>
      </c>
      <c r="F6" s="1"/>
      <c r="G6" s="2"/>
      <c r="H6" s="1">
        <v>32250</v>
      </c>
    </row>
    <row r="7" spans="2:10" x14ac:dyDescent="0.25">
      <c r="B7" s="4">
        <v>45585</v>
      </c>
      <c r="C7" t="s">
        <v>125</v>
      </c>
      <c r="D7" t="s">
        <v>99</v>
      </c>
      <c r="E7" s="5">
        <v>31</v>
      </c>
      <c r="F7" s="1"/>
      <c r="G7" s="2"/>
      <c r="H7" s="1">
        <v>97600</v>
      </c>
    </row>
    <row r="8" spans="2:10" x14ac:dyDescent="0.25">
      <c r="B8" s="4">
        <v>45585</v>
      </c>
      <c r="C8" t="s">
        <v>148</v>
      </c>
      <c r="D8" t="s">
        <v>149</v>
      </c>
      <c r="E8" s="5">
        <v>25</v>
      </c>
      <c r="F8" s="1"/>
      <c r="G8" s="2"/>
      <c r="H8" s="1">
        <v>80100</v>
      </c>
    </row>
    <row r="9" spans="2:10" x14ac:dyDescent="0.25">
      <c r="B9" s="4">
        <v>45585</v>
      </c>
      <c r="C9" t="s">
        <v>41</v>
      </c>
      <c r="D9" t="s">
        <v>42</v>
      </c>
      <c r="E9" s="5">
        <v>39</v>
      </c>
      <c r="F9" s="1"/>
      <c r="G9" s="2"/>
      <c r="H9" s="1">
        <v>118000</v>
      </c>
    </row>
    <row r="10" spans="2:10" x14ac:dyDescent="0.25">
      <c r="B10" s="4">
        <v>45586</v>
      </c>
      <c r="C10" t="s">
        <v>41</v>
      </c>
      <c r="D10" t="s">
        <v>42</v>
      </c>
      <c r="E10" s="5">
        <v>35</v>
      </c>
      <c r="F10" s="1"/>
      <c r="G10" s="2"/>
      <c r="H10" s="1">
        <v>107800</v>
      </c>
    </row>
    <row r="11" spans="2:10" x14ac:dyDescent="0.25">
      <c r="B11" s="4">
        <v>45586</v>
      </c>
      <c r="C11" t="s">
        <v>41</v>
      </c>
      <c r="D11" t="s">
        <v>42</v>
      </c>
      <c r="E11" s="5">
        <v>18</v>
      </c>
      <c r="F11" s="1"/>
      <c r="G11" s="2"/>
      <c r="H11" s="1">
        <v>53800</v>
      </c>
    </row>
    <row r="12" spans="2:10" x14ac:dyDescent="0.25">
      <c r="B12" s="4">
        <v>45587</v>
      </c>
      <c r="C12" t="s">
        <v>150</v>
      </c>
      <c r="D12" t="s">
        <v>151</v>
      </c>
      <c r="E12" s="5">
        <v>25</v>
      </c>
      <c r="F12" s="1"/>
      <c r="G12" s="2"/>
      <c r="H12" s="1">
        <v>60900</v>
      </c>
    </row>
    <row r="13" spans="2:10" x14ac:dyDescent="0.25">
      <c r="B13" s="4">
        <v>45587</v>
      </c>
      <c r="C13" t="s">
        <v>152</v>
      </c>
      <c r="D13" t="s">
        <v>153</v>
      </c>
      <c r="E13" s="5">
        <v>16</v>
      </c>
      <c r="F13" s="1"/>
      <c r="G13" s="2"/>
      <c r="H13" s="1">
        <v>38700</v>
      </c>
    </row>
    <row r="14" spans="2:10" x14ac:dyDescent="0.25">
      <c r="B14" t="s">
        <v>13</v>
      </c>
      <c r="E14" s="5">
        <f>SUM(R_15[BOX])</f>
        <v>200</v>
      </c>
      <c r="H14">
        <f>SUBTOTAL(109,R_15[AMOUNT])</f>
        <v>589150</v>
      </c>
    </row>
  </sheetData>
  <conditionalFormatting sqref="F6:G13">
    <cfRule type="notContainsBlanks" dxfId="83" priority="7">
      <formula>LEN(TRIM(F6))&gt;0</formula>
    </cfRule>
  </conditionalFormatting>
  <conditionalFormatting sqref="G3:G4">
    <cfRule type="containsText" dxfId="82" priority="5" operator="containsText" text="NOT MATCHING">
      <formula>NOT(ISERROR(SEARCH("NOT MATCHING",G3)))</formula>
    </cfRule>
    <cfRule type="containsText" dxfId="81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A697-7442-42B9-A426-9F18A7DA97F0}">
  <sheetPr codeName="Sheet18">
    <tabColor rgb="FF7030A0"/>
  </sheetPr>
  <dimension ref="B2:J18"/>
  <sheetViews>
    <sheetView zoomScale="85" zoomScaleNormal="85" workbookViewId="0">
      <selection activeCell="I6" sqref="I6"/>
    </sheetView>
  </sheetViews>
  <sheetFormatPr defaultRowHeight="15" x14ac:dyDescent="0.25"/>
  <cols>
    <col min="2" max="2" width="10.425781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216</v>
      </c>
      <c r="C3" s="1" t="s">
        <v>141</v>
      </c>
      <c r="D3" s="3">
        <v>45587</v>
      </c>
      <c r="E3" s="2">
        <v>16</v>
      </c>
      <c r="F3" s="1">
        <v>227</v>
      </c>
      <c r="G3" s="5" t="str">
        <f>IF(SUM(E6:E13)=RTN_216[[#This Row],[TOTAL BOX]],"MATCHING TOTAL BOX","NOT MATCHING ")</f>
        <v>MATCHING TOTAL BOX</v>
      </c>
      <c r="H3" s="2">
        <v>437200</v>
      </c>
      <c r="I3" s="2">
        <v>109200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45589</v>
      </c>
      <c r="C6" t="s">
        <v>47</v>
      </c>
      <c r="D6" t="s">
        <v>48</v>
      </c>
      <c r="E6" s="5">
        <v>55</v>
      </c>
      <c r="F6" s="1"/>
      <c r="G6" s="2"/>
      <c r="H6" s="1">
        <v>157230</v>
      </c>
    </row>
    <row r="7" spans="2:10" x14ac:dyDescent="0.25">
      <c r="B7" s="4">
        <v>45589</v>
      </c>
      <c r="C7" t="s">
        <v>150</v>
      </c>
      <c r="D7" t="s">
        <v>151</v>
      </c>
      <c r="E7" s="5">
        <v>34</v>
      </c>
      <c r="F7" s="1">
        <v>5000</v>
      </c>
      <c r="G7" s="2">
        <v>1</v>
      </c>
      <c r="H7" s="1">
        <v>91750</v>
      </c>
    </row>
    <row r="8" spans="2:10" x14ac:dyDescent="0.25">
      <c r="B8" s="4">
        <v>45589</v>
      </c>
      <c r="C8" t="s">
        <v>41</v>
      </c>
      <c r="D8" t="s">
        <v>42</v>
      </c>
      <c r="E8" s="5">
        <v>1</v>
      </c>
      <c r="F8" s="1"/>
      <c r="G8" s="2"/>
      <c r="H8" s="1">
        <v>1500</v>
      </c>
    </row>
    <row r="9" spans="2:10" x14ac:dyDescent="0.25">
      <c r="B9" s="4">
        <v>45589</v>
      </c>
      <c r="C9" t="s">
        <v>47</v>
      </c>
      <c r="D9" t="s">
        <v>158</v>
      </c>
      <c r="E9" s="5">
        <v>32</v>
      </c>
      <c r="F9" s="1"/>
      <c r="G9" s="2"/>
      <c r="H9" s="1">
        <v>91400</v>
      </c>
    </row>
    <row r="10" spans="2:10" x14ac:dyDescent="0.25">
      <c r="B10" s="4">
        <v>45590</v>
      </c>
      <c r="C10" t="s">
        <v>159</v>
      </c>
      <c r="D10" t="s">
        <v>76</v>
      </c>
      <c r="E10" s="5">
        <v>35</v>
      </c>
      <c r="F10" s="1"/>
      <c r="G10" s="2"/>
      <c r="H10" s="1">
        <v>45100</v>
      </c>
    </row>
    <row r="11" spans="2:10" x14ac:dyDescent="0.25">
      <c r="B11" s="4"/>
      <c r="C11" t="s">
        <v>152</v>
      </c>
      <c r="D11" t="s">
        <v>153</v>
      </c>
      <c r="E11" s="5">
        <v>30</v>
      </c>
      <c r="F11" s="1"/>
      <c r="G11" s="2"/>
      <c r="H11" s="1">
        <v>0</v>
      </c>
    </row>
    <row r="12" spans="2:10" x14ac:dyDescent="0.25">
      <c r="B12" s="4">
        <v>45589</v>
      </c>
      <c r="C12" t="s">
        <v>121</v>
      </c>
      <c r="D12" t="s">
        <v>46</v>
      </c>
      <c r="E12" s="5">
        <v>40</v>
      </c>
      <c r="F12" s="1"/>
      <c r="G12" s="2"/>
      <c r="H12" s="1">
        <v>122400</v>
      </c>
    </row>
    <row r="13" spans="2:10" x14ac:dyDescent="0.25">
      <c r="B13" s="4"/>
      <c r="E13" s="5"/>
      <c r="F13" s="1"/>
      <c r="G13" s="2"/>
      <c r="H13" s="1"/>
    </row>
    <row r="14" spans="2:10" x14ac:dyDescent="0.25">
      <c r="B14" s="9" t="s">
        <v>13</v>
      </c>
      <c r="C14" s="9"/>
      <c r="D14" s="9"/>
      <c r="E14" s="10">
        <f>SUM(R_16[BOX])</f>
        <v>227</v>
      </c>
      <c r="F14" s="9"/>
      <c r="G14" s="9"/>
      <c r="H14" s="9">
        <f>SUBTOTAL(109,R_16[AMOUNT])</f>
        <v>509380</v>
      </c>
    </row>
    <row r="18" spans="3:3" x14ac:dyDescent="0.25">
      <c r="C18" t="s">
        <v>209</v>
      </c>
    </row>
  </sheetData>
  <conditionalFormatting sqref="F6:G13">
    <cfRule type="notContainsBlanks" dxfId="80" priority="1">
      <formula>LEN(TRIM(F6))&gt;0</formula>
    </cfRule>
  </conditionalFormatting>
  <conditionalFormatting sqref="G3:G4">
    <cfRule type="containsText" dxfId="79" priority="6" operator="containsText" text="NOT MATCHING">
      <formula>NOT(ISERROR(SEARCH("NOT MATCHING",G3)))</formula>
    </cfRule>
    <cfRule type="containsText" dxfId="78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A23F-4E9E-42A7-90FE-4B9080C7D38B}">
  <sheetPr codeName="Sheet19">
    <tabColor rgb="FFFF0000"/>
  </sheetPr>
  <dimension ref="B2:J12"/>
  <sheetViews>
    <sheetView zoomScale="99" workbookViewId="0">
      <selection activeCell="G3" sqref="G3"/>
    </sheetView>
  </sheetViews>
  <sheetFormatPr defaultRowHeight="15" x14ac:dyDescent="0.25"/>
  <cols>
    <col min="2" max="2" width="10.425781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217</v>
      </c>
      <c r="C3" s="1" t="s">
        <v>154</v>
      </c>
      <c r="D3" s="3">
        <v>45588</v>
      </c>
      <c r="E3" s="2">
        <v>17</v>
      </c>
      <c r="F3" s="1">
        <v>231</v>
      </c>
      <c r="G3" s="5" t="str">
        <f>IF(SUM(E6:E11)=RTN_17[[#This Row],[TOTAL BOX]],"MATCHING TOTAL BOX","NOT MATCHING ")</f>
        <v>MATCHING TOTAL BOX</v>
      </c>
      <c r="H3" s="2">
        <v>186600</v>
      </c>
      <c r="I3" s="2">
        <v>123186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45590</v>
      </c>
      <c r="C6" t="s">
        <v>79</v>
      </c>
      <c r="D6" t="s">
        <v>80</v>
      </c>
      <c r="E6" s="5">
        <v>60</v>
      </c>
      <c r="F6" s="1"/>
      <c r="G6" s="2"/>
      <c r="H6" s="1">
        <v>73500</v>
      </c>
    </row>
    <row r="7" spans="2:10" x14ac:dyDescent="0.25">
      <c r="B7" s="4">
        <v>45590</v>
      </c>
      <c r="C7" t="s">
        <v>115</v>
      </c>
      <c r="D7" t="s">
        <v>155</v>
      </c>
      <c r="E7" s="5">
        <v>20</v>
      </c>
      <c r="F7" s="1"/>
      <c r="G7" s="2"/>
      <c r="H7" s="1">
        <v>22800</v>
      </c>
    </row>
    <row r="8" spans="2:10" x14ac:dyDescent="0.25">
      <c r="B8" s="4">
        <v>45591</v>
      </c>
      <c r="C8" t="s">
        <v>79</v>
      </c>
      <c r="D8" t="s">
        <v>80</v>
      </c>
      <c r="E8">
        <v>33</v>
      </c>
      <c r="H8">
        <v>45600</v>
      </c>
    </row>
    <row r="9" spans="2:10" x14ac:dyDescent="0.25">
      <c r="B9" s="4">
        <v>45591</v>
      </c>
      <c r="C9" t="s">
        <v>156</v>
      </c>
      <c r="D9" t="s">
        <v>38</v>
      </c>
      <c r="E9">
        <v>45</v>
      </c>
      <c r="H9">
        <v>50800</v>
      </c>
    </row>
    <row r="10" spans="2:10" x14ac:dyDescent="0.25">
      <c r="B10" s="4">
        <v>45591</v>
      </c>
      <c r="C10" t="s">
        <v>157</v>
      </c>
      <c r="D10" t="s">
        <v>145</v>
      </c>
      <c r="E10">
        <v>73</v>
      </c>
      <c r="H10">
        <v>85450</v>
      </c>
    </row>
    <row r="11" spans="2:10" x14ac:dyDescent="0.25">
      <c r="B11" s="4"/>
      <c r="E11" s="5"/>
      <c r="F11" s="1"/>
      <c r="G11" s="2"/>
      <c r="H11" s="1"/>
    </row>
    <row r="12" spans="2:10" x14ac:dyDescent="0.25">
      <c r="B12" s="9" t="s">
        <v>13</v>
      </c>
      <c r="C12" s="9"/>
      <c r="D12" s="9"/>
      <c r="E12" s="10">
        <f>SUM(R_17[BOX])</f>
        <v>231</v>
      </c>
      <c r="F12" s="9"/>
      <c r="G12" s="9"/>
      <c r="H12" s="9">
        <f>SUBTOTAL(109,R_17[AMOUNT])</f>
        <v>278150</v>
      </c>
    </row>
  </sheetData>
  <conditionalFormatting sqref="F6:G7">
    <cfRule type="notContainsBlanks" dxfId="77" priority="7">
      <formula>LEN(TRIM(F6))&gt;0</formula>
    </cfRule>
  </conditionalFormatting>
  <conditionalFormatting sqref="G3:G4">
    <cfRule type="containsText" dxfId="76" priority="5" operator="containsText" text="NOT MATCHING">
      <formula>NOT(ISERROR(SEARCH("NOT MATCHING",G3)))</formula>
    </cfRule>
    <cfRule type="containsText" dxfId="75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1C0E-5074-42D9-B066-43196D95F8B5}">
  <sheetPr codeName="Sheet2">
    <tabColor rgb="FFFF0000"/>
  </sheetPr>
  <dimension ref="B2:J16"/>
  <sheetViews>
    <sheetView workbookViewId="0">
      <selection activeCell="C3" sqref="C3"/>
    </sheetView>
  </sheetViews>
  <sheetFormatPr defaultRowHeight="15" x14ac:dyDescent="0.25"/>
  <cols>
    <col min="2" max="2" width="10.42578125" bestFit="1" customWidth="1"/>
    <col min="3" max="3" width="25.140625" bestFit="1" customWidth="1"/>
    <col min="4" max="4" width="10.42578125" bestFit="1" customWidth="1"/>
    <col min="5" max="5" width="12" bestFit="1" customWidth="1"/>
    <col min="6" max="6" width="15.7109375" bestFit="1" customWidth="1"/>
    <col min="7" max="7" width="23.85546875" bestFit="1" customWidth="1"/>
    <col min="8" max="8" width="12.71093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202</v>
      </c>
      <c r="C3" s="1" t="s">
        <v>128</v>
      </c>
      <c r="D3" s="3">
        <v>45546</v>
      </c>
      <c r="E3" s="2">
        <v>2</v>
      </c>
      <c r="F3" s="1">
        <v>200</v>
      </c>
      <c r="G3" s="5" t="str">
        <f>IF(SUM(E6:E15)=RTN_202[[#This Row],[TOTAL BOX]],"MATCHING TOTAL BOX","NOT MATCHING ")</f>
        <v>MATCHING TOTAL BOX</v>
      </c>
      <c r="H3" s="6">
        <v>359400</v>
      </c>
      <c r="I3">
        <v>99600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45547</v>
      </c>
      <c r="C6" t="s">
        <v>31</v>
      </c>
      <c r="D6" t="s">
        <v>123</v>
      </c>
      <c r="E6" s="5">
        <v>20</v>
      </c>
      <c r="G6" s="2"/>
      <c r="H6">
        <v>2700</v>
      </c>
    </row>
    <row r="7" spans="2:10" x14ac:dyDescent="0.25">
      <c r="B7" s="4">
        <v>45548</v>
      </c>
      <c r="C7" t="s">
        <v>28</v>
      </c>
      <c r="D7" t="s">
        <v>59</v>
      </c>
      <c r="E7" s="5">
        <v>23</v>
      </c>
      <c r="G7" s="2"/>
      <c r="H7">
        <v>6600</v>
      </c>
    </row>
    <row r="8" spans="2:10" x14ac:dyDescent="0.25">
      <c r="B8" s="4">
        <v>45548</v>
      </c>
      <c r="C8" t="s">
        <v>29</v>
      </c>
      <c r="D8" t="s">
        <v>111</v>
      </c>
      <c r="E8" s="5">
        <v>15</v>
      </c>
      <c r="G8" s="2"/>
      <c r="H8">
        <v>39600</v>
      </c>
    </row>
    <row r="9" spans="2:10" x14ac:dyDescent="0.25">
      <c r="B9" s="4">
        <v>45548</v>
      </c>
      <c r="C9" t="s">
        <v>15</v>
      </c>
      <c r="D9" t="s">
        <v>243</v>
      </c>
      <c r="E9" s="5">
        <v>15</v>
      </c>
      <c r="G9" s="2"/>
      <c r="H9">
        <v>36300</v>
      </c>
    </row>
    <row r="10" spans="2:10" x14ac:dyDescent="0.25">
      <c r="B10" s="4">
        <v>45548</v>
      </c>
      <c r="C10" t="s">
        <v>30</v>
      </c>
      <c r="D10" t="s">
        <v>57</v>
      </c>
      <c r="E10" s="5">
        <v>25</v>
      </c>
      <c r="G10" s="2"/>
      <c r="H10">
        <v>61300</v>
      </c>
    </row>
    <row r="11" spans="2:10" x14ac:dyDescent="0.25">
      <c r="B11" s="4">
        <v>45548</v>
      </c>
      <c r="C11" t="s">
        <v>32</v>
      </c>
      <c r="D11" t="s">
        <v>84</v>
      </c>
      <c r="E11" s="5">
        <v>14</v>
      </c>
      <c r="G11" s="2"/>
      <c r="H11">
        <v>29600</v>
      </c>
    </row>
    <row r="12" spans="2:10" x14ac:dyDescent="0.25">
      <c r="B12" s="4">
        <v>45549</v>
      </c>
      <c r="C12" t="s">
        <v>30</v>
      </c>
      <c r="D12" t="s">
        <v>57</v>
      </c>
      <c r="E12" s="5">
        <v>50</v>
      </c>
      <c r="G12" s="2"/>
      <c r="H12">
        <v>131000</v>
      </c>
    </row>
    <row r="13" spans="2:10" x14ac:dyDescent="0.25">
      <c r="B13" s="4">
        <v>45549</v>
      </c>
      <c r="C13" t="s">
        <v>32</v>
      </c>
      <c r="D13" t="s">
        <v>84</v>
      </c>
      <c r="E13" s="5">
        <v>7</v>
      </c>
      <c r="G13" s="2"/>
      <c r="H13">
        <v>13400</v>
      </c>
    </row>
    <row r="14" spans="2:10" x14ac:dyDescent="0.25">
      <c r="B14" s="4">
        <v>45549</v>
      </c>
      <c r="C14" t="s">
        <v>33</v>
      </c>
      <c r="D14" t="s">
        <v>96</v>
      </c>
      <c r="E14" s="5">
        <v>2</v>
      </c>
      <c r="G14" s="2"/>
      <c r="H14">
        <v>2000</v>
      </c>
    </row>
    <row r="15" spans="2:10" x14ac:dyDescent="0.25">
      <c r="B15" s="4">
        <v>45549</v>
      </c>
      <c r="C15" t="s">
        <v>34</v>
      </c>
      <c r="D15" t="s">
        <v>172</v>
      </c>
      <c r="E15" s="5">
        <v>29</v>
      </c>
      <c r="G15" s="2"/>
      <c r="H15">
        <v>27000</v>
      </c>
    </row>
    <row r="16" spans="2:10" x14ac:dyDescent="0.25">
      <c r="B16" t="s">
        <v>13</v>
      </c>
      <c r="E16" s="5">
        <f>SUM(R_02[BOX])</f>
        <v>200</v>
      </c>
      <c r="H16">
        <f>SUBTOTAL(109,R_02[AMOUNT])</f>
        <v>349500</v>
      </c>
    </row>
  </sheetData>
  <conditionalFormatting sqref="G3:G4">
    <cfRule type="containsText" dxfId="127" priority="5" operator="containsText" text="NOT MATCHING">
      <formula>NOT(ISERROR(SEARCH("NOT MATCHING",G3)))</formula>
    </cfRule>
    <cfRule type="containsText" dxfId="126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952B-D9EE-478B-B5FA-70C6B38A9268}">
  <sheetPr codeName="Sheet20">
    <tabColor rgb="FFFF0000"/>
  </sheetPr>
  <dimension ref="B2:J15"/>
  <sheetViews>
    <sheetView zoomScale="97" workbookViewId="0">
      <selection activeCell="I10" sqref="I10"/>
    </sheetView>
  </sheetViews>
  <sheetFormatPr defaultRowHeight="15" x14ac:dyDescent="0.25"/>
  <cols>
    <col min="2" max="2" width="10.425781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218</v>
      </c>
      <c r="C3" s="1" t="s">
        <v>160</v>
      </c>
      <c r="D3" s="3">
        <v>45595</v>
      </c>
      <c r="E3" s="2">
        <v>18</v>
      </c>
      <c r="F3" s="1">
        <v>200</v>
      </c>
      <c r="G3" s="5" t="str">
        <f>IF(SUM(E6:E14)=RTN_218[[#This Row],[TOTAL BOX]],"MATCHING TOTAL BOX","NOT MATCHING ")</f>
        <v>MATCHING TOTAL BOX</v>
      </c>
      <c r="H3" s="2">
        <v>443200</v>
      </c>
      <c r="I3" s="2">
        <v>109200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45597</v>
      </c>
      <c r="C6" t="s">
        <v>41</v>
      </c>
      <c r="D6" t="s">
        <v>42</v>
      </c>
      <c r="E6" s="5">
        <v>34</v>
      </c>
      <c r="F6" s="1"/>
      <c r="G6" s="2"/>
      <c r="H6" s="1">
        <v>101700</v>
      </c>
    </row>
    <row r="7" spans="2:10" x14ac:dyDescent="0.25">
      <c r="B7" s="4">
        <v>45597</v>
      </c>
      <c r="C7" t="s">
        <v>41</v>
      </c>
      <c r="D7" t="s">
        <v>42</v>
      </c>
      <c r="E7" s="5">
        <v>3</v>
      </c>
      <c r="F7" s="1"/>
      <c r="G7" s="2"/>
      <c r="H7" s="1">
        <v>8700</v>
      </c>
    </row>
    <row r="8" spans="2:10" x14ac:dyDescent="0.25">
      <c r="B8" s="4">
        <v>45597</v>
      </c>
      <c r="C8" t="s">
        <v>163</v>
      </c>
      <c r="D8" t="s">
        <v>151</v>
      </c>
      <c r="E8">
        <v>55</v>
      </c>
      <c r="F8">
        <v>5000</v>
      </c>
      <c r="G8">
        <v>2</v>
      </c>
      <c r="H8">
        <v>156400</v>
      </c>
    </row>
    <row r="9" spans="2:10" x14ac:dyDescent="0.25">
      <c r="B9" s="4">
        <v>45597</v>
      </c>
      <c r="C9" t="s">
        <v>47</v>
      </c>
      <c r="D9" t="s">
        <v>184</v>
      </c>
      <c r="E9">
        <v>19</v>
      </c>
      <c r="H9">
        <v>62600</v>
      </c>
    </row>
    <row r="10" spans="2:10" x14ac:dyDescent="0.25">
      <c r="B10" s="4">
        <v>45597</v>
      </c>
      <c r="C10" t="s">
        <v>165</v>
      </c>
      <c r="D10" t="s">
        <v>153</v>
      </c>
      <c r="E10" s="5">
        <v>30</v>
      </c>
      <c r="F10" s="1"/>
      <c r="G10" s="2"/>
      <c r="H10" s="1">
        <v>85600</v>
      </c>
    </row>
    <row r="11" spans="2:10" x14ac:dyDescent="0.25">
      <c r="B11" s="4">
        <v>45597</v>
      </c>
      <c r="C11" t="s">
        <v>121</v>
      </c>
      <c r="D11" t="s">
        <v>46</v>
      </c>
      <c r="E11" s="5">
        <v>1</v>
      </c>
      <c r="F11" s="1"/>
      <c r="G11" s="2"/>
      <c r="H11" s="1">
        <v>3100</v>
      </c>
    </row>
    <row r="12" spans="2:10" x14ac:dyDescent="0.25">
      <c r="B12" s="4">
        <v>45598</v>
      </c>
      <c r="C12" t="s">
        <v>161</v>
      </c>
      <c r="D12" t="s">
        <v>162</v>
      </c>
      <c r="E12">
        <v>9</v>
      </c>
      <c r="H12">
        <v>24800</v>
      </c>
    </row>
    <row r="13" spans="2:10" x14ac:dyDescent="0.25">
      <c r="B13" s="4">
        <v>45599</v>
      </c>
      <c r="C13" t="s">
        <v>164</v>
      </c>
      <c r="E13" s="5">
        <v>34</v>
      </c>
      <c r="F13" s="1"/>
      <c r="G13" s="2"/>
      <c r="H13" s="1">
        <v>52700</v>
      </c>
    </row>
    <row r="14" spans="2:10" x14ac:dyDescent="0.25">
      <c r="B14" s="4">
        <v>45600</v>
      </c>
      <c r="C14" t="s">
        <v>41</v>
      </c>
      <c r="D14" t="s">
        <v>166</v>
      </c>
      <c r="E14" s="5">
        <v>15</v>
      </c>
      <c r="F14" s="1"/>
      <c r="G14" s="2"/>
      <c r="H14" s="1">
        <v>39600</v>
      </c>
    </row>
    <row r="15" spans="2:10" x14ac:dyDescent="0.25">
      <c r="B15" s="9" t="s">
        <v>13</v>
      </c>
      <c r="C15" s="9"/>
      <c r="D15" s="9"/>
      <c r="E15" s="10">
        <f>SUM(R_18[BOX])</f>
        <v>200</v>
      </c>
      <c r="F15" s="9"/>
      <c r="G15" s="9"/>
      <c r="H15" s="9">
        <f>SUBTOTAL(109,R_18[AMOUNT])</f>
        <v>535200</v>
      </c>
    </row>
  </sheetData>
  <conditionalFormatting sqref="F6:G7">
    <cfRule type="notContainsBlanks" dxfId="74" priority="7">
      <formula>LEN(TRIM(F6))&gt;0</formula>
    </cfRule>
  </conditionalFormatting>
  <conditionalFormatting sqref="G3:G4">
    <cfRule type="containsText" dxfId="73" priority="5" operator="containsText" text="NOT MATCHING">
      <formula>NOT(ISERROR(SEARCH("NOT MATCHING",G3)))</formula>
    </cfRule>
    <cfRule type="containsText" dxfId="72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E394-1E2B-4BB2-B20B-262FE623FB28}">
  <sheetPr codeName="Sheet21">
    <tabColor rgb="FF00B050"/>
  </sheetPr>
  <dimension ref="B2:J10"/>
  <sheetViews>
    <sheetView zoomScale="99" workbookViewId="0">
      <selection activeCell="G8" sqref="G8"/>
    </sheetView>
  </sheetViews>
  <sheetFormatPr defaultRowHeight="15" x14ac:dyDescent="0.25"/>
  <cols>
    <col min="2" max="2" width="10.425781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4.14062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219</v>
      </c>
      <c r="C3" s="1" t="s">
        <v>154</v>
      </c>
      <c r="D3" s="3">
        <v>45602</v>
      </c>
      <c r="E3" s="2">
        <v>19</v>
      </c>
      <c r="F3" s="1">
        <v>209</v>
      </c>
      <c r="G3" s="5" t="str">
        <f>IF(SUM(E6:E9)=RTN_219[[#This Row],[TOTAL BOX]],"MATCHING TOTAL BOX","NOT MATCHING ")</f>
        <v>MATCHING TOTAL BOX</v>
      </c>
      <c r="H3" s="2">
        <v>320370</v>
      </c>
      <c r="I3" s="2">
        <v>109200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45603</v>
      </c>
      <c r="C6" t="s">
        <v>182</v>
      </c>
      <c r="D6" t="s">
        <v>175</v>
      </c>
      <c r="E6" s="5">
        <v>63</v>
      </c>
      <c r="F6" s="1"/>
      <c r="G6" s="2"/>
      <c r="H6" s="1">
        <v>229500</v>
      </c>
    </row>
    <row r="7" spans="2:10" x14ac:dyDescent="0.25">
      <c r="B7" s="4">
        <v>45605</v>
      </c>
      <c r="C7" t="s">
        <v>176</v>
      </c>
      <c r="D7" t="s">
        <v>184</v>
      </c>
      <c r="E7" s="5">
        <f>47+66+2</f>
        <v>115</v>
      </c>
      <c r="F7" s="1"/>
      <c r="G7" s="2"/>
      <c r="H7" s="1">
        <v>256000</v>
      </c>
    </row>
    <row r="8" spans="2:10" x14ac:dyDescent="0.25">
      <c r="B8" s="4">
        <v>45605</v>
      </c>
      <c r="C8" t="s">
        <v>121</v>
      </c>
      <c r="D8" t="s">
        <v>46</v>
      </c>
      <c r="E8">
        <v>31</v>
      </c>
      <c r="H8">
        <v>47800</v>
      </c>
    </row>
    <row r="9" spans="2:10" x14ac:dyDescent="0.25">
      <c r="B9" s="4"/>
    </row>
    <row r="10" spans="2:10" x14ac:dyDescent="0.25">
      <c r="B10" s="9" t="s">
        <v>13</v>
      </c>
      <c r="C10" s="9"/>
      <c r="D10" s="9"/>
      <c r="E10" s="10">
        <f>SUM(R_19[BOX])</f>
        <v>209</v>
      </c>
      <c r="F10" s="9"/>
      <c r="G10" s="9"/>
      <c r="H10" s="9">
        <f>SUBTOTAL(109,R_19[AMOUNT])</f>
        <v>533300</v>
      </c>
    </row>
  </sheetData>
  <conditionalFormatting sqref="F6:G7">
    <cfRule type="notContainsBlanks" dxfId="71" priority="7">
      <formula>LEN(TRIM(F6))&gt;0</formula>
    </cfRule>
  </conditionalFormatting>
  <conditionalFormatting sqref="G3:G4">
    <cfRule type="containsText" dxfId="70" priority="5" operator="containsText" text="NOT MATCHING">
      <formula>NOT(ISERROR(SEARCH("NOT MATCHING",G3)))</formula>
    </cfRule>
    <cfRule type="containsText" dxfId="69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D1F0-C5B3-4A18-8B38-F2B9D4829285}">
  <sheetPr codeName="Sheet22">
    <tabColor rgb="FFFF0000"/>
  </sheetPr>
  <dimension ref="B2:J18"/>
  <sheetViews>
    <sheetView zoomScale="81" workbookViewId="0">
      <selection activeCell="L22" sqref="L22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128</v>
      </c>
      <c r="C3" s="1" t="s">
        <v>141</v>
      </c>
      <c r="D3" s="3">
        <v>45598</v>
      </c>
      <c r="E3" s="2">
        <v>3</v>
      </c>
      <c r="F3" s="1">
        <v>200</v>
      </c>
      <c r="G3" s="5" t="str">
        <f>IF(SUM(E6:E17)=AL_103[[#This Row],[TOTAL BOX]],"MATCHING TOTAL BOX","NOT MATCHING ")</f>
        <v xml:space="preserve">NOT MATCHING </v>
      </c>
      <c r="H3" s="2">
        <v>309888</v>
      </c>
      <c r="I3" s="2">
        <v>148722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45600</v>
      </c>
      <c r="C6" t="s">
        <v>167</v>
      </c>
      <c r="D6" t="s">
        <v>109</v>
      </c>
      <c r="E6" s="5">
        <v>23</v>
      </c>
      <c r="F6" s="1">
        <v>2000</v>
      </c>
      <c r="G6" s="2">
        <v>3</v>
      </c>
      <c r="H6" s="1">
        <v>58150</v>
      </c>
    </row>
    <row r="7" spans="2:10" x14ac:dyDescent="0.25">
      <c r="B7" s="4">
        <v>45600</v>
      </c>
      <c r="C7" t="s">
        <v>168</v>
      </c>
      <c r="D7" t="s">
        <v>107</v>
      </c>
      <c r="E7">
        <v>10</v>
      </c>
      <c r="H7">
        <v>26000</v>
      </c>
    </row>
    <row r="8" spans="2:10" x14ac:dyDescent="0.25">
      <c r="B8" s="4">
        <v>45600</v>
      </c>
      <c r="C8" t="s">
        <v>171</v>
      </c>
      <c r="D8" t="s">
        <v>172</v>
      </c>
      <c r="E8" s="5">
        <v>50</v>
      </c>
      <c r="F8" s="1"/>
      <c r="G8" s="2"/>
      <c r="H8" s="1">
        <v>86250</v>
      </c>
    </row>
    <row r="9" spans="2:10" x14ac:dyDescent="0.25">
      <c r="B9" s="4">
        <v>45600</v>
      </c>
      <c r="C9" t="s">
        <v>169</v>
      </c>
      <c r="D9" t="s">
        <v>170</v>
      </c>
      <c r="E9">
        <v>12</v>
      </c>
      <c r="H9">
        <v>34350</v>
      </c>
    </row>
    <row r="10" spans="2:10" x14ac:dyDescent="0.25">
      <c r="B10" s="4">
        <v>45600</v>
      </c>
      <c r="C10" t="s">
        <v>88</v>
      </c>
      <c r="D10" t="s">
        <v>123</v>
      </c>
      <c r="E10" s="5">
        <v>2</v>
      </c>
      <c r="F10" s="1"/>
      <c r="G10" s="2"/>
      <c r="H10" s="1">
        <v>4500</v>
      </c>
    </row>
    <row r="11" spans="2:10" x14ac:dyDescent="0.25">
      <c r="B11" s="4">
        <v>45601</v>
      </c>
      <c r="C11" t="s">
        <v>43</v>
      </c>
      <c r="D11" t="s">
        <v>44</v>
      </c>
      <c r="E11" s="5">
        <v>16</v>
      </c>
      <c r="F11" s="1"/>
      <c r="G11" s="2"/>
      <c r="H11" s="1">
        <v>31300</v>
      </c>
    </row>
    <row r="12" spans="2:10" x14ac:dyDescent="0.25">
      <c r="B12" s="4">
        <v>45601</v>
      </c>
      <c r="C12" t="s">
        <v>173</v>
      </c>
      <c r="D12" t="s">
        <v>143</v>
      </c>
      <c r="E12" s="5">
        <v>20</v>
      </c>
      <c r="F12" s="1"/>
      <c r="G12" s="2"/>
      <c r="H12" s="1">
        <v>35600</v>
      </c>
    </row>
    <row r="13" spans="2:10" x14ac:dyDescent="0.25">
      <c r="B13" s="4">
        <v>45601</v>
      </c>
      <c r="C13" t="s">
        <v>88</v>
      </c>
      <c r="D13" t="s">
        <v>174</v>
      </c>
      <c r="E13" s="5">
        <v>2</v>
      </c>
      <c r="F13" s="1"/>
      <c r="G13" s="2"/>
      <c r="H13" s="1">
        <v>5700</v>
      </c>
    </row>
    <row r="14" spans="2:10" x14ac:dyDescent="0.25">
      <c r="B14" s="4">
        <v>45602</v>
      </c>
      <c r="C14" t="s">
        <v>159</v>
      </c>
      <c r="D14" t="s">
        <v>76</v>
      </c>
      <c r="E14" s="5">
        <v>30</v>
      </c>
      <c r="F14" s="1"/>
      <c r="G14" s="2"/>
      <c r="H14" s="1">
        <v>42000</v>
      </c>
    </row>
    <row r="15" spans="2:10" x14ac:dyDescent="0.25">
      <c r="B15" s="4">
        <v>45602</v>
      </c>
      <c r="C15" t="s">
        <v>77</v>
      </c>
      <c r="D15" t="s">
        <v>78</v>
      </c>
      <c r="E15" s="5">
        <v>24</v>
      </c>
      <c r="F15" s="1">
        <v>3000</v>
      </c>
      <c r="G15" s="2">
        <v>10</v>
      </c>
      <c r="H15" s="1">
        <v>34940</v>
      </c>
    </row>
    <row r="16" spans="2:10" x14ac:dyDescent="0.25">
      <c r="B16" s="4">
        <v>45602</v>
      </c>
      <c r="C16" t="s">
        <v>108</v>
      </c>
      <c r="D16" t="s">
        <v>38</v>
      </c>
      <c r="E16" s="5">
        <v>20</v>
      </c>
      <c r="F16" s="1"/>
      <c r="G16" s="2"/>
      <c r="H16" s="1">
        <v>24500</v>
      </c>
    </row>
    <row r="17" spans="2:8" x14ac:dyDescent="0.25">
      <c r="B17" s="4">
        <v>45603</v>
      </c>
      <c r="C17" t="s">
        <v>41</v>
      </c>
      <c r="D17" t="s">
        <v>42</v>
      </c>
      <c r="E17">
        <v>15</v>
      </c>
      <c r="H17">
        <v>30000</v>
      </c>
    </row>
    <row r="18" spans="2:8" x14ac:dyDescent="0.25">
      <c r="B18" s="9" t="s">
        <v>13</v>
      </c>
      <c r="C18" s="9"/>
      <c r="D18" s="9"/>
      <c r="E18" s="10">
        <f>SUM(AL_03[BOX])</f>
        <v>224</v>
      </c>
      <c r="F18" s="9"/>
      <c r="G18" s="9"/>
      <c r="H18" s="9">
        <f>SUBTOTAL(109,AL_03[AMOUNT])</f>
        <v>413290</v>
      </c>
    </row>
  </sheetData>
  <conditionalFormatting sqref="F6:G7">
    <cfRule type="notContainsBlanks" dxfId="68" priority="7">
      <formula>LEN(TRIM(F6))&gt;0</formula>
    </cfRule>
  </conditionalFormatting>
  <conditionalFormatting sqref="G3:G4">
    <cfRule type="containsText" dxfId="67" priority="5" operator="containsText" text="NOT MATCHING">
      <formula>NOT(ISERROR(SEARCH("NOT MATCHING",G3)))</formula>
    </cfRule>
    <cfRule type="containsText" dxfId="66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A7A7-8E44-4B04-8CFB-48625E89B9A8}">
  <sheetPr codeName="Sheet23">
    <tabColor rgb="FFFF0000"/>
  </sheetPr>
  <dimension ref="B2:J14"/>
  <sheetViews>
    <sheetView zoomScale="88" workbookViewId="0">
      <selection activeCell="F10" sqref="F10"/>
    </sheetView>
  </sheetViews>
  <sheetFormatPr defaultRowHeight="15" x14ac:dyDescent="0.25"/>
  <cols>
    <col min="2" max="2" width="11.5703125" bestFit="1" customWidth="1"/>
    <col min="3" max="3" width="18.42578125" bestFit="1" customWidth="1"/>
    <col min="4" max="4" width="13.5703125" bestFit="1" customWidth="1"/>
    <col min="5" max="5" width="11.28515625" bestFit="1" customWidth="1"/>
    <col min="6" max="6" width="15.7109375" bestFit="1" customWidth="1"/>
    <col min="7" max="7" width="23.85546875" bestFit="1" customWidth="1"/>
    <col min="8" max="8" width="15.85546875" bestFit="1" customWidth="1"/>
    <col min="9" max="9" width="20" bestFit="1" customWidth="1"/>
    <col min="10" max="10" width="24.42578125" bestFit="1" customWidth="1"/>
    <col min="11" max="11" width="13.28515625" bestFit="1" customWidth="1"/>
    <col min="12" max="12" width="20.1406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220</v>
      </c>
      <c r="C3" s="1" t="s">
        <v>147</v>
      </c>
      <c r="D3" s="3">
        <v>45604</v>
      </c>
      <c r="E3" s="2">
        <v>20</v>
      </c>
      <c r="F3" s="1">
        <v>171</v>
      </c>
      <c r="G3" s="5" t="str">
        <f>IF(SUM(E6:E13)=RTN_220[[#This Row],[TOTAL BOX]],"MATCHING TOTAL BOX","NOT MATCHING ")</f>
        <v>MATCHING TOTAL BOX</v>
      </c>
      <c r="H3" s="2">
        <v>268200</v>
      </c>
      <c r="I3" s="2">
        <v>102771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45605</v>
      </c>
      <c r="C6" t="s">
        <v>88</v>
      </c>
      <c r="D6" t="s">
        <v>123</v>
      </c>
      <c r="E6" s="5">
        <v>12</v>
      </c>
      <c r="F6" s="1"/>
      <c r="G6" s="2"/>
      <c r="H6" s="1">
        <v>24000</v>
      </c>
    </row>
    <row r="7" spans="2:10" x14ac:dyDescent="0.25">
      <c r="B7" s="4">
        <v>45606</v>
      </c>
      <c r="C7" t="s">
        <v>177</v>
      </c>
      <c r="D7" t="s">
        <v>42</v>
      </c>
      <c r="E7" s="5">
        <v>24</v>
      </c>
      <c r="F7" s="1"/>
      <c r="G7" s="2"/>
      <c r="H7" s="1">
        <f>75000-(22800+7000)</f>
        <v>45200</v>
      </c>
    </row>
    <row r="8" spans="2:10" x14ac:dyDescent="0.25">
      <c r="B8" s="4">
        <v>45607</v>
      </c>
      <c r="C8" t="s">
        <v>79</v>
      </c>
      <c r="D8" t="s">
        <v>80</v>
      </c>
      <c r="E8" s="5">
        <v>86</v>
      </c>
      <c r="H8">
        <f>158850-2000</f>
        <v>156850</v>
      </c>
    </row>
    <row r="9" spans="2:10" x14ac:dyDescent="0.25">
      <c r="B9" s="4">
        <v>45607</v>
      </c>
      <c r="C9" t="s">
        <v>180</v>
      </c>
      <c r="D9" t="s">
        <v>40</v>
      </c>
      <c r="E9" s="5">
        <v>7</v>
      </c>
      <c r="H9">
        <v>14700</v>
      </c>
    </row>
    <row r="10" spans="2:10" x14ac:dyDescent="0.25">
      <c r="B10" s="4">
        <v>45607</v>
      </c>
      <c r="C10" t="s">
        <v>75</v>
      </c>
      <c r="D10" t="s">
        <v>76</v>
      </c>
      <c r="E10" s="5">
        <v>17</v>
      </c>
      <c r="F10" s="1"/>
      <c r="G10" s="2"/>
      <c r="H10" s="1">
        <v>37850</v>
      </c>
    </row>
    <row r="11" spans="2:10" x14ac:dyDescent="0.25">
      <c r="B11" s="4">
        <v>45608</v>
      </c>
      <c r="C11" t="s">
        <v>179</v>
      </c>
      <c r="D11" t="s">
        <v>78</v>
      </c>
      <c r="E11" s="5">
        <v>15</v>
      </c>
      <c r="F11">
        <v>3000</v>
      </c>
      <c r="G11" s="2">
        <v>11</v>
      </c>
      <c r="H11" s="1">
        <v>25440</v>
      </c>
    </row>
    <row r="12" spans="2:10" x14ac:dyDescent="0.25">
      <c r="B12" s="4">
        <v>45608</v>
      </c>
      <c r="C12" t="s">
        <v>180</v>
      </c>
      <c r="D12" t="s">
        <v>40</v>
      </c>
      <c r="E12" s="5">
        <v>10</v>
      </c>
      <c r="G12" s="2"/>
      <c r="H12" s="1">
        <v>22000</v>
      </c>
    </row>
    <row r="13" spans="2:10" x14ac:dyDescent="0.25">
      <c r="B13" s="4"/>
      <c r="E13" s="5"/>
      <c r="F13" s="1"/>
      <c r="G13" s="2"/>
      <c r="H13" s="1"/>
    </row>
    <row r="14" spans="2:10" x14ac:dyDescent="0.25">
      <c r="B14" s="9" t="s">
        <v>13</v>
      </c>
      <c r="C14" s="9"/>
      <c r="D14" s="9"/>
      <c r="E14" s="10">
        <f>SUM(R_20[BOX])</f>
        <v>171</v>
      </c>
      <c r="F14" s="9"/>
      <c r="G14" s="9"/>
      <c r="H14" s="9">
        <f>SUBTOTAL(109,R_20[AMOUNT])</f>
        <v>326040</v>
      </c>
    </row>
  </sheetData>
  <phoneticPr fontId="3" type="noConversion"/>
  <conditionalFormatting sqref="F6:G7">
    <cfRule type="notContainsBlanks" dxfId="65" priority="7">
      <formula>LEN(TRIM(F6))&gt;0</formula>
    </cfRule>
  </conditionalFormatting>
  <conditionalFormatting sqref="G3:G4">
    <cfRule type="containsText" dxfId="64" priority="5" operator="containsText" text="NOT MATCHING">
      <formula>NOT(ISERROR(SEARCH("NOT MATCHING",G3)))</formula>
    </cfRule>
    <cfRule type="containsText" dxfId="63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36B-8A82-48BF-881F-3246B1FE9BA9}">
  <sheetPr codeName="Sheet24">
    <tabColor rgb="FFFF0000"/>
  </sheetPr>
  <dimension ref="B2:J15"/>
  <sheetViews>
    <sheetView topLeftCell="B1" zoomScale="89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221</v>
      </c>
      <c r="C3" s="1" t="s">
        <v>181</v>
      </c>
      <c r="D3" s="3">
        <v>45605</v>
      </c>
      <c r="E3" s="2">
        <v>21</v>
      </c>
      <c r="F3" s="1">
        <v>198</v>
      </c>
      <c r="G3" s="5" t="str">
        <f>IF(SUM(E6:E14)=RTN_221[[#This Row],[TOTAL BOX]],"MATCHING TOTAL BOX","NOT MATCHING ")</f>
        <v>MATCHING TOTAL BOX</v>
      </c>
      <c r="H3" s="2">
        <v>279600</v>
      </c>
      <c r="I3" s="2">
        <v>117810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45607</v>
      </c>
      <c r="C6" t="s">
        <v>178</v>
      </c>
      <c r="D6" t="s">
        <v>63</v>
      </c>
      <c r="E6" s="5">
        <v>26</v>
      </c>
      <c r="H6">
        <v>68570</v>
      </c>
    </row>
    <row r="7" spans="2:10" x14ac:dyDescent="0.25">
      <c r="B7" s="4">
        <v>45608</v>
      </c>
      <c r="C7" t="s">
        <v>43</v>
      </c>
      <c r="D7" t="s">
        <v>44</v>
      </c>
      <c r="E7" s="5">
        <v>19</v>
      </c>
      <c r="F7" s="1"/>
      <c r="G7" s="2"/>
      <c r="H7" s="1">
        <v>40800</v>
      </c>
    </row>
    <row r="8" spans="2:10" x14ac:dyDescent="0.25">
      <c r="B8" s="4">
        <v>45608</v>
      </c>
      <c r="C8" t="s">
        <v>41</v>
      </c>
      <c r="D8" t="s">
        <v>42</v>
      </c>
      <c r="E8" s="5">
        <v>4</v>
      </c>
      <c r="H8">
        <v>6700</v>
      </c>
    </row>
    <row r="9" spans="2:10" x14ac:dyDescent="0.25">
      <c r="B9" s="4">
        <v>45608</v>
      </c>
      <c r="C9" t="s">
        <v>183</v>
      </c>
      <c r="D9" t="s">
        <v>143</v>
      </c>
      <c r="E9" s="5">
        <v>30</v>
      </c>
      <c r="F9" s="1"/>
      <c r="G9" s="2"/>
      <c r="H9" s="1">
        <v>62400</v>
      </c>
    </row>
    <row r="10" spans="2:10" x14ac:dyDescent="0.25">
      <c r="B10" s="4">
        <v>45608</v>
      </c>
      <c r="C10" t="s">
        <v>58</v>
      </c>
      <c r="D10" t="s">
        <v>59</v>
      </c>
      <c r="E10" s="5">
        <v>26</v>
      </c>
      <c r="F10" s="1"/>
      <c r="G10" s="2"/>
      <c r="H10" s="1">
        <v>48750</v>
      </c>
    </row>
    <row r="11" spans="2:10" x14ac:dyDescent="0.25">
      <c r="B11" s="4">
        <v>45608</v>
      </c>
      <c r="C11" t="s">
        <v>110</v>
      </c>
      <c r="D11" t="s">
        <v>111</v>
      </c>
      <c r="E11" s="5">
        <v>5</v>
      </c>
      <c r="F11" s="1"/>
      <c r="G11" s="2"/>
      <c r="H11" s="1">
        <v>13200</v>
      </c>
    </row>
    <row r="12" spans="2:10" x14ac:dyDescent="0.25">
      <c r="B12" s="4">
        <v>45608</v>
      </c>
      <c r="C12" t="s">
        <v>88</v>
      </c>
      <c r="D12" t="s">
        <v>96</v>
      </c>
      <c r="E12" s="5">
        <v>47</v>
      </c>
      <c r="F12">
        <v>5000</v>
      </c>
      <c r="G12" s="2">
        <v>33</v>
      </c>
      <c r="H12" s="1">
        <v>89100</v>
      </c>
    </row>
    <row r="13" spans="2:10" x14ac:dyDescent="0.25">
      <c r="B13" s="4">
        <v>45609</v>
      </c>
      <c r="C13" t="s">
        <v>179</v>
      </c>
      <c r="D13" t="s">
        <v>78</v>
      </c>
      <c r="E13" s="5">
        <v>21</v>
      </c>
      <c r="F13">
        <v>3000</v>
      </c>
      <c r="G13" s="2">
        <v>12</v>
      </c>
      <c r="H13" s="1">
        <v>23180</v>
      </c>
    </row>
    <row r="14" spans="2:10" x14ac:dyDescent="0.25">
      <c r="B14" s="4">
        <v>45609</v>
      </c>
      <c r="C14" t="s">
        <v>75</v>
      </c>
      <c r="D14" t="s">
        <v>76</v>
      </c>
      <c r="E14" s="5">
        <v>20</v>
      </c>
      <c r="H14">
        <v>29700</v>
      </c>
    </row>
    <row r="15" spans="2:10" x14ac:dyDescent="0.25">
      <c r="B15" s="9" t="s">
        <v>13</v>
      </c>
      <c r="C15" s="9"/>
      <c r="D15" s="9"/>
      <c r="E15" s="10">
        <f>SUBTOTAL(109,R_21[BOX])</f>
        <v>198</v>
      </c>
      <c r="F15" s="9">
        <f>SUBTOTAL(109,R_21[ADVANCE])</f>
        <v>8000</v>
      </c>
      <c r="G15" s="9"/>
      <c r="H15" s="9">
        <f>SUBTOTAL(109,R_21[AMOUNT])</f>
        <v>382400</v>
      </c>
    </row>
  </sheetData>
  <conditionalFormatting sqref="F6:G7">
    <cfRule type="notContainsBlanks" dxfId="62" priority="7">
      <formula>LEN(TRIM(F6))&gt;0</formula>
    </cfRule>
  </conditionalFormatting>
  <conditionalFormatting sqref="G3:G4">
    <cfRule type="containsText" dxfId="61" priority="5" operator="containsText" text="NOT MATCHING">
      <formula>NOT(ISERROR(SEARCH("NOT MATCHING",G3)))</formula>
    </cfRule>
    <cfRule type="containsText" dxfId="60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5D12-E7EF-41CF-BCE7-A926391A92FC}">
  <sheetPr codeName="Sheet25">
    <tabColor rgb="FFC00000"/>
  </sheetPr>
  <dimension ref="B2:J15"/>
  <sheetViews>
    <sheetView zoomScale="84" workbookViewId="0">
      <selection activeCell="K10" sqref="K10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6.42578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242</v>
      </c>
      <c r="I2" s="1" t="s">
        <v>241</v>
      </c>
      <c r="J2" s="1" t="s">
        <v>240</v>
      </c>
    </row>
    <row r="3" spans="2:10" x14ac:dyDescent="0.25">
      <c r="B3" s="2">
        <v>222</v>
      </c>
      <c r="C3" s="1" t="s">
        <v>185</v>
      </c>
      <c r="D3" s="3">
        <v>45608</v>
      </c>
      <c r="E3" s="2">
        <v>22</v>
      </c>
      <c r="F3" s="1">
        <v>200</v>
      </c>
      <c r="G3" s="5" t="str">
        <f>IF(SUM(E6:E14)=RTN_22[[#This Row],[TOTAL BOX]],"MATCHING TOTAL BOX","NOT MATCHING ")</f>
        <v>MATCHING TOTAL BOX</v>
      </c>
      <c r="H3" s="2">
        <v>363400</v>
      </c>
      <c r="I3" s="2">
        <v>117978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45610</v>
      </c>
      <c r="C6" t="s">
        <v>146</v>
      </c>
      <c r="D6" t="s">
        <v>145</v>
      </c>
      <c r="E6" s="5">
        <v>5</v>
      </c>
      <c r="H6">
        <v>11500</v>
      </c>
    </row>
    <row r="7" spans="2:10" x14ac:dyDescent="0.25">
      <c r="B7" s="4">
        <v>45610</v>
      </c>
      <c r="C7" t="s">
        <v>201</v>
      </c>
      <c r="D7" t="s">
        <v>200</v>
      </c>
      <c r="E7" s="5">
        <v>16</v>
      </c>
      <c r="F7" s="1"/>
      <c r="G7" s="2"/>
      <c r="H7" s="1">
        <v>38000</v>
      </c>
    </row>
    <row r="8" spans="2:10" x14ac:dyDescent="0.25">
      <c r="B8" s="4">
        <v>45610</v>
      </c>
      <c r="C8" t="s">
        <v>79</v>
      </c>
      <c r="D8" t="s">
        <v>80</v>
      </c>
      <c r="E8" s="5">
        <v>13</v>
      </c>
      <c r="F8" s="1"/>
      <c r="G8" s="2"/>
      <c r="H8" s="1">
        <v>28800</v>
      </c>
    </row>
    <row r="9" spans="2:10" x14ac:dyDescent="0.25">
      <c r="B9" s="4">
        <v>45610</v>
      </c>
      <c r="C9" t="s">
        <v>198</v>
      </c>
      <c r="D9" t="s">
        <v>40</v>
      </c>
      <c r="E9" s="5">
        <v>78</v>
      </c>
      <c r="G9" s="2"/>
      <c r="H9" s="1">
        <v>174800</v>
      </c>
    </row>
    <row r="10" spans="2:10" x14ac:dyDescent="0.25">
      <c r="B10" s="4">
        <v>45611</v>
      </c>
      <c r="C10" t="s">
        <v>146</v>
      </c>
      <c r="D10" t="s">
        <v>145</v>
      </c>
      <c r="E10" s="5">
        <v>68</v>
      </c>
      <c r="H10">
        <v>153400</v>
      </c>
    </row>
    <row r="11" spans="2:10" x14ac:dyDescent="0.25">
      <c r="B11" s="4">
        <v>45611</v>
      </c>
      <c r="C11" t="s">
        <v>202</v>
      </c>
      <c r="D11" t="s">
        <v>200</v>
      </c>
      <c r="E11" s="5">
        <v>20</v>
      </c>
      <c r="H11">
        <v>43900</v>
      </c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  <c r="F13" s="1"/>
      <c r="G13" s="2"/>
      <c r="H13" s="1"/>
    </row>
    <row r="14" spans="2:10" x14ac:dyDescent="0.25">
      <c r="B14" s="4"/>
      <c r="E14" s="5"/>
      <c r="F14" s="1"/>
      <c r="G14" s="2"/>
      <c r="H14" s="1"/>
    </row>
    <row r="15" spans="2:10" x14ac:dyDescent="0.25">
      <c r="B15" s="9" t="s">
        <v>13</v>
      </c>
      <c r="C15" s="9"/>
      <c r="D15" s="9"/>
      <c r="E15" s="10">
        <f>SUM(R_22[BOX])</f>
        <v>200</v>
      </c>
      <c r="F15" s="9"/>
      <c r="G15" s="9"/>
      <c r="H15" s="9">
        <f>SUBTOTAL(109,R_22[AMOUNT])</f>
        <v>450400</v>
      </c>
    </row>
  </sheetData>
  <conditionalFormatting sqref="F6:G7">
    <cfRule type="notContainsBlanks" dxfId="59" priority="7">
      <formula>LEN(TRIM(F6))&gt;0</formula>
    </cfRule>
  </conditionalFormatting>
  <conditionalFormatting sqref="G3:G4">
    <cfRule type="containsText" dxfId="58" priority="5" operator="containsText" text="NOT MATCHING">
      <formula>NOT(ISERROR(SEARCH("NOT MATCHING",G3)))</formula>
    </cfRule>
    <cfRule type="containsText" dxfId="57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04DC-BE5F-4FC2-AD83-8E06AEB91A1C}">
  <sheetPr codeName="Sheet26">
    <tabColor rgb="FFFF0000"/>
  </sheetPr>
  <dimension ref="B2:J15"/>
  <sheetViews>
    <sheetView zoomScale="89" workbookViewId="0">
      <selection activeCell="E16" sqref="E16:H2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6.285156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223</v>
      </c>
      <c r="C3" s="1" t="s">
        <v>160</v>
      </c>
      <c r="D3" s="3">
        <v>45610</v>
      </c>
      <c r="E3" s="2">
        <v>23</v>
      </c>
      <c r="F3" s="1">
        <v>199</v>
      </c>
      <c r="G3" s="5" t="str">
        <f>IF(SUM(E6:E14)=RTN_223[[#This Row],[TOTAL BOX]],"MATCHING TOTAL BOX","NOT MATCHING ")</f>
        <v>MATCHING TOTAL BOX</v>
      </c>
      <c r="H3" s="2">
        <v>274350</v>
      </c>
      <c r="I3" s="2">
        <v>123000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45611</v>
      </c>
      <c r="C6" t="s">
        <v>187</v>
      </c>
      <c r="D6" t="s">
        <v>182</v>
      </c>
      <c r="E6" s="5">
        <v>50</v>
      </c>
      <c r="H6">
        <v>150500</v>
      </c>
    </row>
    <row r="7" spans="2:10" x14ac:dyDescent="0.25">
      <c r="B7" s="4">
        <v>45611</v>
      </c>
      <c r="C7" t="s">
        <v>188</v>
      </c>
      <c r="D7" t="s">
        <v>143</v>
      </c>
      <c r="E7" s="5">
        <v>1</v>
      </c>
      <c r="F7" s="1"/>
      <c r="G7" s="2"/>
      <c r="H7" s="1">
        <v>2100</v>
      </c>
    </row>
    <row r="8" spans="2:10" x14ac:dyDescent="0.25">
      <c r="B8" s="4">
        <v>45612</v>
      </c>
      <c r="C8" t="s">
        <v>79</v>
      </c>
      <c r="D8" t="s">
        <v>80</v>
      </c>
      <c r="E8" s="5">
        <v>30</v>
      </c>
      <c r="H8">
        <v>53600</v>
      </c>
    </row>
    <row r="9" spans="2:10" x14ac:dyDescent="0.25">
      <c r="B9" s="4">
        <v>45612</v>
      </c>
      <c r="C9" t="s">
        <v>75</v>
      </c>
      <c r="D9" t="s">
        <v>76</v>
      </c>
      <c r="E9" s="5">
        <v>15</v>
      </c>
      <c r="F9" s="1"/>
      <c r="G9" s="2"/>
      <c r="H9" s="1">
        <v>28200</v>
      </c>
    </row>
    <row r="10" spans="2:10" x14ac:dyDescent="0.25">
      <c r="B10" s="4">
        <v>45612</v>
      </c>
      <c r="C10" t="s">
        <v>137</v>
      </c>
      <c r="D10" t="s">
        <v>86</v>
      </c>
      <c r="E10" s="5">
        <v>22</v>
      </c>
      <c r="H10">
        <v>37450</v>
      </c>
    </row>
    <row r="11" spans="2:10" x14ac:dyDescent="0.25">
      <c r="B11" s="4">
        <v>45612</v>
      </c>
      <c r="C11" t="s">
        <v>77</v>
      </c>
      <c r="D11" t="s">
        <v>78</v>
      </c>
      <c r="E11" s="5">
        <v>15</v>
      </c>
      <c r="F11">
        <v>3000</v>
      </c>
      <c r="G11" s="2">
        <v>13</v>
      </c>
      <c r="H11" s="1">
        <v>27200</v>
      </c>
    </row>
    <row r="12" spans="2:10" x14ac:dyDescent="0.25">
      <c r="B12" s="4">
        <v>45612</v>
      </c>
      <c r="C12" t="s">
        <v>195</v>
      </c>
      <c r="D12" t="s">
        <v>203</v>
      </c>
      <c r="E12" s="5">
        <v>2</v>
      </c>
      <c r="F12" s="1"/>
      <c r="G12" s="2"/>
      <c r="H12" s="1">
        <v>6190</v>
      </c>
    </row>
    <row r="13" spans="2:10" x14ac:dyDescent="0.25">
      <c r="B13" s="4">
        <v>45613</v>
      </c>
      <c r="C13" t="s">
        <v>137</v>
      </c>
      <c r="D13" t="s">
        <v>86</v>
      </c>
      <c r="E13" s="5">
        <v>10</v>
      </c>
      <c r="G13" s="2"/>
      <c r="H13" s="1">
        <v>17800</v>
      </c>
    </row>
    <row r="14" spans="2:10" x14ac:dyDescent="0.25">
      <c r="B14" s="4">
        <v>45620</v>
      </c>
      <c r="C14" t="s">
        <v>194</v>
      </c>
      <c r="D14" t="s">
        <v>200</v>
      </c>
      <c r="E14" s="5">
        <v>54</v>
      </c>
      <c r="F14" s="1"/>
      <c r="G14" s="2"/>
      <c r="H14" s="1">
        <v>22350</v>
      </c>
    </row>
    <row r="15" spans="2:10" x14ac:dyDescent="0.25">
      <c r="B15" s="9" t="s">
        <v>13</v>
      </c>
      <c r="C15" s="9"/>
      <c r="D15" s="9"/>
      <c r="E15" s="10">
        <f>SUM(R_23[BOX])</f>
        <v>199</v>
      </c>
      <c r="F15" s="9"/>
      <c r="G15" s="9"/>
      <c r="H15" s="9">
        <f>SUBTOTAL(109,R_23[AMOUNT])</f>
        <v>345390</v>
      </c>
    </row>
  </sheetData>
  <conditionalFormatting sqref="F6:G7">
    <cfRule type="notContainsBlanks" dxfId="56" priority="7">
      <formula>LEN(TRIM(F6))&gt;0</formula>
    </cfRule>
  </conditionalFormatting>
  <conditionalFormatting sqref="G3:G4">
    <cfRule type="containsText" dxfId="55" priority="5" operator="containsText" text="NOT MATCHING">
      <formula>NOT(ISERROR(SEARCH("NOT MATCHING",G3)))</formula>
    </cfRule>
    <cfRule type="containsText" dxfId="54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D348-CCEB-447A-9EBC-F513F650ACFF}">
  <sheetPr codeName="Sheet27">
    <tabColor rgb="FF00B050"/>
  </sheetPr>
  <dimension ref="B2:J15"/>
  <sheetViews>
    <sheetView zoomScale="85" workbookViewId="0">
      <selection activeCell="K10" sqref="K10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242</v>
      </c>
      <c r="I2" s="1" t="s">
        <v>241</v>
      </c>
      <c r="J2" s="1" t="s">
        <v>240</v>
      </c>
    </row>
    <row r="3" spans="2:10" x14ac:dyDescent="0.25">
      <c r="B3" s="2">
        <v>224</v>
      </c>
      <c r="C3" s="1" t="s">
        <v>186</v>
      </c>
      <c r="D3" s="3">
        <v>45610</v>
      </c>
      <c r="E3" s="2">
        <v>24</v>
      </c>
      <c r="F3" s="1">
        <v>240</v>
      </c>
      <c r="G3" s="5" t="str">
        <f>IF(SUM(E6:E14)=RTN_224[[#This Row],[TOTAL BOX]],"MATCHING TOTAL BOX","NOT MATCHING ")</f>
        <v>MATCHING TOTAL BOX</v>
      </c>
      <c r="H3" s="2">
        <v>182900</v>
      </c>
      <c r="I3" s="2">
        <v>119070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45612</v>
      </c>
      <c r="C6" t="s">
        <v>79</v>
      </c>
      <c r="D6" t="s">
        <v>80</v>
      </c>
      <c r="E6" s="5">
        <v>240</v>
      </c>
      <c r="H6">
        <v>355300</v>
      </c>
    </row>
    <row r="7" spans="2:10" x14ac:dyDescent="0.25">
      <c r="B7" s="4"/>
      <c r="E7" s="5"/>
      <c r="F7" s="1"/>
      <c r="G7" s="2"/>
      <c r="H7" s="1"/>
    </row>
    <row r="8" spans="2:10" x14ac:dyDescent="0.25">
      <c r="B8" s="4"/>
      <c r="E8" s="5"/>
    </row>
    <row r="9" spans="2:10" x14ac:dyDescent="0.25">
      <c r="B9" s="4"/>
      <c r="E9" s="5"/>
      <c r="F9" s="1"/>
      <c r="G9" s="2"/>
      <c r="H9" s="1"/>
    </row>
    <row r="10" spans="2:10" x14ac:dyDescent="0.25">
      <c r="B10" s="4"/>
      <c r="E10" s="5"/>
      <c r="G10" s="2"/>
      <c r="H10" s="1"/>
    </row>
    <row r="11" spans="2:10" x14ac:dyDescent="0.25">
      <c r="B11" s="4"/>
      <c r="E11" s="5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  <c r="F13" s="1"/>
      <c r="G13" s="2"/>
      <c r="H13" s="1"/>
    </row>
    <row r="14" spans="2:10" x14ac:dyDescent="0.25">
      <c r="B14" s="4"/>
      <c r="E14" s="5"/>
      <c r="F14" s="1"/>
      <c r="G14" s="2"/>
      <c r="H14" s="1"/>
    </row>
    <row r="15" spans="2:10" x14ac:dyDescent="0.25">
      <c r="B15" s="9" t="s">
        <v>13</v>
      </c>
      <c r="C15" s="9"/>
      <c r="D15" s="9"/>
      <c r="E15" s="10">
        <f>SUM(R_24[BOX])</f>
        <v>240</v>
      </c>
      <c r="F15" s="9"/>
      <c r="G15" s="9"/>
      <c r="H15" s="9">
        <f>SUBTOTAL(109,R_24[AMOUNT])</f>
        <v>355300</v>
      </c>
    </row>
  </sheetData>
  <conditionalFormatting sqref="F6:G7">
    <cfRule type="notContainsBlanks" dxfId="53" priority="7">
      <formula>LEN(TRIM(F6))&gt;0</formula>
    </cfRule>
  </conditionalFormatting>
  <conditionalFormatting sqref="G3:G4">
    <cfRule type="containsText" dxfId="52" priority="5" operator="containsText" text="NOT MATCHING">
      <formula>NOT(ISERROR(SEARCH("NOT MATCHING",G3)))</formula>
    </cfRule>
    <cfRule type="containsText" dxfId="51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5A15-3CE4-4310-95B5-F08C113AA71B}">
  <sheetPr codeName="Sheet28">
    <tabColor rgb="FFFF0000"/>
  </sheetPr>
  <dimension ref="B2:J15"/>
  <sheetViews>
    <sheetView zoomScale="76" zoomScaleNormal="100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225</v>
      </c>
      <c r="C3" s="1" t="s">
        <v>191</v>
      </c>
      <c r="D3" s="3">
        <v>45612</v>
      </c>
      <c r="E3" s="2">
        <v>25</v>
      </c>
      <c r="F3" s="1">
        <v>200</v>
      </c>
      <c r="G3" s="5" t="str">
        <f>IF(SUM(E6:E14)=RTN_225[[#This Row],[TOTAL BOX]],"MATCHING TOTAL BOX","NOT MATCHING ")</f>
        <v>MATCHING TOTAL BOX</v>
      </c>
      <c r="H3" s="2">
        <v>433575</v>
      </c>
      <c r="I3" s="2">
        <v>80472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45614</v>
      </c>
      <c r="C6" t="s">
        <v>192</v>
      </c>
      <c r="D6" t="s">
        <v>63</v>
      </c>
      <c r="E6" s="5">
        <v>108</v>
      </c>
      <c r="H6">
        <v>230650</v>
      </c>
    </row>
    <row r="7" spans="2:10" x14ac:dyDescent="0.25">
      <c r="B7" s="4">
        <v>45614</v>
      </c>
      <c r="C7" t="s">
        <v>102</v>
      </c>
      <c r="D7" t="s">
        <v>91</v>
      </c>
      <c r="E7" s="5">
        <v>32</v>
      </c>
      <c r="F7" s="1"/>
      <c r="G7" s="2"/>
      <c r="H7" s="1">
        <v>73920</v>
      </c>
    </row>
    <row r="8" spans="2:10" x14ac:dyDescent="0.25">
      <c r="B8" s="4">
        <v>45614</v>
      </c>
      <c r="C8" t="s">
        <v>167</v>
      </c>
      <c r="D8" t="s">
        <v>109</v>
      </c>
      <c r="E8" s="5">
        <v>20</v>
      </c>
      <c r="F8">
        <v>2000</v>
      </c>
      <c r="G8" s="5">
        <v>4</v>
      </c>
      <c r="H8">
        <v>45770</v>
      </c>
    </row>
    <row r="9" spans="2:10" x14ac:dyDescent="0.25">
      <c r="B9" s="4">
        <v>45614</v>
      </c>
      <c r="C9" t="s">
        <v>193</v>
      </c>
      <c r="D9" t="s">
        <v>95</v>
      </c>
      <c r="E9" s="5">
        <v>40</v>
      </c>
      <c r="F9" s="1">
        <v>5000</v>
      </c>
      <c r="G9" s="2">
        <v>3</v>
      </c>
      <c r="H9" s="1">
        <v>83550</v>
      </c>
    </row>
    <row r="10" spans="2:10" x14ac:dyDescent="0.25">
      <c r="B10" s="4"/>
      <c r="E10" s="5"/>
      <c r="F10" s="1"/>
      <c r="G10" s="2"/>
      <c r="H10" s="1"/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SUM(R_25[BOX])</f>
        <v>200</v>
      </c>
      <c r="F15" s="9"/>
      <c r="G15" s="9"/>
      <c r="H15" s="9">
        <f>SUBTOTAL(109,R_25[AMOUNT])</f>
        <v>433890</v>
      </c>
    </row>
  </sheetData>
  <conditionalFormatting sqref="F6:G7">
    <cfRule type="notContainsBlanks" dxfId="50" priority="7">
      <formula>LEN(TRIM(F6))&gt;0</formula>
    </cfRule>
  </conditionalFormatting>
  <conditionalFormatting sqref="G3:G4">
    <cfRule type="containsText" dxfId="49" priority="5" operator="containsText" text="NOT MATCHING">
      <formula>NOT(ISERROR(SEARCH("NOT MATCHING",G3)))</formula>
    </cfRule>
    <cfRule type="containsText" dxfId="48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9509-2BC1-4B63-9679-48E314CE940F}">
  <sheetPr codeName="Sheet29">
    <tabColor rgb="FF00B050"/>
  </sheetPr>
  <dimension ref="B2:J15"/>
  <sheetViews>
    <sheetView zoomScale="88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226</v>
      </c>
      <c r="C3" s="1" t="s">
        <v>154</v>
      </c>
      <c r="D3" s="3">
        <v>45613</v>
      </c>
      <c r="E3" s="2">
        <v>26</v>
      </c>
      <c r="F3" s="1">
        <v>232</v>
      </c>
      <c r="G3" s="5" t="str">
        <f>IF(SUM(E6:E14)=RTN_226[[#This Row],[TOTAL BOX]],"MATCHING TOTAL BOX","NOT MATCHING ")</f>
        <v>MATCHING TOTAL BOX</v>
      </c>
      <c r="H3" s="2">
        <v>183800</v>
      </c>
      <c r="I3" s="2">
        <v>109200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45615</v>
      </c>
      <c r="C6" t="s">
        <v>198</v>
      </c>
      <c r="D6" t="s">
        <v>40</v>
      </c>
      <c r="E6" s="5">
        <v>39</v>
      </c>
      <c r="F6" s="1"/>
      <c r="G6" s="2"/>
      <c r="H6" s="1">
        <v>84600</v>
      </c>
    </row>
    <row r="7" spans="2:10" x14ac:dyDescent="0.25">
      <c r="B7" s="4">
        <v>45616</v>
      </c>
      <c r="C7" t="s">
        <v>197</v>
      </c>
      <c r="D7" t="s">
        <v>196</v>
      </c>
      <c r="E7" s="5">
        <v>107</v>
      </c>
      <c r="F7" s="1">
        <v>2000</v>
      </c>
      <c r="G7" s="2">
        <v>3</v>
      </c>
      <c r="H7" s="1">
        <v>222240</v>
      </c>
    </row>
    <row r="8" spans="2:10" x14ac:dyDescent="0.25">
      <c r="B8" s="4">
        <v>45616</v>
      </c>
      <c r="C8" t="s">
        <v>179</v>
      </c>
      <c r="D8" t="s">
        <v>78</v>
      </c>
      <c r="E8" s="5">
        <v>30</v>
      </c>
      <c r="F8" s="1">
        <v>3000</v>
      </c>
      <c r="G8" s="2">
        <v>14</v>
      </c>
      <c r="H8" s="1">
        <v>61800</v>
      </c>
    </row>
    <row r="9" spans="2:10" x14ac:dyDescent="0.25">
      <c r="B9" s="4">
        <v>45617</v>
      </c>
      <c r="C9" t="s">
        <v>199</v>
      </c>
      <c r="D9" t="s">
        <v>145</v>
      </c>
      <c r="E9" s="5">
        <v>56</v>
      </c>
      <c r="F9" s="1"/>
      <c r="G9" s="2"/>
      <c r="H9" s="1">
        <v>118400</v>
      </c>
    </row>
    <row r="10" spans="2:10" x14ac:dyDescent="0.25">
      <c r="B10" s="4"/>
      <c r="E10" s="5"/>
      <c r="F10" s="1"/>
      <c r="G10" s="2"/>
      <c r="H10" s="1"/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SUM(R_26[BOX])</f>
        <v>232</v>
      </c>
      <c r="F15" s="9"/>
      <c r="G15" s="9"/>
      <c r="H15" s="9">
        <f>SUBTOTAL(109,R_26[AMOUNT])</f>
        <v>487040</v>
      </c>
    </row>
  </sheetData>
  <conditionalFormatting sqref="F6:G7">
    <cfRule type="notContainsBlanks" dxfId="47" priority="1">
      <formula>LEN(TRIM(F6))&gt;0</formula>
    </cfRule>
  </conditionalFormatting>
  <conditionalFormatting sqref="G3:G4">
    <cfRule type="containsText" dxfId="46" priority="6" operator="containsText" text="NOT MATCHING">
      <formula>NOT(ISERROR(SEARCH("NOT MATCHING",G3)))</formula>
    </cfRule>
    <cfRule type="containsText" dxfId="45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8F0C-D5B1-4B10-940A-67D0C971DA12}">
  <sheetPr codeName="Sheet3">
    <tabColor rgb="FF92D050"/>
  </sheetPr>
  <dimension ref="B2:J13"/>
  <sheetViews>
    <sheetView workbookViewId="0">
      <selection activeCell="C9" sqref="C9"/>
    </sheetView>
  </sheetViews>
  <sheetFormatPr defaultRowHeight="15" x14ac:dyDescent="0.25"/>
  <cols>
    <col min="2" max="2" width="10.42578125" bestFit="1" customWidth="1"/>
    <col min="3" max="3" width="25.140625" bestFit="1" customWidth="1"/>
    <col min="4" max="4" width="13.5703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242</v>
      </c>
      <c r="I2" s="1" t="s">
        <v>241</v>
      </c>
      <c r="J2" s="1" t="s">
        <v>240</v>
      </c>
    </row>
    <row r="3" spans="2:10" x14ac:dyDescent="0.25">
      <c r="B3" s="2">
        <v>203</v>
      </c>
      <c r="C3" s="1" t="s">
        <v>35</v>
      </c>
      <c r="D3" s="3">
        <v>45551</v>
      </c>
      <c r="E3" s="2">
        <v>3</v>
      </c>
      <c r="F3" s="1">
        <v>200</v>
      </c>
      <c r="G3" s="5" t="str">
        <f>IF(SUM(E6:E12)=RTN_203[[#This Row],[TOTAL BOX]],"MATCHING TOTAL BOX","NOT MATCHING ")</f>
        <v>MATCHING TOTAL BOX</v>
      </c>
      <c r="H3" s="2">
        <v>306170</v>
      </c>
      <c r="I3">
        <v>117400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45554</v>
      </c>
      <c r="C6" t="s">
        <v>129</v>
      </c>
      <c r="D6" t="s">
        <v>127</v>
      </c>
      <c r="E6" s="5">
        <v>41</v>
      </c>
      <c r="F6" s="1"/>
      <c r="G6" s="2"/>
      <c r="H6" s="1">
        <v>85400</v>
      </c>
    </row>
    <row r="7" spans="2:10" x14ac:dyDescent="0.25">
      <c r="B7" s="4">
        <v>45554</v>
      </c>
      <c r="C7" t="s">
        <v>37</v>
      </c>
      <c r="D7" t="s">
        <v>38</v>
      </c>
      <c r="E7" s="5">
        <v>40</v>
      </c>
      <c r="F7" s="1"/>
      <c r="G7" s="2"/>
      <c r="H7" s="1">
        <v>84800</v>
      </c>
    </row>
    <row r="8" spans="2:10" x14ac:dyDescent="0.25">
      <c r="B8" s="4">
        <v>45553</v>
      </c>
      <c r="C8" t="s">
        <v>39</v>
      </c>
      <c r="D8" t="s">
        <v>40</v>
      </c>
      <c r="E8" s="5">
        <v>44</v>
      </c>
      <c r="F8" s="1"/>
      <c r="G8" s="2"/>
      <c r="H8" s="1">
        <v>96200</v>
      </c>
    </row>
    <row r="9" spans="2:10" x14ac:dyDescent="0.25">
      <c r="B9" s="4">
        <v>45553</v>
      </c>
      <c r="C9" t="s">
        <v>41</v>
      </c>
      <c r="D9" t="s">
        <v>42</v>
      </c>
      <c r="E9" s="5">
        <v>20</v>
      </c>
      <c r="F9" s="1"/>
      <c r="G9" s="2"/>
      <c r="H9" s="1">
        <v>35500</v>
      </c>
    </row>
    <row r="10" spans="2:10" x14ac:dyDescent="0.25">
      <c r="B10" s="4">
        <v>45553</v>
      </c>
      <c r="C10" t="s">
        <v>43</v>
      </c>
      <c r="D10" t="s">
        <v>44</v>
      </c>
      <c r="E10" s="5">
        <v>1</v>
      </c>
      <c r="F10" s="1"/>
      <c r="G10" s="2"/>
      <c r="H10" s="1">
        <v>2000</v>
      </c>
    </row>
    <row r="11" spans="2:10" x14ac:dyDescent="0.25">
      <c r="B11" s="4">
        <v>45553</v>
      </c>
      <c r="C11" t="s">
        <v>45</v>
      </c>
      <c r="D11" t="s">
        <v>46</v>
      </c>
      <c r="E11" s="5">
        <v>2</v>
      </c>
      <c r="F11" s="1"/>
      <c r="G11" s="2"/>
      <c r="H11" s="1">
        <v>3500</v>
      </c>
    </row>
    <row r="12" spans="2:10" x14ac:dyDescent="0.25">
      <c r="B12" s="4">
        <v>45553</v>
      </c>
      <c r="C12" t="s">
        <v>47</v>
      </c>
      <c r="D12" t="s">
        <v>48</v>
      </c>
      <c r="E12" s="5">
        <v>52</v>
      </c>
      <c r="F12" s="1"/>
      <c r="G12" s="2"/>
      <c r="H12" s="1">
        <v>15820</v>
      </c>
    </row>
    <row r="13" spans="2:10" x14ac:dyDescent="0.25">
      <c r="B13" t="s">
        <v>13</v>
      </c>
      <c r="E13" s="5">
        <f>SUM(R_03[BOX])</f>
        <v>200</v>
      </c>
      <c r="H13">
        <f>SUBTOTAL(109,R_03[AMOUNT])</f>
        <v>323220</v>
      </c>
    </row>
  </sheetData>
  <conditionalFormatting sqref="F6:G12">
    <cfRule type="notContainsBlanks" dxfId="125" priority="7">
      <formula>LEN(TRIM(F6))&gt;0</formula>
    </cfRule>
  </conditionalFormatting>
  <conditionalFormatting sqref="G3:G4">
    <cfRule type="containsText" dxfId="124" priority="5" operator="containsText" text="NOT MATCHING">
      <formula>NOT(ISERROR(SEARCH("NOT MATCHING",G3)))</formula>
    </cfRule>
    <cfRule type="containsText" dxfId="123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C264-8F40-4B7A-8568-752ECB14FBBD}">
  <sheetPr codeName="Sheet30">
    <tabColor rgb="FF00B050"/>
  </sheetPr>
  <dimension ref="B2:J15"/>
  <sheetViews>
    <sheetView zoomScale="89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6.42578125" bestFit="1" customWidth="1"/>
    <col min="6" max="6" width="15.7109375" bestFit="1" customWidth="1"/>
    <col min="7" max="7" width="23.85546875" bestFit="1" customWidth="1"/>
    <col min="9" max="9" width="20" bestFit="1" customWidth="1"/>
    <col min="10" max="11" width="14.285156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242</v>
      </c>
      <c r="I2" s="1" t="s">
        <v>241</v>
      </c>
      <c r="J2" s="1" t="s">
        <v>240</v>
      </c>
    </row>
    <row r="3" spans="2:10" x14ac:dyDescent="0.25">
      <c r="B3" s="2">
        <v>227</v>
      </c>
      <c r="C3" s="1" t="s">
        <v>138</v>
      </c>
      <c r="D3" s="3">
        <v>45615</v>
      </c>
      <c r="E3" s="2">
        <v>27</v>
      </c>
      <c r="F3" s="1">
        <v>177</v>
      </c>
      <c r="G3" s="5" t="str">
        <f>IF(SUM(E6:E14)=RTN_27[[#This Row],[TOTAL BOX]],"MATCHING TOTAL BOX","NOT MATCHING ")</f>
        <v>MATCHING TOTAL BOX</v>
      </c>
      <c r="H3" s="2">
        <v>197900</v>
      </c>
      <c r="I3" s="2">
        <v>96660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45617</v>
      </c>
      <c r="C6" t="s">
        <v>177</v>
      </c>
      <c r="D6" t="s">
        <v>42</v>
      </c>
      <c r="E6" s="5">
        <v>41</v>
      </c>
      <c r="F6" s="1"/>
      <c r="G6" s="2"/>
      <c r="H6" s="1">
        <v>136000</v>
      </c>
    </row>
    <row r="7" spans="2:10" x14ac:dyDescent="0.25">
      <c r="B7" s="4">
        <v>45617</v>
      </c>
      <c r="C7" t="s">
        <v>39</v>
      </c>
      <c r="D7" t="s">
        <v>40</v>
      </c>
      <c r="E7" s="5">
        <v>73</v>
      </c>
      <c r="F7" s="1"/>
      <c r="G7" s="2"/>
      <c r="H7" s="1">
        <v>115000</v>
      </c>
    </row>
    <row r="8" spans="2:10" x14ac:dyDescent="0.25">
      <c r="B8" s="4">
        <v>45617</v>
      </c>
      <c r="C8" t="s">
        <v>39</v>
      </c>
      <c r="D8" t="s">
        <v>40</v>
      </c>
      <c r="E8" s="5">
        <v>24</v>
      </c>
      <c r="F8" s="1"/>
      <c r="G8" s="2"/>
      <c r="H8" s="1">
        <v>37600</v>
      </c>
    </row>
    <row r="9" spans="2:10" x14ac:dyDescent="0.25">
      <c r="B9" s="4">
        <v>45618</v>
      </c>
      <c r="C9" t="s">
        <v>197</v>
      </c>
      <c r="D9" t="s">
        <v>203</v>
      </c>
      <c r="E9" s="5">
        <v>34</v>
      </c>
      <c r="F9" s="1"/>
      <c r="G9" s="2"/>
      <c r="H9" s="1">
        <v>34650</v>
      </c>
    </row>
    <row r="10" spans="2:10" x14ac:dyDescent="0.25">
      <c r="B10" s="4">
        <v>45618</v>
      </c>
      <c r="C10" t="s">
        <v>197</v>
      </c>
      <c r="D10" t="s">
        <v>203</v>
      </c>
      <c r="E10" s="5">
        <v>5</v>
      </c>
      <c r="F10" s="1"/>
      <c r="G10" s="2"/>
      <c r="H10" s="1">
        <v>11065</v>
      </c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SUM(R_27[BOX])</f>
        <v>177</v>
      </c>
      <c r="F15" s="9"/>
      <c r="G15" s="9"/>
      <c r="H15" s="9">
        <f>SUBTOTAL(109,R_27[AMOUNT])</f>
        <v>334315</v>
      </c>
    </row>
  </sheetData>
  <conditionalFormatting sqref="F6:G7">
    <cfRule type="notContainsBlanks" dxfId="44" priority="1">
      <formula>LEN(TRIM(F6))&gt;0</formula>
    </cfRule>
  </conditionalFormatting>
  <conditionalFormatting sqref="G3:G4">
    <cfRule type="containsText" dxfId="43" priority="7" operator="containsText" text="NOT MATCHING">
      <formula>NOT(ISERROR(SEARCH("NOT MATCHING",G3)))</formula>
    </cfRule>
    <cfRule type="containsText" dxfId="42" priority="8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0D38-2684-4806-AA98-F37A658F5A21}">
  <sheetPr codeName="Sheet31">
    <tabColor rgb="FFFF0000"/>
  </sheetPr>
  <dimension ref="B2:J15"/>
  <sheetViews>
    <sheetView zoomScale="85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228</v>
      </c>
      <c r="C3" s="1" t="s">
        <v>147</v>
      </c>
      <c r="D3" s="3">
        <v>45617</v>
      </c>
      <c r="E3" s="2">
        <v>28</v>
      </c>
      <c r="F3" s="1">
        <v>200</v>
      </c>
      <c r="G3" s="5" t="str">
        <f>IF(SUM(E6:E14)=RTN_228[[#This Row],[TOTAL BOX]],"MATCHING TOTAL BOX","NOT MATCHING ")</f>
        <v>MATCHING TOTAL BOX</v>
      </c>
      <c r="H3" s="2">
        <v>138600</v>
      </c>
      <c r="I3" s="2">
        <v>119616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45619</v>
      </c>
      <c r="C6" t="s">
        <v>79</v>
      </c>
      <c r="D6" t="s">
        <v>204</v>
      </c>
      <c r="E6" s="5">
        <v>89</v>
      </c>
      <c r="F6" s="1"/>
      <c r="G6" s="2"/>
      <c r="H6" s="1">
        <v>112000</v>
      </c>
    </row>
    <row r="7" spans="2:10" x14ac:dyDescent="0.25">
      <c r="B7" s="4">
        <v>45619</v>
      </c>
      <c r="C7" t="s">
        <v>75</v>
      </c>
      <c r="D7" t="s">
        <v>76</v>
      </c>
      <c r="E7" s="5">
        <v>20</v>
      </c>
      <c r="F7" s="1"/>
      <c r="G7" s="2"/>
      <c r="H7" s="1">
        <v>24300</v>
      </c>
    </row>
    <row r="8" spans="2:10" x14ac:dyDescent="0.25">
      <c r="B8" s="4">
        <v>45619</v>
      </c>
      <c r="C8" t="s">
        <v>77</v>
      </c>
      <c r="D8" t="s">
        <v>78</v>
      </c>
      <c r="E8" s="5">
        <v>20</v>
      </c>
      <c r="F8" s="1">
        <v>3000</v>
      </c>
      <c r="G8" s="2">
        <v>15</v>
      </c>
      <c r="H8" s="1">
        <v>20840</v>
      </c>
    </row>
    <row r="9" spans="2:10" x14ac:dyDescent="0.25">
      <c r="B9" s="4">
        <v>45620</v>
      </c>
      <c r="C9" t="s">
        <v>73</v>
      </c>
      <c r="D9" t="s">
        <v>145</v>
      </c>
      <c r="E9" s="5">
        <v>59</v>
      </c>
      <c r="F9" s="1"/>
      <c r="G9" s="2"/>
      <c r="H9" s="1">
        <v>76900</v>
      </c>
    </row>
    <row r="10" spans="2:10" x14ac:dyDescent="0.25">
      <c r="B10" s="4">
        <v>45620</v>
      </c>
      <c r="C10" t="s">
        <v>212</v>
      </c>
      <c r="D10" t="s">
        <v>200</v>
      </c>
      <c r="E10" s="5">
        <v>12</v>
      </c>
      <c r="F10" s="1"/>
      <c r="G10" s="2"/>
      <c r="H10" s="1">
        <v>17700</v>
      </c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SUM(R_28[BOX])</f>
        <v>200</v>
      </c>
      <c r="F15" s="9"/>
      <c r="G15" s="9"/>
      <c r="H15" s="9">
        <f>SUBTOTAL(109,R_28[AMOUNT])</f>
        <v>251740</v>
      </c>
    </row>
  </sheetData>
  <conditionalFormatting sqref="F6:G7">
    <cfRule type="notContainsBlanks" dxfId="41" priority="1">
      <formula>LEN(TRIM(F6))&gt;0</formula>
    </cfRule>
  </conditionalFormatting>
  <conditionalFormatting sqref="G3:G4">
    <cfRule type="containsText" dxfId="40" priority="6" operator="containsText" text="NOT MATCHING">
      <formula>NOT(ISERROR(SEARCH("NOT MATCHING",G3)))</formula>
    </cfRule>
    <cfRule type="containsText" dxfId="39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2B02-4506-42CC-8482-CDEF321EB318}">
  <sheetPr codeName="Sheet32">
    <tabColor rgb="FF00B050"/>
  </sheetPr>
  <dimension ref="B2:J15"/>
  <sheetViews>
    <sheetView zoomScale="85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229</v>
      </c>
      <c r="C3" s="1" t="s">
        <v>141</v>
      </c>
      <c r="D3" s="3">
        <v>45621</v>
      </c>
      <c r="E3" s="2">
        <v>29</v>
      </c>
      <c r="F3" s="1">
        <v>234</v>
      </c>
      <c r="G3" s="5" t="str">
        <f>IF(SUM(E6:E14)=RTN_229[[#This Row],[TOTAL BOX]],"MATCHING TOTAL BOX","NOT MATCHING ")</f>
        <v>MATCHING TOTAL BOX</v>
      </c>
      <c r="H3" s="2">
        <v>189450</v>
      </c>
      <c r="I3" s="2">
        <v>115752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45623</v>
      </c>
      <c r="C6" t="s">
        <v>146</v>
      </c>
      <c r="D6" t="s">
        <v>145</v>
      </c>
      <c r="E6" s="5">
        <v>72</v>
      </c>
      <c r="F6" s="1"/>
      <c r="G6" s="2"/>
      <c r="H6" s="1">
        <v>94000</v>
      </c>
    </row>
    <row r="7" spans="2:10" x14ac:dyDescent="0.25">
      <c r="B7" s="4">
        <v>45623</v>
      </c>
      <c r="C7" t="s">
        <v>75</v>
      </c>
      <c r="D7" t="s">
        <v>76</v>
      </c>
      <c r="E7" s="5">
        <v>84</v>
      </c>
      <c r="F7" s="1"/>
      <c r="G7" s="2"/>
      <c r="H7" s="1">
        <v>109950</v>
      </c>
    </row>
    <row r="8" spans="2:10" x14ac:dyDescent="0.25">
      <c r="B8" s="4">
        <v>45623</v>
      </c>
      <c r="C8" t="s">
        <v>88</v>
      </c>
      <c r="D8" t="s">
        <v>172</v>
      </c>
      <c r="E8" s="5">
        <v>78</v>
      </c>
      <c r="F8" s="1"/>
      <c r="G8" s="2"/>
      <c r="H8" s="1">
        <v>109710</v>
      </c>
    </row>
    <row r="9" spans="2:10" x14ac:dyDescent="0.25">
      <c r="B9" s="4"/>
      <c r="E9" s="5"/>
      <c r="F9" s="1"/>
      <c r="G9" s="2"/>
      <c r="H9" s="1"/>
    </row>
    <row r="10" spans="2:10" x14ac:dyDescent="0.25">
      <c r="B10" s="4"/>
      <c r="E10" s="5"/>
      <c r="F10" s="1"/>
      <c r="G10" s="2"/>
      <c r="H10" s="1"/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SUM(R_29[BOX])</f>
        <v>234</v>
      </c>
      <c r="F15" s="9"/>
      <c r="G15" s="9"/>
      <c r="H15" s="9">
        <f>SUBTOTAL(109,R_29[AMOUNT])</f>
        <v>313660</v>
      </c>
    </row>
  </sheetData>
  <conditionalFormatting sqref="F6:G7">
    <cfRule type="notContainsBlanks" dxfId="38" priority="1">
      <formula>LEN(TRIM(F6))&gt;0</formula>
    </cfRule>
  </conditionalFormatting>
  <conditionalFormatting sqref="G3:G4">
    <cfRule type="containsText" dxfId="37" priority="6" operator="containsText" text="NOT MATCHING">
      <formula>NOT(ISERROR(SEARCH("NOT MATCHING",G3)))</formula>
    </cfRule>
    <cfRule type="containsText" dxfId="36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5F03-9310-4C39-96CE-8D5235BD85E8}">
  <sheetPr codeName="Sheet33">
    <tabColor rgb="FFFF0000"/>
  </sheetPr>
  <dimension ref="B2:J15"/>
  <sheetViews>
    <sheetView zoomScale="85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230</v>
      </c>
      <c r="C3" s="1" t="s">
        <v>185</v>
      </c>
      <c r="D3" s="3">
        <v>45623</v>
      </c>
      <c r="E3" s="2">
        <v>30</v>
      </c>
      <c r="F3" s="1">
        <v>199</v>
      </c>
      <c r="G3" s="5" t="str">
        <f>IF(SUM(E6:E14)=RTN_230[[#This Row],[TOTAL BOX]],"MATCHING TOTAL BOX","NOT MATCHING ")</f>
        <v>MATCHING TOTAL BOX</v>
      </c>
      <c r="H3" s="2">
        <v>204300</v>
      </c>
      <c r="I3" s="2">
        <v>117222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45624</v>
      </c>
      <c r="C6" t="s">
        <v>206</v>
      </c>
      <c r="D6" t="s">
        <v>107</v>
      </c>
      <c r="E6" s="5">
        <v>17</v>
      </c>
      <c r="F6" s="1"/>
      <c r="G6" s="2"/>
      <c r="H6" s="1">
        <v>44030</v>
      </c>
    </row>
    <row r="7" spans="2:10" x14ac:dyDescent="0.25">
      <c r="B7" s="4">
        <v>45624</v>
      </c>
      <c r="C7" t="s">
        <v>92</v>
      </c>
      <c r="D7" t="s">
        <v>93</v>
      </c>
      <c r="E7" s="5">
        <v>10</v>
      </c>
      <c r="F7" s="1"/>
      <c r="G7" s="2"/>
      <c r="H7" s="1">
        <v>26550</v>
      </c>
    </row>
    <row r="8" spans="2:10" x14ac:dyDescent="0.25">
      <c r="B8" s="4">
        <v>45625</v>
      </c>
      <c r="C8" t="s">
        <v>110</v>
      </c>
      <c r="D8" t="s">
        <v>111</v>
      </c>
      <c r="E8" s="5">
        <v>13</v>
      </c>
      <c r="F8" s="1"/>
      <c r="G8" s="2"/>
      <c r="H8" s="1">
        <v>33450</v>
      </c>
    </row>
    <row r="9" spans="2:10" x14ac:dyDescent="0.25">
      <c r="B9" s="4">
        <v>45625</v>
      </c>
      <c r="C9" t="s">
        <v>58</v>
      </c>
      <c r="D9" t="s">
        <v>59</v>
      </c>
      <c r="E9" s="5">
        <v>5</v>
      </c>
      <c r="F9" s="1"/>
      <c r="G9" s="2"/>
      <c r="H9" s="1">
        <v>14050</v>
      </c>
    </row>
    <row r="10" spans="2:10" x14ac:dyDescent="0.25">
      <c r="B10" s="4">
        <v>45627</v>
      </c>
      <c r="C10" t="s">
        <v>146</v>
      </c>
      <c r="D10" t="s">
        <v>145</v>
      </c>
      <c r="E10" s="5">
        <v>154</v>
      </c>
      <c r="F10" s="1"/>
      <c r="G10" s="2"/>
      <c r="H10" s="1">
        <v>177900</v>
      </c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SUM(R_30[BOX])</f>
        <v>199</v>
      </c>
      <c r="F15" s="9"/>
      <c r="G15" s="9"/>
      <c r="H15" s="9">
        <f>SUBTOTAL(109,R_30[AMOUNT])</f>
        <v>295980</v>
      </c>
    </row>
  </sheetData>
  <conditionalFormatting sqref="F6:G7">
    <cfRule type="notContainsBlanks" dxfId="35" priority="1">
      <formula>LEN(TRIM(F6))&gt;0</formula>
    </cfRule>
  </conditionalFormatting>
  <conditionalFormatting sqref="G3:G4">
    <cfRule type="containsText" dxfId="34" priority="7" operator="containsText" text="NOT MATCHING">
      <formula>NOT(ISERROR(SEARCH("NOT MATCHING",G3)))</formula>
    </cfRule>
    <cfRule type="containsText" dxfId="33" priority="8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CD6-240B-4EA0-A484-9018FEEB8827}">
  <sheetPr codeName="Sheet34">
    <tabColor rgb="FFFF0000"/>
  </sheetPr>
  <dimension ref="B2:J15"/>
  <sheetViews>
    <sheetView zoomScale="85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242</v>
      </c>
      <c r="I2" s="1" t="s">
        <v>241</v>
      </c>
      <c r="J2" s="1" t="s">
        <v>240</v>
      </c>
    </row>
    <row r="3" spans="2:10" x14ac:dyDescent="0.25">
      <c r="B3" s="2">
        <v>231</v>
      </c>
      <c r="C3" s="1" t="s">
        <v>154</v>
      </c>
      <c r="D3" s="3">
        <v>45623</v>
      </c>
      <c r="E3" s="2">
        <v>31</v>
      </c>
      <c r="F3" s="1">
        <v>226</v>
      </c>
      <c r="G3" s="5" t="str">
        <f>IF(SUM(E6:E14)=RTN_231[[#This Row],[TOTAL BOX]],"MATCHING TOTAL BOX","NOT MATCHING ")</f>
        <v>MATCHING TOTAL BOX</v>
      </c>
      <c r="H3" s="2">
        <v>221500</v>
      </c>
      <c r="I3" s="2">
        <v>118944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45625</v>
      </c>
      <c r="C6" t="s">
        <v>75</v>
      </c>
      <c r="D6" t="s">
        <v>76</v>
      </c>
      <c r="E6">
        <v>95</v>
      </c>
      <c r="H6">
        <v>124350</v>
      </c>
    </row>
    <row r="7" spans="2:10" x14ac:dyDescent="0.25">
      <c r="B7" s="4">
        <v>56582</v>
      </c>
      <c r="C7" t="s">
        <v>79</v>
      </c>
      <c r="D7" t="s">
        <v>80</v>
      </c>
      <c r="E7" s="5">
        <v>102</v>
      </c>
      <c r="F7" s="1"/>
      <c r="G7" s="2"/>
      <c r="H7" s="1">
        <v>133600</v>
      </c>
    </row>
    <row r="8" spans="2:10" x14ac:dyDescent="0.25">
      <c r="B8" s="4">
        <v>45625</v>
      </c>
      <c r="C8" t="s">
        <v>207</v>
      </c>
      <c r="D8" t="s">
        <v>55</v>
      </c>
      <c r="E8">
        <v>29</v>
      </c>
      <c r="H8">
        <v>64820</v>
      </c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SUM(R_31[BOX])</f>
        <v>226</v>
      </c>
      <c r="F15" s="9"/>
      <c r="G15" s="9"/>
      <c r="H15" s="9">
        <f>SUBTOTAL(109,R_31[AMOUNT])</f>
        <v>322770</v>
      </c>
    </row>
  </sheetData>
  <conditionalFormatting sqref="F7:G7">
    <cfRule type="notContainsBlanks" dxfId="32" priority="1">
      <formula>LEN(TRIM(F7))&gt;0</formula>
    </cfRule>
  </conditionalFormatting>
  <conditionalFormatting sqref="G3">
    <cfRule type="containsText" dxfId="31" priority="6" operator="containsText" text="NOT MATCHING">
      <formula>NOT(ISERROR(SEARCH("NOT MATCHING",G3)))</formula>
    </cfRule>
    <cfRule type="containsText" dxfId="30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24BE-181E-4932-8C3C-B87F154E6B29}">
  <sheetPr codeName="Sheet36">
    <tabColor rgb="FF00B050"/>
  </sheetPr>
  <dimension ref="B2:J15"/>
  <sheetViews>
    <sheetView topLeftCell="A2" zoomScale="85" workbookViewId="0">
      <selection activeCell="I5" sqref="I5"/>
    </sheetView>
  </sheetViews>
  <sheetFormatPr defaultRowHeight="15" x14ac:dyDescent="0.25"/>
  <cols>
    <col min="2" max="2" width="10.5703125" bestFit="1" customWidth="1"/>
    <col min="3" max="3" width="16.85546875" bestFit="1" customWidth="1"/>
    <col min="4" max="4" width="13.5703125" bestFit="1" customWidth="1"/>
    <col min="5" max="5" width="10.7109375" bestFit="1" customWidth="1"/>
    <col min="6" max="6" width="15.7109375" customWidth="1"/>
    <col min="7" max="7" width="23.85546875" bestFit="1" customWidth="1"/>
    <col min="8" max="8" width="11.7109375" bestFit="1" customWidth="1"/>
    <col min="9" max="9" width="20.42578125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232</v>
      </c>
      <c r="C3" s="1" t="s">
        <v>191</v>
      </c>
      <c r="D3" s="3">
        <v>45624</v>
      </c>
      <c r="E3" s="2">
        <v>32</v>
      </c>
      <c r="F3" s="1">
        <v>200</v>
      </c>
      <c r="G3" s="5" t="str">
        <f>IF(SUM(E6:E14)=RTN_232[[#This Row],[TOTAL BOX]],"MATCHING TOTAL BOX","NOT MATCHING ")</f>
        <v>MATCHING TOTAL BOX</v>
      </c>
      <c r="H3" s="2">
        <v>138500</v>
      </c>
      <c r="I3" s="2">
        <v>113400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45626</v>
      </c>
      <c r="C6" t="s">
        <v>79</v>
      </c>
      <c r="D6" t="s">
        <v>204</v>
      </c>
      <c r="E6">
        <v>77</v>
      </c>
      <c r="H6">
        <v>112500</v>
      </c>
    </row>
    <row r="7" spans="2:10" x14ac:dyDescent="0.25">
      <c r="B7" s="4">
        <v>45627</v>
      </c>
      <c r="C7" t="s">
        <v>205</v>
      </c>
      <c r="D7" t="s">
        <v>200</v>
      </c>
      <c r="E7" s="5">
        <v>60</v>
      </c>
      <c r="F7" s="1"/>
      <c r="G7" s="2"/>
      <c r="H7" s="1">
        <v>72900</v>
      </c>
    </row>
    <row r="8" spans="2:10" x14ac:dyDescent="0.25">
      <c r="B8" s="4">
        <v>45627</v>
      </c>
      <c r="C8" t="s">
        <v>198</v>
      </c>
      <c r="D8" t="s">
        <v>40</v>
      </c>
      <c r="E8" s="5">
        <v>24</v>
      </c>
      <c r="F8" s="1"/>
      <c r="G8" s="2"/>
      <c r="H8" s="1">
        <v>31400</v>
      </c>
    </row>
    <row r="9" spans="2:10" x14ac:dyDescent="0.25">
      <c r="B9" s="4">
        <v>45627</v>
      </c>
      <c r="C9" t="s">
        <v>198</v>
      </c>
      <c r="D9" t="s">
        <v>40</v>
      </c>
      <c r="E9" s="5">
        <v>13</v>
      </c>
      <c r="F9" s="1"/>
      <c r="G9" s="2"/>
      <c r="H9" s="1">
        <v>12800</v>
      </c>
    </row>
    <row r="10" spans="2:10" x14ac:dyDescent="0.25">
      <c r="B10" s="4">
        <v>45628</v>
      </c>
      <c r="C10" t="s">
        <v>208</v>
      </c>
      <c r="D10" t="s">
        <v>145</v>
      </c>
      <c r="E10" s="5">
        <v>26</v>
      </c>
      <c r="F10" s="1"/>
      <c r="G10" s="2"/>
      <c r="H10" s="1">
        <v>33800</v>
      </c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SUM(R_32[BOX])</f>
        <v>200</v>
      </c>
      <c r="F15" s="9"/>
      <c r="G15" s="9"/>
      <c r="H15" s="9">
        <f>SUBTOTAL(109,R_32[AMOUNT])</f>
        <v>263400</v>
      </c>
    </row>
  </sheetData>
  <conditionalFormatting sqref="F7:G7">
    <cfRule type="notContainsBlanks" dxfId="29" priority="1">
      <formula>LEN(TRIM(F7))&gt;0</formula>
    </cfRule>
  </conditionalFormatting>
  <conditionalFormatting sqref="G3">
    <cfRule type="containsText" dxfId="28" priority="6" operator="containsText" text="NOT MATCHING">
      <formula>NOT(ISERROR(SEARCH("NOT MATCHING",G3)))</formula>
    </cfRule>
    <cfRule type="containsText" dxfId="27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7B5D-E3AA-40DF-AC81-8E17B3189FB3}">
  <sheetPr codeName="Sheet35">
    <tabColor rgb="FF00B050"/>
  </sheetPr>
  <dimension ref="B2:J15"/>
  <sheetViews>
    <sheetView zoomScale="77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6.42578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233</v>
      </c>
      <c r="C3" s="1" t="s">
        <v>181</v>
      </c>
      <c r="D3" s="3">
        <v>45626</v>
      </c>
      <c r="E3" s="2">
        <v>33</v>
      </c>
      <c r="F3" s="1">
        <v>200</v>
      </c>
      <c r="G3" s="5" t="str">
        <f>IF(SUM(E6:E14)=RTN_233[[#This Row],[TOTAL BOX]],"MATCHING TOTAL BOX","NOT MATCHING ")</f>
        <v>MATCHING TOTAL BOX</v>
      </c>
      <c r="H3" s="2">
        <v>159750</v>
      </c>
      <c r="I3" s="2">
        <v>111552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45628</v>
      </c>
      <c r="C6" t="s">
        <v>210</v>
      </c>
      <c r="D6" t="s">
        <v>211</v>
      </c>
      <c r="E6">
        <v>103</v>
      </c>
      <c r="H6">
        <v>231500</v>
      </c>
    </row>
    <row r="7" spans="2:10" x14ac:dyDescent="0.25">
      <c r="B7" s="4">
        <v>45629</v>
      </c>
      <c r="C7" t="s">
        <v>212</v>
      </c>
      <c r="D7" t="s">
        <v>200</v>
      </c>
      <c r="E7" s="5">
        <v>64</v>
      </c>
      <c r="F7" s="1"/>
      <c r="G7" s="2"/>
      <c r="H7" s="1">
        <v>105300</v>
      </c>
    </row>
    <row r="8" spans="2:10" x14ac:dyDescent="0.25">
      <c r="B8" s="4">
        <v>45629</v>
      </c>
      <c r="C8" t="s">
        <v>223</v>
      </c>
      <c r="D8" t="s">
        <v>222</v>
      </c>
      <c r="E8" s="5">
        <v>33</v>
      </c>
      <c r="F8" s="1"/>
      <c r="G8" s="2"/>
      <c r="H8" s="1">
        <v>58000</v>
      </c>
    </row>
    <row r="9" spans="2:10" x14ac:dyDescent="0.25">
      <c r="B9" s="4"/>
      <c r="E9" s="5"/>
      <c r="F9" s="1"/>
      <c r="G9" s="2"/>
      <c r="H9" s="1"/>
    </row>
    <row r="10" spans="2:10" x14ac:dyDescent="0.25">
      <c r="B10" s="4"/>
      <c r="E10" s="5"/>
      <c r="F10" s="1"/>
      <c r="G10" s="2"/>
      <c r="H10" s="1"/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SUM(R_33[BOX])</f>
        <v>200</v>
      </c>
      <c r="F15" s="9"/>
      <c r="G15" s="9"/>
      <c r="H15" s="9">
        <f>SUBTOTAL(109,R_33[AMOUNT])</f>
        <v>394800</v>
      </c>
    </row>
  </sheetData>
  <conditionalFormatting sqref="F7:G7">
    <cfRule type="notContainsBlanks" dxfId="26" priority="1">
      <formula>LEN(TRIM(F7))&gt;0</formula>
    </cfRule>
  </conditionalFormatting>
  <conditionalFormatting sqref="G3">
    <cfRule type="containsText" dxfId="25" priority="6" operator="containsText" text="NOT MATCHING">
      <formula>NOT(ISERROR(SEARCH("NOT MATCHING",G3)))</formula>
    </cfRule>
    <cfRule type="containsText" dxfId="24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36A6-09A9-426B-AE63-46853E5B4E31}">
  <sheetPr codeName="Sheet37">
    <tabColor rgb="FFFF0000"/>
  </sheetPr>
  <dimension ref="B2:J15"/>
  <sheetViews>
    <sheetView zoomScale="85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234</v>
      </c>
      <c r="C3" s="1" t="s">
        <v>160</v>
      </c>
      <c r="D3" s="3">
        <v>45628</v>
      </c>
      <c r="E3" s="2">
        <v>34</v>
      </c>
      <c r="F3" s="1">
        <v>200</v>
      </c>
      <c r="G3" s="5" t="str">
        <f>IF(SUM(E6:E14)=RTN_234[[#This Row],[TOTAL BOX]],"MATCHING TOTAL BOX","NOT MATCHING ")</f>
        <v>MATCHING TOTAL BOX</v>
      </c>
      <c r="H3" s="2">
        <v>145800</v>
      </c>
      <c r="I3" s="2">
        <v>115332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45629</v>
      </c>
      <c r="C6" t="s">
        <v>198</v>
      </c>
      <c r="D6" t="s">
        <v>40</v>
      </c>
      <c r="E6">
        <v>57</v>
      </c>
      <c r="H6">
        <v>99200</v>
      </c>
    </row>
    <row r="7" spans="2:10" x14ac:dyDescent="0.25">
      <c r="B7" s="4">
        <v>45629</v>
      </c>
      <c r="C7" t="s">
        <v>198</v>
      </c>
      <c r="D7" t="s">
        <v>40</v>
      </c>
      <c r="E7" s="5">
        <v>19</v>
      </c>
      <c r="F7" s="1"/>
      <c r="G7" s="2"/>
      <c r="H7" s="1">
        <v>25050</v>
      </c>
    </row>
    <row r="8" spans="2:10" x14ac:dyDescent="0.25">
      <c r="B8" s="4">
        <v>45630</v>
      </c>
      <c r="C8" t="s">
        <v>146</v>
      </c>
      <c r="D8" t="s">
        <v>145</v>
      </c>
      <c r="E8" s="5">
        <v>43</v>
      </c>
      <c r="F8" s="1"/>
      <c r="G8" s="2"/>
      <c r="H8" s="1">
        <v>36700</v>
      </c>
    </row>
    <row r="9" spans="2:10" x14ac:dyDescent="0.25">
      <c r="B9" s="4">
        <v>45630</v>
      </c>
      <c r="C9" t="s">
        <v>221</v>
      </c>
      <c r="D9" t="s">
        <v>222</v>
      </c>
      <c r="E9" s="5">
        <v>35</v>
      </c>
      <c r="F9" s="1"/>
      <c r="G9" s="2"/>
      <c r="H9" s="1">
        <v>39400</v>
      </c>
    </row>
    <row r="10" spans="2:10" x14ac:dyDescent="0.25">
      <c r="B10" s="4">
        <v>45630</v>
      </c>
      <c r="C10" t="s">
        <v>37</v>
      </c>
      <c r="D10" t="s">
        <v>200</v>
      </c>
      <c r="E10" s="5">
        <v>21</v>
      </c>
      <c r="F10" s="1"/>
      <c r="G10" s="2"/>
      <c r="H10" s="1">
        <v>20800</v>
      </c>
    </row>
    <row r="11" spans="2:10" x14ac:dyDescent="0.25">
      <c r="B11" s="4">
        <v>45630</v>
      </c>
      <c r="C11" t="s">
        <v>194</v>
      </c>
      <c r="D11" t="s">
        <v>200</v>
      </c>
      <c r="E11" s="5">
        <v>25</v>
      </c>
      <c r="F11" s="1"/>
      <c r="G11" s="2"/>
      <c r="H11" s="1">
        <v>14500</v>
      </c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SUM(R_34[BOX])</f>
        <v>200</v>
      </c>
      <c r="F15" s="9"/>
      <c r="G15" s="9"/>
      <c r="H15" s="9">
        <f>SUBTOTAL(109,R_34[AMOUNT])</f>
        <v>235650</v>
      </c>
    </row>
  </sheetData>
  <conditionalFormatting sqref="F7:G7">
    <cfRule type="notContainsBlanks" dxfId="23" priority="1">
      <formula>LEN(TRIM(F7))&gt;0</formula>
    </cfRule>
  </conditionalFormatting>
  <conditionalFormatting sqref="G3">
    <cfRule type="containsText" dxfId="22" priority="6" operator="containsText" text="NOT MATCHING">
      <formula>NOT(ISERROR(SEARCH("NOT MATCHING",G3)))</formula>
    </cfRule>
    <cfRule type="containsText" dxfId="21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C22F-77CB-4358-85CB-C75BDFF2FA35}">
  <sheetPr codeName="Sheet38">
    <tabColor rgb="FFFF0000"/>
  </sheetPr>
  <dimension ref="B2:J15"/>
  <sheetViews>
    <sheetView zoomScale="84" workbookViewId="0">
      <selection activeCell="I5" sqref="I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235</v>
      </c>
      <c r="C3" s="1" t="s">
        <v>141</v>
      </c>
      <c r="D3" s="3">
        <v>45325</v>
      </c>
      <c r="E3" s="2">
        <v>35</v>
      </c>
      <c r="F3" s="1">
        <v>199</v>
      </c>
      <c r="G3" s="5" t="str">
        <f>IF(SUM(E6:E14)=RTN_235[[#This Row],[TOTAL BOX]],"MATCHING TOTAL BOX","NOT MATCHING ")</f>
        <v>MATCHING TOTAL BOX</v>
      </c>
      <c r="H3" s="2">
        <v>589300</v>
      </c>
      <c r="I3" s="2">
        <v>92400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45630</v>
      </c>
      <c r="C6" t="s">
        <v>214</v>
      </c>
      <c r="D6" t="s">
        <v>219</v>
      </c>
      <c r="E6" s="5">
        <v>30</v>
      </c>
      <c r="F6" s="1"/>
      <c r="G6" s="2"/>
      <c r="H6" s="1">
        <v>85200</v>
      </c>
    </row>
    <row r="7" spans="2:10" x14ac:dyDescent="0.25">
      <c r="B7" s="4">
        <v>45630</v>
      </c>
      <c r="C7" t="s">
        <v>169</v>
      </c>
      <c r="D7" t="s">
        <v>170</v>
      </c>
      <c r="E7" s="5">
        <v>30</v>
      </c>
      <c r="F7" s="1"/>
      <c r="G7" s="2"/>
      <c r="H7" s="1">
        <v>77850</v>
      </c>
    </row>
    <row r="8" spans="2:10" x14ac:dyDescent="0.25">
      <c r="B8" s="4">
        <v>45630</v>
      </c>
      <c r="C8" t="s">
        <v>215</v>
      </c>
      <c r="D8" t="s">
        <v>95</v>
      </c>
      <c r="E8" s="5">
        <v>40</v>
      </c>
      <c r="F8" s="1">
        <v>5000</v>
      </c>
      <c r="G8" s="2">
        <v>5</v>
      </c>
      <c r="H8" s="1">
        <v>102470</v>
      </c>
    </row>
    <row r="9" spans="2:10" x14ac:dyDescent="0.25">
      <c r="B9" s="4">
        <v>45630</v>
      </c>
      <c r="C9" t="s">
        <v>216</v>
      </c>
      <c r="D9" t="s">
        <v>63</v>
      </c>
      <c r="E9" s="5">
        <v>5</v>
      </c>
      <c r="F9" s="1"/>
      <c r="G9" s="2"/>
      <c r="H9" s="1">
        <v>14350</v>
      </c>
    </row>
    <row r="10" spans="2:10" x14ac:dyDescent="0.25">
      <c r="B10" s="4">
        <v>45631</v>
      </c>
      <c r="C10" t="s">
        <v>213</v>
      </c>
      <c r="D10" t="s">
        <v>107</v>
      </c>
      <c r="E10">
        <v>25</v>
      </c>
      <c r="H10">
        <v>64750</v>
      </c>
    </row>
    <row r="11" spans="2:10" x14ac:dyDescent="0.25">
      <c r="B11" s="4">
        <v>45631</v>
      </c>
      <c r="C11" t="s">
        <v>217</v>
      </c>
      <c r="D11" t="s">
        <v>218</v>
      </c>
      <c r="E11" s="5">
        <v>20</v>
      </c>
      <c r="F11" s="1"/>
      <c r="G11" s="2"/>
      <c r="H11" s="1">
        <v>48600</v>
      </c>
    </row>
    <row r="12" spans="2:10" x14ac:dyDescent="0.25">
      <c r="B12" s="4">
        <v>45631</v>
      </c>
      <c r="C12" t="s">
        <v>54</v>
      </c>
      <c r="D12" t="s">
        <v>55</v>
      </c>
      <c r="E12" s="5">
        <v>10</v>
      </c>
      <c r="G12" s="2"/>
      <c r="H12" s="1">
        <v>21470</v>
      </c>
    </row>
    <row r="13" spans="2:10" x14ac:dyDescent="0.25">
      <c r="B13" s="4">
        <v>45631</v>
      </c>
      <c r="C13" t="s">
        <v>187</v>
      </c>
      <c r="D13" t="s">
        <v>182</v>
      </c>
      <c r="E13" s="5">
        <v>39</v>
      </c>
      <c r="H13">
        <v>113150</v>
      </c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SUM(R_35[BOX])</f>
        <v>199</v>
      </c>
      <c r="F15" s="9"/>
      <c r="G15" s="9"/>
      <c r="H15" s="9">
        <f>SUBTOTAL(109,R_35[AMOUNT])</f>
        <v>527840</v>
      </c>
    </row>
  </sheetData>
  <conditionalFormatting sqref="F7:G7">
    <cfRule type="notContainsBlanks" dxfId="20" priority="1">
      <formula>LEN(TRIM(F7))&gt;0</formula>
    </cfRule>
  </conditionalFormatting>
  <conditionalFormatting sqref="G3">
    <cfRule type="containsText" dxfId="19" priority="6" operator="containsText" text="NOT MATCHING">
      <formula>NOT(ISERROR(SEARCH("NOT MATCHING",G3)))</formula>
    </cfRule>
    <cfRule type="containsText" dxfId="18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C3E2-95DC-4E0A-A219-5459D4E9F74F}">
  <sheetPr codeName="Sheet39">
    <tabColor rgb="FFFF0000"/>
  </sheetPr>
  <dimension ref="B2:J15"/>
  <sheetViews>
    <sheetView zoomScale="80" workbookViewId="0">
      <selection activeCell="I5" sqref="I5:I15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9" max="9" width="20.42578125" bestFit="1" customWidth="1"/>
    <col min="11" max="11" width="11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236</v>
      </c>
      <c r="C3" s="1" t="s">
        <v>138</v>
      </c>
      <c r="D3" s="3">
        <v>45630</v>
      </c>
      <c r="E3" s="2">
        <v>36</v>
      </c>
      <c r="F3" s="1">
        <v>227</v>
      </c>
      <c r="G3" s="5" t="str">
        <f>IF(SUM(E6:E14)=RTN_236[[#This Row],[TOTAL BOX]],"MATCHING TOTAL BOX","NOT MATCHING ")</f>
        <v>MATCHING TOTAL BOX</v>
      </c>
      <c r="H3" s="2">
        <v>219200</v>
      </c>
      <c r="I3" s="2">
        <v>116256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45633</v>
      </c>
      <c r="C6" t="s">
        <v>79</v>
      </c>
      <c r="D6" t="s">
        <v>80</v>
      </c>
      <c r="E6">
        <v>122</v>
      </c>
      <c r="H6">
        <v>107750</v>
      </c>
    </row>
    <row r="7" spans="2:10" x14ac:dyDescent="0.25">
      <c r="B7" s="4">
        <v>45632</v>
      </c>
      <c r="C7" t="s">
        <v>198</v>
      </c>
      <c r="D7" t="s">
        <v>40</v>
      </c>
      <c r="E7" s="5">
        <v>2</v>
      </c>
      <c r="F7" s="1"/>
      <c r="G7" s="2"/>
      <c r="H7" s="1">
        <v>2450</v>
      </c>
    </row>
    <row r="8" spans="2:10" x14ac:dyDescent="0.25">
      <c r="B8" s="4">
        <v>45633</v>
      </c>
      <c r="C8" t="s">
        <v>220</v>
      </c>
      <c r="D8" t="s">
        <v>200</v>
      </c>
      <c r="E8" s="5">
        <v>73</v>
      </c>
      <c r="F8" s="1"/>
      <c r="G8" s="2"/>
      <c r="H8" s="1">
        <v>97500</v>
      </c>
    </row>
    <row r="9" spans="2:10" x14ac:dyDescent="0.25">
      <c r="B9" s="4">
        <v>45633</v>
      </c>
      <c r="C9" t="s">
        <v>129</v>
      </c>
      <c r="D9" t="s">
        <v>145</v>
      </c>
      <c r="E9" s="5">
        <v>30</v>
      </c>
      <c r="F9" s="1"/>
      <c r="G9" s="2"/>
      <c r="H9" s="1">
        <v>33000</v>
      </c>
    </row>
    <row r="10" spans="2:10" x14ac:dyDescent="0.25">
      <c r="B10" s="4"/>
      <c r="E10" s="5"/>
      <c r="F10" s="1"/>
      <c r="G10" s="2"/>
      <c r="H10" s="1"/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SUM(R_36[BOX])</f>
        <v>227</v>
      </c>
      <c r="F15" s="9"/>
      <c r="G15" s="9"/>
      <c r="H15" s="9">
        <f>SUBTOTAL(109,R_36[AMOUNT])</f>
        <v>240700</v>
      </c>
    </row>
  </sheetData>
  <conditionalFormatting sqref="F7:G7">
    <cfRule type="notContainsBlanks" dxfId="17" priority="1">
      <formula>LEN(TRIM(F7))&gt;0</formula>
    </cfRule>
  </conditionalFormatting>
  <conditionalFormatting sqref="G3">
    <cfRule type="containsText" dxfId="16" priority="6" operator="containsText" text="NOT MATCHING">
      <formula>NOT(ISERROR(SEARCH("NOT MATCHING",G3)))</formula>
    </cfRule>
    <cfRule type="containsText" dxfId="15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C48E-BA6D-4B62-86BA-35106D58C061}">
  <sheetPr codeName="Sheet4">
    <tabColor rgb="FFFF0000"/>
  </sheetPr>
  <dimension ref="B3:J20"/>
  <sheetViews>
    <sheetView zoomScale="85" workbookViewId="0">
      <selection activeCell="C12" sqref="C12"/>
    </sheetView>
  </sheetViews>
  <sheetFormatPr defaultRowHeight="15" x14ac:dyDescent="0.25"/>
  <cols>
    <col min="2" max="2" width="10.42578125" bestFit="1" customWidth="1"/>
    <col min="3" max="3" width="25.140625" bestFit="1" customWidth="1"/>
    <col min="4" max="4" width="10.42578125" bestFit="1" customWidth="1"/>
    <col min="6" max="6" width="15.7109375" bestFit="1" customWidth="1"/>
    <col min="7" max="7" width="23.85546875" bestFit="1" customWidth="1"/>
    <col min="10" max="10" width="11" bestFit="1" customWidth="1"/>
  </cols>
  <sheetData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14</v>
      </c>
      <c r="I3" s="1" t="s">
        <v>241</v>
      </c>
      <c r="J3" s="1" t="s">
        <v>240</v>
      </c>
    </row>
    <row r="4" spans="2:10" x14ac:dyDescent="0.25">
      <c r="B4" s="2"/>
      <c r="C4" s="1" t="s">
        <v>49</v>
      </c>
      <c r="D4" s="3">
        <v>45551</v>
      </c>
      <c r="E4" s="2">
        <v>1</v>
      </c>
      <c r="F4" s="1">
        <v>204</v>
      </c>
      <c r="G4" s="5" t="str">
        <f>IF(SUM(E7:E19)=AL_101[[#This Row],[TOTAL BOX]],"MATCHING TOTAL BOX","NOT MATCHING ")</f>
        <v>MATCHING TOTAL BOX</v>
      </c>
      <c r="H4" s="6">
        <v>264515</v>
      </c>
      <c r="I4">
        <v>126950</v>
      </c>
      <c r="J4" s="2">
        <v>4000</v>
      </c>
    </row>
    <row r="5" spans="2:10" x14ac:dyDescent="0.25">
      <c r="B5" s="2"/>
      <c r="C5" s="2"/>
      <c r="D5" s="3"/>
      <c r="E5" s="2"/>
      <c r="F5" s="1"/>
      <c r="G5" s="2"/>
      <c r="H5" s="2"/>
      <c r="I5" s="2"/>
      <c r="J5" s="2"/>
    </row>
    <row r="6" spans="2:10" x14ac:dyDescent="0.25">
      <c r="B6" s="1" t="s">
        <v>7</v>
      </c>
      <c r="C6" s="1" t="s">
        <v>8</v>
      </c>
      <c r="D6" s="1" t="s">
        <v>36</v>
      </c>
      <c r="E6" s="1" t="s">
        <v>9</v>
      </c>
      <c r="F6" s="1" t="s">
        <v>10</v>
      </c>
      <c r="G6" s="1" t="s">
        <v>11</v>
      </c>
      <c r="H6" s="1" t="s">
        <v>12</v>
      </c>
    </row>
    <row r="7" spans="2:10" x14ac:dyDescent="0.25">
      <c r="B7" s="4">
        <v>45552</v>
      </c>
      <c r="C7" t="s">
        <v>50</v>
      </c>
      <c r="D7" t="s">
        <v>51</v>
      </c>
      <c r="E7" s="5">
        <v>20</v>
      </c>
      <c r="F7" s="1"/>
      <c r="G7" s="2"/>
      <c r="H7" s="1">
        <v>1140</v>
      </c>
    </row>
    <row r="8" spans="2:10" x14ac:dyDescent="0.25">
      <c r="B8" s="4">
        <v>45552</v>
      </c>
      <c r="C8" t="s">
        <v>64</v>
      </c>
      <c r="D8" t="s">
        <v>65</v>
      </c>
      <c r="E8" s="5">
        <v>10</v>
      </c>
      <c r="F8" s="1">
        <v>2000</v>
      </c>
      <c r="G8" s="2">
        <v>5</v>
      </c>
      <c r="H8" s="1">
        <v>21970</v>
      </c>
    </row>
    <row r="9" spans="2:10" x14ac:dyDescent="0.25">
      <c r="B9" s="4">
        <v>45552</v>
      </c>
      <c r="C9" t="s">
        <v>66</v>
      </c>
      <c r="D9" t="s">
        <v>67</v>
      </c>
      <c r="E9" s="5">
        <v>12</v>
      </c>
      <c r="F9" s="1"/>
      <c r="G9" s="2"/>
      <c r="H9" s="1">
        <v>23100</v>
      </c>
    </row>
    <row r="10" spans="2:10" x14ac:dyDescent="0.25">
      <c r="B10" s="4">
        <v>45553</v>
      </c>
      <c r="C10" t="s">
        <v>52</v>
      </c>
      <c r="D10" t="s">
        <v>53</v>
      </c>
      <c r="E10" s="5">
        <v>10</v>
      </c>
      <c r="F10" s="1"/>
      <c r="G10" s="2"/>
      <c r="H10" s="1">
        <v>17000</v>
      </c>
    </row>
    <row r="11" spans="2:10" x14ac:dyDescent="0.25">
      <c r="B11" s="4">
        <v>45553</v>
      </c>
      <c r="C11" t="s">
        <v>54</v>
      </c>
      <c r="D11" t="s">
        <v>55</v>
      </c>
      <c r="E11" s="5">
        <v>15</v>
      </c>
      <c r="F11" s="1"/>
      <c r="G11" s="2"/>
      <c r="H11" s="1">
        <v>2200</v>
      </c>
    </row>
    <row r="12" spans="2:10" x14ac:dyDescent="0.25">
      <c r="B12" s="4">
        <v>45553</v>
      </c>
      <c r="C12" t="s">
        <v>58</v>
      </c>
      <c r="D12" t="s">
        <v>59</v>
      </c>
      <c r="E12" s="5">
        <v>5</v>
      </c>
      <c r="F12" s="1"/>
      <c r="G12" s="2"/>
      <c r="H12" s="1">
        <v>10800</v>
      </c>
    </row>
    <row r="13" spans="2:10" x14ac:dyDescent="0.25">
      <c r="B13" s="4">
        <v>45553</v>
      </c>
      <c r="C13" t="s">
        <v>60</v>
      </c>
      <c r="D13" t="s">
        <v>61</v>
      </c>
      <c r="E13" s="5">
        <v>10</v>
      </c>
      <c r="F13" s="1"/>
      <c r="G13" s="2"/>
      <c r="H13" s="1">
        <v>4950</v>
      </c>
    </row>
    <row r="14" spans="2:10" x14ac:dyDescent="0.25">
      <c r="B14" s="4">
        <v>45553</v>
      </c>
      <c r="C14" t="s">
        <v>62</v>
      </c>
      <c r="D14" t="s">
        <v>63</v>
      </c>
      <c r="E14" s="5">
        <v>15</v>
      </c>
      <c r="F14" s="1"/>
      <c r="G14" s="2"/>
      <c r="H14" s="1">
        <v>27650</v>
      </c>
    </row>
    <row r="15" spans="2:10" x14ac:dyDescent="0.25">
      <c r="B15" s="4">
        <v>45553</v>
      </c>
      <c r="C15" t="s">
        <v>64</v>
      </c>
      <c r="D15" t="s">
        <v>65</v>
      </c>
      <c r="E15" s="5">
        <v>10</v>
      </c>
      <c r="F15" s="1">
        <v>2000</v>
      </c>
      <c r="G15" s="2">
        <v>6</v>
      </c>
      <c r="H15" s="1">
        <v>15600</v>
      </c>
    </row>
    <row r="16" spans="2:10" x14ac:dyDescent="0.25">
      <c r="B16" s="4">
        <v>45553</v>
      </c>
      <c r="C16" t="s">
        <v>66</v>
      </c>
      <c r="D16" t="s">
        <v>67</v>
      </c>
      <c r="E16" s="5">
        <v>10</v>
      </c>
      <c r="F16" s="1"/>
      <c r="G16" s="2"/>
      <c r="H16" s="1">
        <v>17500</v>
      </c>
    </row>
    <row r="17" spans="2:8" x14ac:dyDescent="0.25">
      <c r="B17" s="4">
        <v>45553</v>
      </c>
      <c r="C17" t="s">
        <v>68</v>
      </c>
      <c r="D17" t="s">
        <v>69</v>
      </c>
      <c r="E17" s="5">
        <v>30</v>
      </c>
      <c r="F17" s="1"/>
      <c r="G17" s="2"/>
      <c r="H17" s="1">
        <v>3300</v>
      </c>
    </row>
    <row r="18" spans="2:8" x14ac:dyDescent="0.25">
      <c r="B18" s="4">
        <v>45553</v>
      </c>
      <c r="C18" t="s">
        <v>70</v>
      </c>
      <c r="D18" t="s">
        <v>71</v>
      </c>
      <c r="E18" s="5">
        <v>10</v>
      </c>
      <c r="F18" s="1"/>
      <c r="G18" s="2"/>
      <c r="H18" s="1">
        <v>17600</v>
      </c>
    </row>
    <row r="19" spans="2:8" x14ac:dyDescent="0.25">
      <c r="B19" s="4">
        <v>45555</v>
      </c>
      <c r="C19" t="s">
        <v>56</v>
      </c>
      <c r="D19" t="s">
        <v>57</v>
      </c>
      <c r="E19" s="5">
        <v>47</v>
      </c>
      <c r="F19" s="1"/>
      <c r="G19" s="2"/>
      <c r="H19" s="1">
        <v>73100</v>
      </c>
    </row>
    <row r="20" spans="2:8" x14ac:dyDescent="0.25">
      <c r="B20" t="s">
        <v>13</v>
      </c>
      <c r="E20" s="5">
        <f>SUM(AL_01[BOX])</f>
        <v>204</v>
      </c>
      <c r="H20">
        <f>SUBTOTAL(109,AL_01[AMOUNT])</f>
        <v>235910</v>
      </c>
    </row>
  </sheetData>
  <conditionalFormatting sqref="F7:G19">
    <cfRule type="notContainsBlanks" dxfId="122" priority="7">
      <formula>LEN(TRIM(F7))&gt;0</formula>
    </cfRule>
  </conditionalFormatting>
  <conditionalFormatting sqref="G4:G5">
    <cfRule type="containsText" dxfId="121" priority="5" operator="containsText" text="NOT MATCHING">
      <formula>NOT(ISERROR(SEARCH("NOT MATCHING",G4)))</formula>
    </cfRule>
    <cfRule type="containsText" dxfId="120" priority="6" operator="containsText" text="MATCHING TOTAL BOX">
      <formula>NOT(ISERROR(SEARCH("MATCHING TOTAL BOX",G4)))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D043-3208-46E0-AF1E-7DCFD3E679C0}">
  <sheetPr codeName="Sheet40">
    <tabColor rgb="FFFF0000"/>
  </sheetPr>
  <dimension ref="B2:K20"/>
  <sheetViews>
    <sheetView zoomScale="74" workbookViewId="0">
      <selection activeCell="F21" sqref="F21:I32"/>
    </sheetView>
  </sheetViews>
  <sheetFormatPr defaultRowHeight="15" x14ac:dyDescent="0.25"/>
  <cols>
    <col min="2" max="2" width="11.7109375" bestFit="1" customWidth="1"/>
    <col min="3" max="3" width="28.5703125" bestFit="1" customWidth="1"/>
    <col min="4" max="4" width="16.28515625" bestFit="1" customWidth="1"/>
    <col min="6" max="6" width="15.7109375" bestFit="1" customWidth="1"/>
    <col min="7" max="7" width="23.85546875" bestFit="1" customWidth="1"/>
    <col min="8" max="8" width="14.5703125" bestFit="1" customWidth="1"/>
    <col min="9" max="9" width="20" bestFit="1" customWidth="1"/>
    <col min="11" max="11" width="11" bestFit="1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1" x14ac:dyDescent="0.25">
      <c r="B3" s="2">
        <v>237</v>
      </c>
      <c r="C3" s="1" t="s">
        <v>154</v>
      </c>
      <c r="D3" s="3">
        <v>45631</v>
      </c>
      <c r="E3" s="2">
        <v>37</v>
      </c>
      <c r="F3" s="1">
        <v>240</v>
      </c>
      <c r="G3" s="5" t="str">
        <f>IF(SUM(E6:E19)=RTN_237[[#This Row],[TOTAL BOX]],"MATCHING TOTAL BOX","NOT MATCHING ")</f>
        <v>MATCHING TOTAL BOX</v>
      </c>
      <c r="H3" s="2">
        <v>389100</v>
      </c>
      <c r="I3" s="2">
        <v>132972</v>
      </c>
      <c r="J3" s="2">
        <v>4000</v>
      </c>
    </row>
    <row r="4" spans="2:11" x14ac:dyDescent="0.25">
      <c r="B4" s="2"/>
      <c r="C4" s="2"/>
      <c r="D4" s="3"/>
      <c r="E4" s="2"/>
      <c r="F4" s="1"/>
      <c r="H4" s="2"/>
      <c r="I4" s="2"/>
      <c r="J4" s="2"/>
    </row>
    <row r="5" spans="2:11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1" x14ac:dyDescent="0.25">
      <c r="B6" s="4">
        <v>45633</v>
      </c>
      <c r="C6" s="12" t="s">
        <v>125</v>
      </c>
      <c r="D6" s="12" t="s">
        <v>99</v>
      </c>
      <c r="E6" s="5">
        <v>2</v>
      </c>
      <c r="F6" s="1"/>
      <c r="G6" s="2"/>
      <c r="H6" s="1">
        <v>4000</v>
      </c>
    </row>
    <row r="7" spans="2:11" x14ac:dyDescent="0.25">
      <c r="B7" s="4">
        <v>45633</v>
      </c>
      <c r="C7" s="11" t="s">
        <v>122</v>
      </c>
      <c r="D7" s="11" t="s">
        <v>44</v>
      </c>
      <c r="E7" s="5">
        <v>4</v>
      </c>
      <c r="F7" s="1"/>
      <c r="G7" s="2"/>
      <c r="H7" s="1">
        <v>7900</v>
      </c>
    </row>
    <row r="8" spans="2:11" x14ac:dyDescent="0.25">
      <c r="B8" s="4">
        <v>45634</v>
      </c>
      <c r="C8" s="12" t="s">
        <v>132</v>
      </c>
      <c r="D8" s="12" t="s">
        <v>224</v>
      </c>
      <c r="E8" s="5">
        <v>11</v>
      </c>
      <c r="F8" s="1"/>
      <c r="G8" s="2"/>
      <c r="H8" s="1">
        <v>21300</v>
      </c>
    </row>
    <row r="9" spans="2:11" x14ac:dyDescent="0.25">
      <c r="B9" s="4">
        <v>45635</v>
      </c>
      <c r="C9" t="s">
        <v>79</v>
      </c>
      <c r="D9" t="s">
        <v>80</v>
      </c>
      <c r="E9" s="5">
        <v>10</v>
      </c>
      <c r="F9" s="1"/>
      <c r="G9" s="2"/>
      <c r="H9" s="1">
        <v>16800</v>
      </c>
    </row>
    <row r="10" spans="2:11" x14ac:dyDescent="0.25">
      <c r="B10" s="4">
        <v>45635</v>
      </c>
      <c r="C10" t="s">
        <v>198</v>
      </c>
      <c r="D10" t="s">
        <v>40</v>
      </c>
      <c r="E10" s="5">
        <v>17</v>
      </c>
      <c r="G10" s="2"/>
      <c r="H10" s="1">
        <v>29450</v>
      </c>
    </row>
    <row r="11" spans="2:11" x14ac:dyDescent="0.25">
      <c r="B11" s="4">
        <v>45636</v>
      </c>
      <c r="C11" t="s">
        <v>227</v>
      </c>
      <c r="D11" t="s">
        <v>228</v>
      </c>
      <c r="E11" s="5">
        <v>36</v>
      </c>
      <c r="F11" s="1"/>
      <c r="G11" s="2"/>
      <c r="H11" s="1">
        <v>54690</v>
      </c>
    </row>
    <row r="12" spans="2:11" x14ac:dyDescent="0.25">
      <c r="B12" s="4">
        <v>45636</v>
      </c>
      <c r="C12" t="s">
        <v>77</v>
      </c>
      <c r="D12" t="s">
        <v>78</v>
      </c>
      <c r="E12" s="5">
        <v>25</v>
      </c>
      <c r="H12">
        <v>38600</v>
      </c>
    </row>
    <row r="13" spans="2:11" x14ac:dyDescent="0.25">
      <c r="B13" s="4">
        <v>45636</v>
      </c>
      <c r="C13" t="s">
        <v>231</v>
      </c>
      <c r="D13" t="s">
        <v>38</v>
      </c>
      <c r="E13" s="5">
        <v>30</v>
      </c>
      <c r="F13" s="1"/>
      <c r="G13" s="2"/>
      <c r="H13" s="1">
        <v>51300</v>
      </c>
      <c r="K13">
        <v>1</v>
      </c>
    </row>
    <row r="14" spans="2:11" x14ac:dyDescent="0.25">
      <c r="B14" s="4">
        <v>45637</v>
      </c>
      <c r="C14" t="s">
        <v>233</v>
      </c>
      <c r="D14" t="s">
        <v>203</v>
      </c>
      <c r="E14" s="5">
        <v>37</v>
      </c>
      <c r="F14" s="1">
        <v>2000</v>
      </c>
      <c r="G14" s="2">
        <v>6</v>
      </c>
      <c r="H14" s="1">
        <v>54060</v>
      </c>
    </row>
    <row r="15" spans="2:11" x14ac:dyDescent="0.25">
      <c r="B15" s="4">
        <v>45633</v>
      </c>
      <c r="C15" s="13" t="s">
        <v>177</v>
      </c>
      <c r="D15" s="13" t="s">
        <v>42</v>
      </c>
      <c r="E15">
        <v>13</v>
      </c>
      <c r="G15" s="2"/>
      <c r="H15" s="1">
        <v>28900</v>
      </c>
    </row>
    <row r="16" spans="2:11" x14ac:dyDescent="0.25">
      <c r="B16" s="4">
        <v>45636</v>
      </c>
      <c r="C16" t="s">
        <v>75</v>
      </c>
      <c r="D16" t="s">
        <v>76</v>
      </c>
      <c r="E16" s="5">
        <v>30</v>
      </c>
      <c r="H16">
        <v>52700</v>
      </c>
    </row>
    <row r="17" spans="2:8" x14ac:dyDescent="0.25">
      <c r="B17" s="4">
        <v>45635</v>
      </c>
      <c r="C17" t="s">
        <v>75</v>
      </c>
      <c r="D17" t="s">
        <v>76</v>
      </c>
      <c r="E17" s="5">
        <v>25</v>
      </c>
      <c r="F17" s="1"/>
      <c r="G17" s="2"/>
      <c r="H17" s="1">
        <v>48400</v>
      </c>
    </row>
    <row r="18" spans="2:8" x14ac:dyDescent="0.25">
      <c r="B18" s="4"/>
      <c r="E18" s="5"/>
      <c r="F18" s="1"/>
      <c r="G18" s="2"/>
      <c r="H18" s="1"/>
    </row>
    <row r="19" spans="2:8" x14ac:dyDescent="0.25">
      <c r="B19" s="4"/>
      <c r="E19" s="5"/>
      <c r="F19" s="1"/>
      <c r="G19" s="2"/>
      <c r="H19" s="1"/>
    </row>
    <row r="20" spans="2:8" x14ac:dyDescent="0.25">
      <c r="B20" t="s">
        <v>13</v>
      </c>
      <c r="E20" s="5">
        <f>SUM(R_37[BOX])</f>
        <v>240</v>
      </c>
      <c r="H20">
        <f>SUBTOTAL(109,R_37[AMOUNT])</f>
        <v>408100</v>
      </c>
    </row>
  </sheetData>
  <conditionalFormatting sqref="F7:G7">
    <cfRule type="notContainsBlanks" dxfId="14" priority="1">
      <formula>LEN(TRIM(F7))&gt;0</formula>
    </cfRule>
  </conditionalFormatting>
  <conditionalFormatting sqref="G3">
    <cfRule type="containsText" dxfId="13" priority="6" operator="containsText" text="NOT MATCHING">
      <formula>NOT(ISERROR(SEARCH("NOT MATCHING",G3)))</formula>
    </cfRule>
    <cfRule type="containsText" dxfId="12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9B12-FAAD-40FE-B3B2-8BE8C7640E00}">
  <sheetPr codeName="Sheet41">
    <tabColor rgb="FF00B050"/>
  </sheetPr>
  <dimension ref="B2:J15"/>
  <sheetViews>
    <sheetView zoomScale="76" workbookViewId="0">
      <selection activeCell="I11" sqref="I11"/>
    </sheetView>
  </sheetViews>
  <sheetFormatPr defaultRowHeight="15" x14ac:dyDescent="0.25"/>
  <cols>
    <col min="2" max="2" width="11.140625" bestFit="1" customWidth="1"/>
    <col min="3" max="3" width="21.140625" bestFit="1" customWidth="1"/>
    <col min="4" max="4" width="13.5703125" bestFit="1" customWidth="1"/>
    <col min="6" max="6" width="15.7109375" bestFit="1" customWidth="1"/>
    <col min="7" max="7" width="23.85546875" bestFit="1" customWidth="1"/>
    <col min="8" max="8" width="14.5703125" bestFit="1" customWidth="1"/>
    <col min="9" max="9" width="20" bestFit="1" customWidth="1"/>
    <col min="11" max="11" width="11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238</v>
      </c>
      <c r="C3" s="1" t="s">
        <v>225</v>
      </c>
      <c r="D3" s="3">
        <v>45633</v>
      </c>
      <c r="E3" s="2">
        <v>38</v>
      </c>
      <c r="F3" s="1">
        <v>200</v>
      </c>
      <c r="G3" s="5" t="str">
        <f>IF(SUM(E6:E14)=RTN_238[[#This Row],[TOTAL BOX]],"MATCHING TOTAL BOX","NOT MATCHING ")</f>
        <v xml:space="preserve">NOT MATCHING </v>
      </c>
      <c r="H3" s="2">
        <v>238200</v>
      </c>
      <c r="I3" s="2">
        <v>111468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45635</v>
      </c>
      <c r="C6" s="11" t="s">
        <v>79</v>
      </c>
      <c r="D6" s="11" t="s">
        <v>226</v>
      </c>
      <c r="E6">
        <v>56</v>
      </c>
      <c r="H6">
        <v>134200</v>
      </c>
    </row>
    <row r="7" spans="2:10" x14ac:dyDescent="0.25">
      <c r="B7" s="4">
        <v>45636</v>
      </c>
      <c r="C7" s="12" t="s">
        <v>79</v>
      </c>
      <c r="D7" s="12" t="s">
        <v>226</v>
      </c>
      <c r="E7" s="5">
        <v>42</v>
      </c>
      <c r="F7" s="1"/>
      <c r="G7" s="2"/>
      <c r="H7" s="1">
        <v>67800</v>
      </c>
    </row>
    <row r="8" spans="2:10" x14ac:dyDescent="0.25">
      <c r="B8" s="4">
        <v>45637</v>
      </c>
      <c r="C8" s="11" t="s">
        <v>197</v>
      </c>
      <c r="D8" s="11" t="s">
        <v>229</v>
      </c>
      <c r="E8" s="5">
        <v>17</v>
      </c>
      <c r="F8" s="1"/>
      <c r="G8" s="2"/>
      <c r="H8" s="1">
        <v>32820</v>
      </c>
    </row>
    <row r="9" spans="2:10" x14ac:dyDescent="0.25">
      <c r="B9" s="4">
        <v>45637</v>
      </c>
      <c r="C9" t="s">
        <v>79</v>
      </c>
      <c r="D9" t="s">
        <v>230</v>
      </c>
      <c r="E9" s="5">
        <v>8</v>
      </c>
      <c r="F9" s="1"/>
      <c r="G9" s="2"/>
      <c r="H9" s="1">
        <v>6050</v>
      </c>
    </row>
    <row r="10" spans="2:10" x14ac:dyDescent="0.25">
      <c r="B10" s="4">
        <v>45636</v>
      </c>
      <c r="C10" t="s">
        <v>129</v>
      </c>
      <c r="D10" t="s">
        <v>145</v>
      </c>
      <c r="E10" s="5">
        <v>10</v>
      </c>
      <c r="F10" s="1"/>
      <c r="G10" s="2"/>
      <c r="H10" s="1">
        <v>15500</v>
      </c>
    </row>
    <row r="11" spans="2:10" x14ac:dyDescent="0.25">
      <c r="B11" s="4">
        <v>45636</v>
      </c>
      <c r="C11" t="s">
        <v>212</v>
      </c>
      <c r="D11" t="s">
        <v>200</v>
      </c>
      <c r="E11" s="5">
        <v>38</v>
      </c>
      <c r="F11" s="1"/>
      <c r="G11" s="2"/>
      <c r="H11" s="1">
        <v>62300</v>
      </c>
    </row>
    <row r="12" spans="2:10" x14ac:dyDescent="0.25">
      <c r="B12" s="4">
        <v>45636</v>
      </c>
      <c r="C12" t="s">
        <v>75</v>
      </c>
      <c r="D12" t="s">
        <v>235</v>
      </c>
      <c r="E12" s="5">
        <v>30</v>
      </c>
      <c r="G12" s="2"/>
      <c r="H12" s="1">
        <v>45400</v>
      </c>
    </row>
    <row r="13" spans="2:10" x14ac:dyDescent="0.25">
      <c r="B13" s="4"/>
      <c r="E13" s="5"/>
    </row>
    <row r="14" spans="2:10" x14ac:dyDescent="0.25">
      <c r="B14" s="4"/>
      <c r="E14" s="5"/>
      <c r="G14" s="2"/>
      <c r="H14" s="1"/>
    </row>
    <row r="15" spans="2:10" x14ac:dyDescent="0.25">
      <c r="B15" s="9" t="s">
        <v>13</v>
      </c>
      <c r="C15" s="9"/>
      <c r="D15" s="9"/>
      <c r="E15" s="10">
        <f>SUM(R_38[BOX])</f>
        <v>201</v>
      </c>
      <c r="F15" s="9"/>
      <c r="G15" s="9"/>
      <c r="H15" s="9">
        <f>SUBTOTAL(109,R_38[AMOUNT])</f>
        <v>364070</v>
      </c>
    </row>
  </sheetData>
  <conditionalFormatting sqref="F7:G7">
    <cfRule type="notContainsBlanks" dxfId="11" priority="1">
      <formula>LEN(TRIM(F7))&gt;0</formula>
    </cfRule>
  </conditionalFormatting>
  <conditionalFormatting sqref="G3">
    <cfRule type="containsText" dxfId="10" priority="6" operator="containsText" text="NOT MATCHING">
      <formula>NOT(ISERROR(SEARCH("NOT MATCHING",G3)))</formula>
    </cfRule>
    <cfRule type="containsText" dxfId="9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062B-981A-4E7B-BD42-B058900DBC81}">
  <sheetPr codeName="Sheet42">
    <tabColor rgb="FFFF0000"/>
  </sheetPr>
  <dimension ref="B2:J17"/>
  <sheetViews>
    <sheetView zoomScale="76" workbookViewId="0">
      <selection activeCell="N11" sqref="N11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8" max="8" width="14.5703125" bestFit="1" customWidth="1"/>
    <col min="9" max="9" width="20" bestFit="1" customWidth="1"/>
    <col min="11" max="11" width="11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239</v>
      </c>
      <c r="C3" s="1" t="s">
        <v>185</v>
      </c>
      <c r="D3" s="3">
        <v>45634</v>
      </c>
      <c r="E3" s="2">
        <v>39</v>
      </c>
      <c r="F3" s="1">
        <v>199</v>
      </c>
      <c r="G3" s="5" t="str">
        <f>IF(SUM(E6:E16)=RTN_239[[#This Row],[TOTAL BOX]],"MATCHING TOTAL BOX","NOT MATCHING ")</f>
        <v>MATCHING TOTAL BOX</v>
      </c>
      <c r="H3" s="2">
        <v>428700</v>
      </c>
      <c r="I3" s="2">
        <v>113750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45636</v>
      </c>
      <c r="C6" s="11" t="s">
        <v>62</v>
      </c>
      <c r="D6" s="11" t="s">
        <v>63</v>
      </c>
      <c r="E6">
        <v>17</v>
      </c>
      <c r="H6">
        <v>103420</v>
      </c>
    </row>
    <row r="7" spans="2:10" x14ac:dyDescent="0.25">
      <c r="B7" s="4">
        <v>45636</v>
      </c>
      <c r="C7" s="12" t="s">
        <v>206</v>
      </c>
      <c r="D7" s="12" t="s">
        <v>107</v>
      </c>
      <c r="E7" s="5">
        <v>10</v>
      </c>
      <c r="F7" s="1"/>
      <c r="G7" s="2"/>
      <c r="H7" s="1">
        <v>107300</v>
      </c>
    </row>
    <row r="8" spans="2:10" x14ac:dyDescent="0.25">
      <c r="B8" s="4">
        <v>45636</v>
      </c>
      <c r="C8" s="11" t="s">
        <v>121</v>
      </c>
      <c r="D8" s="11" t="s">
        <v>46</v>
      </c>
      <c r="E8" s="5">
        <v>41</v>
      </c>
      <c r="F8" s="1"/>
      <c r="G8" s="2"/>
      <c r="H8" s="1">
        <v>114300</v>
      </c>
    </row>
    <row r="9" spans="2:10" x14ac:dyDescent="0.25">
      <c r="B9" s="4">
        <v>45637</v>
      </c>
      <c r="C9" t="s">
        <v>79</v>
      </c>
      <c r="D9" t="s">
        <v>80</v>
      </c>
      <c r="E9" s="5">
        <v>43</v>
      </c>
      <c r="F9" s="1"/>
      <c r="G9" s="2"/>
      <c r="H9" s="1">
        <v>69100</v>
      </c>
    </row>
    <row r="10" spans="2:10" x14ac:dyDescent="0.25">
      <c r="B10" s="4">
        <v>45637</v>
      </c>
      <c r="C10" t="s">
        <v>198</v>
      </c>
      <c r="D10" t="s">
        <v>40</v>
      </c>
      <c r="E10" s="5">
        <v>4</v>
      </c>
      <c r="F10" s="1"/>
      <c r="G10" s="2"/>
      <c r="H10" s="1">
        <v>6100</v>
      </c>
    </row>
    <row r="11" spans="2:10" x14ac:dyDescent="0.25">
      <c r="B11" s="4">
        <v>45637</v>
      </c>
      <c r="C11" t="s">
        <v>77</v>
      </c>
      <c r="D11" t="s">
        <v>78</v>
      </c>
      <c r="E11" s="5">
        <v>40</v>
      </c>
      <c r="F11" s="1"/>
      <c r="G11" s="2"/>
      <c r="H11" s="1">
        <v>68800</v>
      </c>
    </row>
    <row r="12" spans="2:10" x14ac:dyDescent="0.25">
      <c r="B12" s="4">
        <v>45637</v>
      </c>
      <c r="C12" t="s">
        <v>232</v>
      </c>
      <c r="D12" t="s">
        <v>203</v>
      </c>
      <c r="E12" s="5">
        <v>44</v>
      </c>
      <c r="F12">
        <v>2000</v>
      </c>
      <c r="G12" s="2">
        <v>7</v>
      </c>
      <c r="H12" s="1">
        <v>71900</v>
      </c>
    </row>
    <row r="13" spans="2:10" x14ac:dyDescent="0.25">
      <c r="B13" s="4"/>
      <c r="E13" s="5"/>
      <c r="F13" s="1"/>
      <c r="G13" s="2"/>
      <c r="H13" s="1"/>
    </row>
    <row r="14" spans="2:10" x14ac:dyDescent="0.25">
      <c r="B14" s="4"/>
      <c r="E14" s="5"/>
    </row>
    <row r="15" spans="2:10" x14ac:dyDescent="0.25">
      <c r="B15" s="4"/>
      <c r="E15" s="5"/>
      <c r="F15" s="1"/>
      <c r="G15" s="2"/>
      <c r="H15" s="1"/>
    </row>
    <row r="16" spans="2:10" x14ac:dyDescent="0.25">
      <c r="B16" s="4"/>
      <c r="E16" s="5"/>
      <c r="G16" s="2"/>
      <c r="H16" s="1"/>
    </row>
    <row r="17" spans="2:8" x14ac:dyDescent="0.25">
      <c r="B17" t="s">
        <v>13</v>
      </c>
      <c r="E17" s="5">
        <f>SUM(R_39[BOX])</f>
        <v>199</v>
      </c>
      <c r="H17">
        <f>SUBTOTAL(109,R_39[AMOUNT])</f>
        <v>540920</v>
      </c>
    </row>
  </sheetData>
  <conditionalFormatting sqref="F7:G7">
    <cfRule type="notContainsBlanks" dxfId="8" priority="1">
      <formula>LEN(TRIM(F7))&gt;0</formula>
    </cfRule>
  </conditionalFormatting>
  <conditionalFormatting sqref="G3">
    <cfRule type="containsText" dxfId="7" priority="6" operator="containsText" text="NOT MATCHING">
      <formula>NOT(ISERROR(SEARCH("NOT MATCHING",G3)))</formula>
    </cfRule>
    <cfRule type="containsText" dxfId="6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D7BA-660A-4B49-BAE5-E1AC4D6C46A5}">
  <sheetPr codeName="Sheet43">
    <tabColor rgb="FFFF0000"/>
  </sheetPr>
  <dimension ref="B2:J17"/>
  <sheetViews>
    <sheetView zoomScale="76" workbookViewId="0">
      <selection activeCell="E18" sqref="E18:I27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8" max="8" width="14.5703125" bestFit="1" customWidth="1"/>
    <col min="9" max="9" width="20" bestFit="1" customWidth="1"/>
    <col min="11" max="11" width="11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240</v>
      </c>
      <c r="C3" s="1" t="s">
        <v>90</v>
      </c>
      <c r="D3" s="3">
        <v>45638</v>
      </c>
      <c r="E3" s="2">
        <v>240</v>
      </c>
      <c r="F3" s="1">
        <v>192</v>
      </c>
      <c r="G3" s="5" t="str">
        <f>IF(SUM(E6:E16)=RTN_240[[#This Row],[TOTAL BOX]],"MATCHING TOTAL BOX","NOT MATCHING ")</f>
        <v>MATCHING TOTAL BOX</v>
      </c>
      <c r="H3" s="2">
        <v>410370</v>
      </c>
      <c r="I3" s="2">
        <v>121128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45640</v>
      </c>
      <c r="C6" s="11" t="s">
        <v>234</v>
      </c>
      <c r="D6" s="11" t="s">
        <v>182</v>
      </c>
      <c r="E6">
        <v>32</v>
      </c>
      <c r="H6">
        <v>114400</v>
      </c>
    </row>
    <row r="7" spans="2:10" x14ac:dyDescent="0.25">
      <c r="B7" s="4">
        <v>45641</v>
      </c>
      <c r="C7" s="12" t="s">
        <v>47</v>
      </c>
      <c r="D7" s="12" t="s">
        <v>184</v>
      </c>
      <c r="E7" s="5">
        <v>81</v>
      </c>
      <c r="F7" s="1"/>
      <c r="G7" s="2"/>
      <c r="H7" s="1">
        <v>241800</v>
      </c>
    </row>
    <row r="8" spans="2:10" x14ac:dyDescent="0.25">
      <c r="B8" s="4">
        <v>45641</v>
      </c>
      <c r="C8" s="11" t="s">
        <v>121</v>
      </c>
      <c r="D8" s="11" t="s">
        <v>46</v>
      </c>
      <c r="E8" s="5">
        <v>10</v>
      </c>
      <c r="F8" s="1"/>
      <c r="G8" s="2"/>
      <c r="H8" s="1">
        <v>33000</v>
      </c>
    </row>
    <row r="9" spans="2:10" x14ac:dyDescent="0.25">
      <c r="B9" s="4">
        <v>45642</v>
      </c>
      <c r="C9" t="s">
        <v>232</v>
      </c>
      <c r="D9" t="s">
        <v>196</v>
      </c>
      <c r="E9" s="5">
        <v>54</v>
      </c>
      <c r="F9" s="1">
        <v>2000</v>
      </c>
      <c r="G9" s="2">
        <v>9</v>
      </c>
      <c r="H9" s="1">
        <v>100240</v>
      </c>
    </row>
    <row r="10" spans="2:10" x14ac:dyDescent="0.25">
      <c r="B10" s="4">
        <v>45640</v>
      </c>
      <c r="C10" t="s">
        <v>94</v>
      </c>
      <c r="D10" t="s">
        <v>95</v>
      </c>
      <c r="E10" s="5">
        <v>15</v>
      </c>
      <c r="F10" s="1"/>
      <c r="G10" s="2"/>
      <c r="H10" s="1">
        <v>15220</v>
      </c>
    </row>
    <row r="11" spans="2:10" x14ac:dyDescent="0.25">
      <c r="B11" s="4"/>
      <c r="E11" s="5"/>
      <c r="F11" s="1"/>
      <c r="G11" s="2"/>
      <c r="H11" s="1"/>
    </row>
    <row r="12" spans="2:10" x14ac:dyDescent="0.25">
      <c r="B12" s="4"/>
      <c r="E12" s="5"/>
      <c r="G12" s="2"/>
      <c r="H12" s="1"/>
    </row>
    <row r="13" spans="2:10" x14ac:dyDescent="0.25">
      <c r="B13" s="4"/>
      <c r="E13" s="5"/>
      <c r="F13" s="1"/>
      <c r="G13" s="2"/>
      <c r="H13" s="1"/>
    </row>
    <row r="14" spans="2:10" x14ac:dyDescent="0.25">
      <c r="B14" s="4"/>
      <c r="E14" s="5"/>
    </row>
    <row r="15" spans="2:10" x14ac:dyDescent="0.25">
      <c r="B15" s="4"/>
      <c r="E15" s="5"/>
      <c r="F15" s="1"/>
      <c r="G15" s="2"/>
      <c r="H15" s="1"/>
    </row>
    <row r="16" spans="2:10" x14ac:dyDescent="0.25">
      <c r="B16" s="4"/>
      <c r="E16" s="5"/>
      <c r="G16" s="2"/>
      <c r="H16" s="1"/>
    </row>
    <row r="17" spans="2:8" x14ac:dyDescent="0.25">
      <c r="B17" t="s">
        <v>13</v>
      </c>
      <c r="E17" s="5">
        <f>SUM(R_40[BOX])</f>
        <v>192</v>
      </c>
      <c r="H17">
        <f>SUBTOTAL(109,R_40[AMOUNT])</f>
        <v>504660</v>
      </c>
    </row>
  </sheetData>
  <conditionalFormatting sqref="F7:G7">
    <cfRule type="notContainsBlanks" dxfId="5" priority="1">
      <formula>LEN(TRIM(F7))&gt;0</formula>
    </cfRule>
  </conditionalFormatting>
  <conditionalFormatting sqref="G3">
    <cfRule type="containsText" dxfId="4" priority="6" operator="containsText" text="NOT MATCHING">
      <formula>NOT(ISERROR(SEARCH("NOT MATCHING",G3)))</formula>
    </cfRule>
    <cfRule type="containsText" dxfId="3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E35F-4E02-445C-B4FD-923F18979805}">
  <sheetPr codeName="Sheet44">
    <tabColor rgb="FF00B050"/>
  </sheetPr>
  <dimension ref="B2:J17"/>
  <sheetViews>
    <sheetView zoomScale="76" workbookViewId="0">
      <selection activeCell="N12" sqref="N12"/>
    </sheetView>
  </sheetViews>
  <sheetFormatPr defaultRowHeight="15" x14ac:dyDescent="0.25"/>
  <cols>
    <col min="2" max="2" width="11.140625" bestFit="1" customWidth="1"/>
    <col min="3" max="3" width="18.42578125" bestFit="1" customWidth="1"/>
    <col min="4" max="4" width="13.5703125" bestFit="1" customWidth="1"/>
    <col min="6" max="6" width="15.7109375" bestFit="1" customWidth="1"/>
    <col min="7" max="7" width="23.85546875" bestFit="1" customWidth="1"/>
    <col min="8" max="8" width="14.5703125" bestFit="1" customWidth="1"/>
    <col min="9" max="9" width="20" bestFit="1" customWidth="1"/>
    <col min="11" max="11" width="11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4</v>
      </c>
      <c r="C3" s="1" t="s">
        <v>236</v>
      </c>
      <c r="D3" s="3">
        <v>45641</v>
      </c>
      <c r="E3" s="2">
        <v>4</v>
      </c>
      <c r="F3" s="1">
        <v>196</v>
      </c>
      <c r="G3" s="5" t="str">
        <f>IF(SUM(E6:E16)=AL_104[[#This Row],[TOTAL BOX]],"MATCHING TOTAL BOX","NOT MATCHING ")</f>
        <v>MATCHING TOTAL BOX</v>
      </c>
      <c r="H3" s="2">
        <v>247949</v>
      </c>
      <c r="I3" s="2">
        <v>121800</v>
      </c>
      <c r="J3" s="2">
        <v>4000</v>
      </c>
    </row>
    <row r="4" spans="2:10" x14ac:dyDescent="0.25">
      <c r="B4" s="2"/>
      <c r="C4" s="2"/>
      <c r="D4" s="3"/>
      <c r="E4" s="2"/>
      <c r="F4" s="1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45643</v>
      </c>
      <c r="C6" s="11" t="s">
        <v>43</v>
      </c>
      <c r="D6" s="11" t="s">
        <v>44</v>
      </c>
      <c r="E6">
        <v>61</v>
      </c>
      <c r="H6">
        <v>139900</v>
      </c>
    </row>
    <row r="7" spans="2:10" x14ac:dyDescent="0.25">
      <c r="B7" s="4">
        <v>45643</v>
      </c>
      <c r="C7" s="12" t="s">
        <v>188</v>
      </c>
      <c r="D7" s="12" t="s">
        <v>143</v>
      </c>
      <c r="E7" s="5">
        <v>60</v>
      </c>
      <c r="F7" s="1"/>
      <c r="G7" s="2"/>
      <c r="H7" s="1">
        <v>115000</v>
      </c>
    </row>
    <row r="8" spans="2:10" x14ac:dyDescent="0.25">
      <c r="B8" s="4">
        <v>45644</v>
      </c>
      <c r="C8" s="11" t="s">
        <v>43</v>
      </c>
      <c r="D8" s="11" t="s">
        <v>44</v>
      </c>
      <c r="E8" s="5">
        <v>4</v>
      </c>
      <c r="F8" s="1"/>
      <c r="G8" s="2"/>
      <c r="H8" s="1">
        <v>6700</v>
      </c>
    </row>
    <row r="9" spans="2:10" x14ac:dyDescent="0.25">
      <c r="B9" s="4">
        <v>45644</v>
      </c>
      <c r="C9" t="s">
        <v>125</v>
      </c>
      <c r="D9" t="s">
        <v>99</v>
      </c>
      <c r="E9" s="5">
        <v>6</v>
      </c>
      <c r="F9" s="1"/>
      <c r="G9" s="2"/>
      <c r="H9" s="1">
        <v>10000</v>
      </c>
    </row>
    <row r="10" spans="2:10" x14ac:dyDescent="0.25">
      <c r="B10" s="4">
        <v>45644</v>
      </c>
      <c r="C10" t="s">
        <v>132</v>
      </c>
      <c r="D10" t="s">
        <v>224</v>
      </c>
      <c r="E10" s="5">
        <v>48</v>
      </c>
      <c r="F10" s="1"/>
      <c r="G10" s="2"/>
      <c r="H10" s="1">
        <v>88400</v>
      </c>
    </row>
    <row r="11" spans="2:10" x14ac:dyDescent="0.25">
      <c r="B11" s="4">
        <v>45644</v>
      </c>
      <c r="C11" t="s">
        <v>237</v>
      </c>
      <c r="D11" t="s">
        <v>96</v>
      </c>
      <c r="E11" s="5">
        <v>16</v>
      </c>
      <c r="F11" s="1">
        <v>5000</v>
      </c>
      <c r="G11" s="2">
        <v>36</v>
      </c>
      <c r="H11" s="1">
        <v>27800</v>
      </c>
    </row>
    <row r="12" spans="2:10" x14ac:dyDescent="0.25">
      <c r="B12" s="4">
        <v>45644</v>
      </c>
      <c r="C12" t="s">
        <v>238</v>
      </c>
      <c r="D12" t="s">
        <v>224</v>
      </c>
      <c r="E12" s="5">
        <v>1</v>
      </c>
      <c r="G12" s="2"/>
      <c r="H12" s="1">
        <v>2000</v>
      </c>
    </row>
    <row r="13" spans="2:10" x14ac:dyDescent="0.25">
      <c r="B13" s="4"/>
      <c r="E13" s="5"/>
      <c r="F13" s="1"/>
      <c r="G13" s="2"/>
      <c r="H13" s="1"/>
    </row>
    <row r="14" spans="2:10" x14ac:dyDescent="0.25">
      <c r="B14" s="4"/>
      <c r="E14" s="5"/>
    </row>
    <row r="15" spans="2:10" x14ac:dyDescent="0.25">
      <c r="B15" s="4"/>
      <c r="E15" s="5"/>
      <c r="F15" s="1"/>
      <c r="G15" s="2"/>
      <c r="H15" s="1"/>
    </row>
    <row r="16" spans="2:10" x14ac:dyDescent="0.25">
      <c r="B16" s="4"/>
      <c r="E16" s="5"/>
      <c r="G16" s="2"/>
      <c r="H16" s="1"/>
    </row>
    <row r="17" spans="2:8" x14ac:dyDescent="0.25">
      <c r="B17" t="s">
        <v>13</v>
      </c>
      <c r="E17" s="5">
        <f>SUM(AL_04[BOX])</f>
        <v>196</v>
      </c>
      <c r="H17">
        <f>SUBTOTAL(109,AL_04[AMOUNT])</f>
        <v>389800</v>
      </c>
    </row>
  </sheetData>
  <conditionalFormatting sqref="F7:G7">
    <cfRule type="notContainsBlanks" dxfId="2" priority="1">
      <formula>LEN(TRIM(F7))&gt;0</formula>
    </cfRule>
  </conditionalFormatting>
  <conditionalFormatting sqref="G3">
    <cfRule type="containsText" dxfId="1" priority="6" operator="containsText" text="NOT MATCHING">
      <formula>NOT(ISERROR(SEARCH("NOT MATCHING",G3)))</formula>
    </cfRule>
    <cfRule type="containsText" dxfId="0" priority="7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7A7D-8C64-4CE0-B950-B60A81BAEEA5}">
  <sheetPr codeName="Sheet4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A346-508C-418F-97F7-FA76D73C39CA}">
  <sheetPr codeName="Sheet5">
    <tabColor rgb="FFFF0000"/>
  </sheetPr>
  <dimension ref="B3:J22"/>
  <sheetViews>
    <sheetView zoomScale="96" workbookViewId="0">
      <selection activeCell="C3" sqref="C3"/>
    </sheetView>
  </sheetViews>
  <sheetFormatPr defaultRowHeight="15" x14ac:dyDescent="0.25"/>
  <cols>
    <col min="2" max="2" width="11" bestFit="1" customWidth="1"/>
    <col min="3" max="3" width="17.7109375" bestFit="1" customWidth="1"/>
    <col min="4" max="4" width="13.5703125" bestFit="1" customWidth="1"/>
    <col min="6" max="6" width="15.7109375" bestFit="1" customWidth="1"/>
    <col min="7" max="7" width="23.85546875" bestFit="1" customWidth="1"/>
  </cols>
  <sheetData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14</v>
      </c>
      <c r="I3" s="1" t="s">
        <v>241</v>
      </c>
      <c r="J3" s="1" t="s">
        <v>240</v>
      </c>
    </row>
    <row r="4" spans="2:10" x14ac:dyDescent="0.25">
      <c r="B4" s="2">
        <v>204</v>
      </c>
      <c r="C4" s="1" t="s">
        <v>72</v>
      </c>
      <c r="D4" s="3">
        <v>45553</v>
      </c>
      <c r="E4" s="2">
        <v>4</v>
      </c>
      <c r="F4" s="1">
        <v>198</v>
      </c>
      <c r="G4" s="5" t="str">
        <f>IF(SUM(E7:E12)=RTN_204[[#This Row],[TOTAL BOX]],"MATCHING TOTAL BOX","NOT MATCHING ")</f>
        <v>MATCHING TOTAL BOX</v>
      </c>
      <c r="H4" s="6">
        <v>205170</v>
      </c>
      <c r="I4" s="6">
        <v>119450</v>
      </c>
      <c r="J4" s="6">
        <v>4000</v>
      </c>
    </row>
    <row r="5" spans="2:10" x14ac:dyDescent="0.25">
      <c r="B5" s="2"/>
      <c r="C5" s="2"/>
      <c r="D5" s="3"/>
      <c r="E5" s="2"/>
      <c r="F5" s="1"/>
      <c r="G5" s="2"/>
      <c r="H5" s="2"/>
      <c r="I5" s="2"/>
      <c r="J5" s="2"/>
    </row>
    <row r="6" spans="2:10" x14ac:dyDescent="0.25">
      <c r="B6" s="1" t="s">
        <v>7</v>
      </c>
      <c r="C6" s="1" t="s">
        <v>8</v>
      </c>
      <c r="D6" s="1" t="s">
        <v>36</v>
      </c>
      <c r="E6" s="1" t="s">
        <v>9</v>
      </c>
      <c r="F6" s="1" t="s">
        <v>10</v>
      </c>
      <c r="G6" s="1" t="s">
        <v>11</v>
      </c>
      <c r="H6" s="1" t="s">
        <v>12</v>
      </c>
    </row>
    <row r="7" spans="2:10" x14ac:dyDescent="0.25">
      <c r="B7" s="4">
        <v>45555</v>
      </c>
      <c r="C7" t="s">
        <v>73</v>
      </c>
      <c r="D7" t="s">
        <v>74</v>
      </c>
      <c r="E7" s="5">
        <v>96</v>
      </c>
      <c r="F7" s="1"/>
      <c r="G7" s="2"/>
      <c r="H7" s="1">
        <v>174400</v>
      </c>
    </row>
    <row r="8" spans="2:10" x14ac:dyDescent="0.25">
      <c r="B8" s="4">
        <v>45555</v>
      </c>
      <c r="C8" t="s">
        <v>75</v>
      </c>
      <c r="D8" t="s">
        <v>76</v>
      </c>
      <c r="E8" s="5">
        <v>30</v>
      </c>
      <c r="F8" s="1"/>
      <c r="G8" s="2"/>
      <c r="H8" s="1">
        <v>48000</v>
      </c>
    </row>
    <row r="9" spans="2:10" x14ac:dyDescent="0.25">
      <c r="B9" s="4">
        <v>45555</v>
      </c>
      <c r="C9" t="s">
        <v>77</v>
      </c>
      <c r="D9" t="s">
        <v>78</v>
      </c>
      <c r="E9" s="5">
        <v>35</v>
      </c>
      <c r="F9" s="1">
        <v>3000</v>
      </c>
      <c r="G9" s="2">
        <v>3</v>
      </c>
      <c r="H9" s="1">
        <v>56500</v>
      </c>
    </row>
    <row r="10" spans="2:10" x14ac:dyDescent="0.25">
      <c r="B10" s="4">
        <v>45555</v>
      </c>
      <c r="C10" t="s">
        <v>39</v>
      </c>
      <c r="D10" t="s">
        <v>40</v>
      </c>
      <c r="E10" s="5">
        <v>16</v>
      </c>
      <c r="F10" s="1"/>
      <c r="G10" s="2"/>
      <c r="H10" s="1">
        <v>15800</v>
      </c>
    </row>
    <row r="11" spans="2:10" x14ac:dyDescent="0.25">
      <c r="B11" s="4">
        <v>45555</v>
      </c>
      <c r="C11" t="s">
        <v>79</v>
      </c>
      <c r="D11" t="s">
        <v>80</v>
      </c>
      <c r="E11" s="5">
        <v>19</v>
      </c>
      <c r="F11" s="1"/>
      <c r="G11" s="2"/>
      <c r="H11" s="1">
        <v>25800</v>
      </c>
    </row>
    <row r="12" spans="2:10" x14ac:dyDescent="0.25">
      <c r="B12" s="4">
        <v>45555</v>
      </c>
      <c r="C12" t="s">
        <v>81</v>
      </c>
      <c r="D12" t="s">
        <v>82</v>
      </c>
      <c r="E12" s="5">
        <v>2</v>
      </c>
      <c r="F12" s="1"/>
      <c r="G12" s="2"/>
      <c r="H12" s="1">
        <v>4000</v>
      </c>
    </row>
    <row r="13" spans="2:10" x14ac:dyDescent="0.25">
      <c r="B13" t="s">
        <v>13</v>
      </c>
      <c r="E13" s="5">
        <f>SUM(R_04[BOX])</f>
        <v>198</v>
      </c>
      <c r="H13">
        <f>SUBTOTAL(109,R_04[AMOUNT])</f>
        <v>324500</v>
      </c>
    </row>
    <row r="22" spans="9:9" x14ac:dyDescent="0.25">
      <c r="I22" t="s">
        <v>190</v>
      </c>
    </row>
  </sheetData>
  <conditionalFormatting sqref="F7:G12">
    <cfRule type="notContainsBlanks" dxfId="119" priority="11">
      <formula>LEN(TRIM(F7))&gt;0</formula>
    </cfRule>
  </conditionalFormatting>
  <conditionalFormatting sqref="G4:G5">
    <cfRule type="containsText" dxfId="118" priority="9" operator="containsText" text="NOT MATCHING">
      <formula>NOT(ISERROR(SEARCH("NOT MATCHING",G4)))</formula>
    </cfRule>
    <cfRule type="containsText" dxfId="117" priority="10" operator="containsText" text="MATCHING TOTAL BOX">
      <formula>NOT(ISERROR(SEARCH("MATCHING TOTAL BOX",G4)))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6476-B7FB-4AAC-ADB1-7A2D5ABAF76E}">
  <sheetPr codeName="Sheet6">
    <tabColor rgb="FFFF0000"/>
  </sheetPr>
  <dimension ref="B3:J15"/>
  <sheetViews>
    <sheetView workbookViewId="0">
      <selection activeCell="F12" sqref="F12"/>
    </sheetView>
  </sheetViews>
  <sheetFormatPr defaultRowHeight="15" x14ac:dyDescent="0.25"/>
  <cols>
    <col min="2" max="2" width="10.42578125" bestFit="1" customWidth="1"/>
    <col min="3" max="3" width="17.7109375" bestFit="1" customWidth="1"/>
    <col min="4" max="4" width="13.5703125" bestFit="1" customWidth="1"/>
    <col min="6" max="6" width="15.7109375" bestFit="1" customWidth="1"/>
    <col min="7" max="7" width="23.85546875" bestFit="1" customWidth="1"/>
  </cols>
  <sheetData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14</v>
      </c>
      <c r="I3" s="1" t="s">
        <v>241</v>
      </c>
      <c r="J3" s="1" t="s">
        <v>240</v>
      </c>
    </row>
    <row r="4" spans="2:10" x14ac:dyDescent="0.25">
      <c r="B4" s="2">
        <v>205</v>
      </c>
      <c r="C4" s="1" t="s">
        <v>6</v>
      </c>
      <c r="D4" s="3">
        <v>45555</v>
      </c>
      <c r="E4" s="2">
        <v>5</v>
      </c>
      <c r="F4" s="1">
        <v>210</v>
      </c>
      <c r="G4" s="5" t="str">
        <f>IF(SUM(E7:E14)=RTN_205[[#This Row],[TOTAL BOX]],"MATCHING TOTAL BOX","NOT MATCHING ")</f>
        <v>MATCHING TOTAL BOX</v>
      </c>
      <c r="H4" s="7">
        <v>276000</v>
      </c>
      <c r="I4" s="7">
        <v>124500</v>
      </c>
      <c r="J4" s="2">
        <v>4000</v>
      </c>
    </row>
    <row r="5" spans="2:10" x14ac:dyDescent="0.25">
      <c r="B5" s="2"/>
      <c r="C5" s="2"/>
      <c r="D5" s="3"/>
      <c r="E5" s="2"/>
      <c r="F5" s="1"/>
      <c r="G5" s="2"/>
      <c r="H5" s="2"/>
      <c r="I5" s="2"/>
      <c r="J5" s="2"/>
    </row>
    <row r="6" spans="2:10" x14ac:dyDescent="0.25">
      <c r="B6" s="1" t="s">
        <v>7</v>
      </c>
      <c r="C6" s="1" t="s">
        <v>8</v>
      </c>
      <c r="D6" s="1" t="s">
        <v>36</v>
      </c>
      <c r="E6" s="1" t="s">
        <v>9</v>
      </c>
      <c r="F6" s="1" t="s">
        <v>10</v>
      </c>
      <c r="G6" s="1" t="s">
        <v>11</v>
      </c>
      <c r="H6" s="1" t="s">
        <v>12</v>
      </c>
    </row>
    <row r="7" spans="2:10" x14ac:dyDescent="0.25">
      <c r="B7" s="4">
        <v>45556</v>
      </c>
      <c r="C7" t="s">
        <v>41</v>
      </c>
      <c r="D7" t="s">
        <v>42</v>
      </c>
      <c r="E7" s="5">
        <v>12</v>
      </c>
      <c r="F7" s="1"/>
      <c r="G7" s="2"/>
      <c r="H7" s="1">
        <v>23550</v>
      </c>
    </row>
    <row r="8" spans="2:10" x14ac:dyDescent="0.25">
      <c r="B8" s="4">
        <v>45556</v>
      </c>
      <c r="C8" t="s">
        <v>87</v>
      </c>
      <c r="D8" t="s">
        <v>88</v>
      </c>
      <c r="E8" s="5">
        <v>40</v>
      </c>
      <c r="F8" s="1"/>
      <c r="G8" s="2"/>
      <c r="H8" s="1">
        <v>74650</v>
      </c>
    </row>
    <row r="9" spans="2:10" x14ac:dyDescent="0.25">
      <c r="B9" s="4">
        <v>45557</v>
      </c>
      <c r="C9" t="s">
        <v>85</v>
      </c>
      <c r="D9" t="s">
        <v>86</v>
      </c>
      <c r="E9" s="5">
        <v>6</v>
      </c>
      <c r="F9" s="1"/>
      <c r="G9" s="2"/>
      <c r="H9" s="1">
        <v>9600</v>
      </c>
    </row>
    <row r="10" spans="2:10" x14ac:dyDescent="0.25">
      <c r="B10" s="4">
        <v>45557</v>
      </c>
      <c r="C10" t="s">
        <v>39</v>
      </c>
      <c r="D10" t="s">
        <v>40</v>
      </c>
      <c r="E10" s="5">
        <v>18</v>
      </c>
      <c r="F10" s="1"/>
      <c r="G10" s="2"/>
      <c r="H10" s="1">
        <v>30100</v>
      </c>
    </row>
    <row r="11" spans="2:10" x14ac:dyDescent="0.25">
      <c r="B11" s="4">
        <v>45558</v>
      </c>
      <c r="C11" t="s">
        <v>83</v>
      </c>
      <c r="D11" t="s">
        <v>84</v>
      </c>
      <c r="E11" s="5">
        <v>2</v>
      </c>
      <c r="F11" s="1"/>
      <c r="G11" s="2"/>
      <c r="H11" s="1">
        <v>4900</v>
      </c>
    </row>
    <row r="12" spans="2:10" x14ac:dyDescent="0.25">
      <c r="B12" s="4">
        <v>45558</v>
      </c>
      <c r="C12" t="s">
        <v>77</v>
      </c>
      <c r="D12" t="s">
        <v>78</v>
      </c>
      <c r="E12" s="5">
        <v>30</v>
      </c>
      <c r="F12" s="1">
        <v>3000</v>
      </c>
      <c r="G12" s="2">
        <v>4</v>
      </c>
      <c r="H12" s="1">
        <v>34250</v>
      </c>
    </row>
    <row r="13" spans="2:10" x14ac:dyDescent="0.25">
      <c r="B13" s="4">
        <v>45558</v>
      </c>
      <c r="C13" t="s">
        <v>81</v>
      </c>
      <c r="D13" t="s">
        <v>38</v>
      </c>
      <c r="E13" s="5">
        <v>100</v>
      </c>
      <c r="F13" s="1"/>
      <c r="G13" s="2"/>
      <c r="H13" s="1">
        <v>194000</v>
      </c>
    </row>
    <row r="14" spans="2:10" x14ac:dyDescent="0.25">
      <c r="B14" s="4">
        <v>45559</v>
      </c>
      <c r="C14" t="s">
        <v>89</v>
      </c>
      <c r="D14" t="s">
        <v>88</v>
      </c>
      <c r="E14" s="5">
        <v>2</v>
      </c>
      <c r="F14" s="1"/>
      <c r="G14" s="2"/>
      <c r="H14" s="1">
        <v>4050</v>
      </c>
    </row>
    <row r="15" spans="2:10" x14ac:dyDescent="0.25">
      <c r="B15" t="s">
        <v>13</v>
      </c>
      <c r="E15" s="5">
        <f>SUM(R_05[BOX])</f>
        <v>210</v>
      </c>
      <c r="H15">
        <f>SUBTOTAL(109,R_05[AMOUNT])</f>
        <v>375100</v>
      </c>
    </row>
  </sheetData>
  <conditionalFormatting sqref="F7:G14">
    <cfRule type="notContainsBlanks" dxfId="116" priority="11">
      <formula>LEN(TRIM(F7))&gt;0</formula>
    </cfRule>
  </conditionalFormatting>
  <conditionalFormatting sqref="G4:G5">
    <cfRule type="containsText" dxfId="115" priority="9" operator="containsText" text="NOT MATCHING">
      <formula>NOT(ISERROR(SEARCH("NOT MATCHING",G4)))</formula>
    </cfRule>
    <cfRule type="containsText" dxfId="114" priority="10" operator="containsText" text="MATCHING TOTAL BOX">
      <formula>NOT(ISERROR(SEARCH("MATCHING TOTAL BOX",G4)))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C0F0-EF96-439A-90B4-EF12348E75BB}">
  <sheetPr codeName="Sheet7">
    <tabColor rgb="FFFF0000"/>
  </sheetPr>
  <dimension ref="B2:J15"/>
  <sheetViews>
    <sheetView topLeftCell="A2" workbookViewId="0">
      <selection activeCell="C8" sqref="C8"/>
    </sheetView>
  </sheetViews>
  <sheetFormatPr defaultRowHeight="15" x14ac:dyDescent="0.25"/>
  <cols>
    <col min="2" max="2" width="10.42578125" bestFit="1" customWidth="1"/>
    <col min="3" max="3" width="15.7109375" bestFit="1" customWidth="1"/>
    <col min="4" max="4" width="13.5703125" bestFit="1" customWidth="1"/>
    <col min="5" max="5" width="10.42578125" bestFit="1" customWidth="1"/>
    <col min="6" max="6" width="15.7109375" bestFit="1" customWidth="1"/>
    <col min="7" max="7" width="23.85546875" bestFit="1" customWidth="1"/>
    <col min="8" max="8" width="12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206</v>
      </c>
      <c r="C3" s="1" t="s">
        <v>90</v>
      </c>
      <c r="D3" s="3">
        <v>45557</v>
      </c>
      <c r="E3" s="2">
        <v>6</v>
      </c>
      <c r="F3" s="1">
        <v>200</v>
      </c>
      <c r="G3" s="5" t="str">
        <f>IF(SUM(E6:E14)=RTN_206[[#This Row],[TOTAL BOX]],"MATCHING TOTAL BOX","NOT MATCHING ")</f>
        <v>MATCHING TOTAL BOX</v>
      </c>
      <c r="H3" s="2">
        <v>233400</v>
      </c>
      <c r="I3">
        <v>92780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45558</v>
      </c>
      <c r="C6" t="s">
        <v>92</v>
      </c>
      <c r="D6" t="s">
        <v>93</v>
      </c>
      <c r="E6" s="5">
        <v>15</v>
      </c>
      <c r="F6" s="1"/>
      <c r="G6" s="2"/>
      <c r="H6" s="1">
        <v>24150</v>
      </c>
    </row>
    <row r="7" spans="2:10" x14ac:dyDescent="0.25">
      <c r="B7" s="4">
        <v>45558</v>
      </c>
      <c r="C7" t="s">
        <v>94</v>
      </c>
      <c r="D7" t="s">
        <v>95</v>
      </c>
      <c r="E7" s="5">
        <v>63</v>
      </c>
      <c r="F7" s="1"/>
      <c r="G7" s="2"/>
      <c r="H7" s="1">
        <v>7820</v>
      </c>
    </row>
    <row r="8" spans="2:10" x14ac:dyDescent="0.25">
      <c r="B8" s="4">
        <v>45559</v>
      </c>
      <c r="C8" t="s">
        <v>102</v>
      </c>
      <c r="D8" t="s">
        <v>91</v>
      </c>
      <c r="E8" s="5">
        <v>20</v>
      </c>
      <c r="F8" s="1"/>
      <c r="G8" s="2"/>
      <c r="H8" s="1">
        <v>29130</v>
      </c>
    </row>
    <row r="9" spans="2:10" x14ac:dyDescent="0.25">
      <c r="B9" s="4">
        <v>45559</v>
      </c>
      <c r="C9" t="s">
        <v>62</v>
      </c>
      <c r="D9" t="s">
        <v>63</v>
      </c>
      <c r="E9" s="5">
        <v>48</v>
      </c>
      <c r="F9" s="1"/>
      <c r="G9" s="2"/>
      <c r="H9" s="1">
        <v>65750</v>
      </c>
    </row>
    <row r="10" spans="2:10" x14ac:dyDescent="0.25">
      <c r="B10" s="4">
        <v>45559</v>
      </c>
      <c r="C10" t="s">
        <v>100</v>
      </c>
      <c r="D10" t="s">
        <v>101</v>
      </c>
      <c r="E10" s="5">
        <v>20</v>
      </c>
      <c r="F10" s="1"/>
      <c r="G10" s="2"/>
      <c r="H10" s="1">
        <v>27360</v>
      </c>
    </row>
    <row r="11" spans="2:10" x14ac:dyDescent="0.25">
      <c r="B11" s="4">
        <v>45559</v>
      </c>
      <c r="C11" t="s">
        <v>103</v>
      </c>
      <c r="D11" t="s">
        <v>104</v>
      </c>
      <c r="E11" s="5">
        <v>5</v>
      </c>
      <c r="F11" s="1"/>
      <c r="G11" s="2"/>
      <c r="H11" s="1">
        <v>7830</v>
      </c>
    </row>
    <row r="12" spans="2:10" x14ac:dyDescent="0.25">
      <c r="B12" s="4">
        <v>45559</v>
      </c>
      <c r="C12" t="s">
        <v>102</v>
      </c>
      <c r="D12" t="s">
        <v>105</v>
      </c>
      <c r="E12" s="5">
        <v>10</v>
      </c>
      <c r="F12" s="1"/>
      <c r="G12" s="2"/>
      <c r="H12" s="1">
        <v>4050</v>
      </c>
    </row>
    <row r="13" spans="2:10" x14ac:dyDescent="0.25">
      <c r="B13" s="4">
        <v>45561</v>
      </c>
      <c r="C13" t="s">
        <v>98</v>
      </c>
      <c r="D13" t="s">
        <v>99</v>
      </c>
      <c r="E13" s="5">
        <v>13</v>
      </c>
      <c r="F13" s="1"/>
      <c r="G13" s="2"/>
      <c r="H13" s="1">
        <v>2800</v>
      </c>
    </row>
    <row r="14" spans="2:10" x14ac:dyDescent="0.25">
      <c r="B14" s="4">
        <v>45562</v>
      </c>
      <c r="C14" t="s">
        <v>97</v>
      </c>
      <c r="D14" t="s">
        <v>96</v>
      </c>
      <c r="E14" s="5">
        <v>6</v>
      </c>
      <c r="F14" s="1"/>
      <c r="G14" s="2"/>
      <c r="H14" s="1">
        <v>2300</v>
      </c>
    </row>
    <row r="15" spans="2:10" x14ac:dyDescent="0.25">
      <c r="B15" t="s">
        <v>13</v>
      </c>
      <c r="E15" s="5">
        <f>SUM(R_06[BOX])</f>
        <v>200</v>
      </c>
      <c r="H15">
        <f>SUBTOTAL(109,R_06[AMOUNT])</f>
        <v>171190</v>
      </c>
    </row>
  </sheetData>
  <conditionalFormatting sqref="F6:G14">
    <cfRule type="notContainsBlanks" dxfId="113" priority="7">
      <formula>LEN(TRIM(F6))&gt;0</formula>
    </cfRule>
  </conditionalFormatting>
  <conditionalFormatting sqref="G3:G4">
    <cfRule type="containsText" dxfId="112" priority="5" operator="containsText" text="NOT MATCHING">
      <formula>NOT(ISERROR(SEARCH("NOT MATCHING",G3)))</formula>
    </cfRule>
    <cfRule type="containsText" dxfId="111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EADE-F728-46E3-B43A-55808C9F19ED}">
  <sheetPr codeName="Sheet8">
    <tabColor rgb="FF92D050"/>
  </sheetPr>
  <dimension ref="B2:J11"/>
  <sheetViews>
    <sheetView zoomScale="98" zoomScaleNormal="85" workbookViewId="0">
      <selection activeCell="B10" sqref="B10"/>
    </sheetView>
  </sheetViews>
  <sheetFormatPr defaultRowHeight="15" x14ac:dyDescent="0.25"/>
  <cols>
    <col min="2" max="2" width="11.28515625" bestFit="1" customWidth="1"/>
    <col min="3" max="3" width="15" bestFit="1" customWidth="1"/>
    <col min="4" max="4" width="13.5703125" bestFit="1" customWidth="1"/>
    <col min="5" max="5" width="10.425781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241</v>
      </c>
      <c r="J2" s="1" t="s">
        <v>240</v>
      </c>
    </row>
    <row r="3" spans="2:10" x14ac:dyDescent="0.25">
      <c r="B3" s="2">
        <v>207</v>
      </c>
      <c r="C3" s="1" t="s">
        <v>27</v>
      </c>
      <c r="D3" s="3">
        <v>45558</v>
      </c>
      <c r="E3" s="2">
        <v>7</v>
      </c>
      <c r="F3" s="1">
        <v>197</v>
      </c>
      <c r="G3" s="5" t="str">
        <f>IF(SUM(E6:E10)=RTN_207[[#This Row],[TOTAL BOX]],"MATCHING TOTAL BOX","NOT MATCHING ")</f>
        <v>MATCHING TOTAL BOX</v>
      </c>
      <c r="H3" s="2">
        <v>322970</v>
      </c>
      <c r="I3" s="2">
        <v>105600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45560</v>
      </c>
      <c r="C6" t="s">
        <v>66</v>
      </c>
      <c r="D6" t="s">
        <v>67</v>
      </c>
      <c r="E6" s="5">
        <v>5</v>
      </c>
      <c r="F6" s="1"/>
      <c r="G6" s="2"/>
      <c r="H6" s="1">
        <v>15400</v>
      </c>
    </row>
    <row r="7" spans="2:10" x14ac:dyDescent="0.25">
      <c r="B7" s="4">
        <v>45560</v>
      </c>
      <c r="C7" t="s">
        <v>64</v>
      </c>
      <c r="D7" t="s">
        <v>65</v>
      </c>
      <c r="E7" s="5">
        <v>15</v>
      </c>
      <c r="F7" s="1">
        <v>2000</v>
      </c>
      <c r="G7" s="2">
        <v>7</v>
      </c>
      <c r="H7" s="1">
        <v>43950</v>
      </c>
    </row>
    <row r="8" spans="2:10" x14ac:dyDescent="0.25">
      <c r="B8" s="4">
        <v>45560</v>
      </c>
      <c r="C8" t="s">
        <v>92</v>
      </c>
      <c r="D8" t="s">
        <v>93</v>
      </c>
      <c r="E8" s="5">
        <v>51</v>
      </c>
      <c r="F8" s="1"/>
      <c r="G8" s="2"/>
      <c r="H8" s="1">
        <v>116250</v>
      </c>
    </row>
    <row r="9" spans="2:10" x14ac:dyDescent="0.25">
      <c r="B9" s="4">
        <v>45560</v>
      </c>
      <c r="C9" t="s">
        <v>106</v>
      </c>
      <c r="D9" t="s">
        <v>107</v>
      </c>
      <c r="E9" s="5">
        <v>54</v>
      </c>
      <c r="F9" s="1"/>
      <c r="G9" s="2"/>
      <c r="H9" s="1">
        <v>146900</v>
      </c>
    </row>
    <row r="10" spans="2:10" x14ac:dyDescent="0.25">
      <c r="B10" s="4">
        <v>45560</v>
      </c>
      <c r="C10" t="s">
        <v>108</v>
      </c>
      <c r="D10" t="s">
        <v>38</v>
      </c>
      <c r="E10" s="5">
        <v>72</v>
      </c>
      <c r="F10" s="1"/>
      <c r="G10" s="2"/>
      <c r="H10" s="1">
        <v>140600</v>
      </c>
    </row>
    <row r="11" spans="2:10" x14ac:dyDescent="0.25">
      <c r="B11" t="s">
        <v>13</v>
      </c>
      <c r="E11" s="5">
        <f>SUM(R_07[BOX])</f>
        <v>197</v>
      </c>
      <c r="H11">
        <f>SUBTOTAL(109,R_07[AMOUNT])</f>
        <v>463100</v>
      </c>
    </row>
  </sheetData>
  <conditionalFormatting sqref="F6:G10">
    <cfRule type="notContainsBlanks" dxfId="110" priority="7">
      <formula>LEN(TRIM(F6))&gt;0</formula>
    </cfRule>
  </conditionalFormatting>
  <conditionalFormatting sqref="G3:G4">
    <cfRule type="containsText" dxfId="109" priority="5" operator="containsText" text="NOT MATCHING">
      <formula>NOT(ISERROR(SEARCH("NOT MATCHING",G3)))</formula>
    </cfRule>
    <cfRule type="containsText" dxfId="108" priority="6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D62E-A288-43B5-80E8-163BE49172DC}">
  <sheetPr codeName="Sheet9">
    <tabColor rgb="FFFF0000"/>
  </sheetPr>
  <dimension ref="B2:J20"/>
  <sheetViews>
    <sheetView zoomScale="94" workbookViewId="0">
      <selection activeCell="D10" sqref="D10"/>
    </sheetView>
  </sheetViews>
  <sheetFormatPr defaultRowHeight="15" x14ac:dyDescent="0.25"/>
  <cols>
    <col min="2" max="2" width="10.42578125" bestFit="1" customWidth="1"/>
    <col min="3" max="3" width="19" bestFit="1" customWidth="1"/>
    <col min="4" max="4" width="25.28515625" bestFit="1" customWidth="1"/>
    <col min="6" max="6" width="15.7109375" bestFit="1" customWidth="1"/>
    <col min="7" max="7" width="23.855468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242</v>
      </c>
      <c r="I2" s="1" t="s">
        <v>241</v>
      </c>
      <c r="J2" s="1" t="s">
        <v>240</v>
      </c>
    </row>
    <row r="3" spans="2:10" x14ac:dyDescent="0.25">
      <c r="B3" s="2">
        <v>208</v>
      </c>
      <c r="C3" s="1" t="s">
        <v>49</v>
      </c>
      <c r="D3" s="3">
        <v>45559</v>
      </c>
      <c r="E3" s="2">
        <v>8</v>
      </c>
      <c r="F3" s="1">
        <v>228</v>
      </c>
      <c r="G3" s="5" t="str">
        <f>IF(SUM(E6:E19)=RTN_208[[#This Row],[TOTAL BOX]],"MATCHING TOTAL BOX","NOT MATCHING ")</f>
        <v>MATCHING TOTAL BOX</v>
      </c>
      <c r="H3" s="2">
        <v>464300</v>
      </c>
      <c r="I3" s="2">
        <v>121800</v>
      </c>
      <c r="J3" s="2">
        <v>4000</v>
      </c>
    </row>
    <row r="4" spans="2:10" x14ac:dyDescent="0.25">
      <c r="B4" s="2"/>
      <c r="C4" s="2"/>
      <c r="D4" s="3"/>
      <c r="E4" s="2"/>
      <c r="F4" s="1"/>
      <c r="G4" s="2"/>
      <c r="H4" s="2"/>
      <c r="I4" s="2"/>
      <c r="J4" s="2"/>
    </row>
    <row r="5" spans="2:10" x14ac:dyDescent="0.25">
      <c r="B5" s="1" t="s">
        <v>7</v>
      </c>
      <c r="C5" s="1" t="s">
        <v>8</v>
      </c>
      <c r="D5" s="1" t="s">
        <v>36</v>
      </c>
      <c r="E5" s="1" t="s">
        <v>9</v>
      </c>
      <c r="F5" s="1" t="s">
        <v>10</v>
      </c>
      <c r="G5" s="1" t="s">
        <v>11</v>
      </c>
      <c r="H5" s="1" t="s">
        <v>12</v>
      </c>
    </row>
    <row r="6" spans="2:10" x14ac:dyDescent="0.25">
      <c r="B6" s="4">
        <v>45561</v>
      </c>
      <c r="C6" t="s">
        <v>66</v>
      </c>
      <c r="D6" t="s">
        <v>67</v>
      </c>
      <c r="E6" s="5">
        <v>10</v>
      </c>
      <c r="F6" s="1"/>
      <c r="G6" s="2"/>
      <c r="H6" s="1">
        <v>20200</v>
      </c>
    </row>
    <row r="7" spans="2:10" x14ac:dyDescent="0.25">
      <c r="B7" s="4">
        <v>45561</v>
      </c>
      <c r="C7" t="s">
        <v>130</v>
      </c>
      <c r="D7" t="s">
        <v>65</v>
      </c>
      <c r="E7" s="5">
        <v>15</v>
      </c>
      <c r="F7" s="1">
        <v>2000</v>
      </c>
      <c r="G7" s="2">
        <v>8</v>
      </c>
      <c r="H7" s="1">
        <v>30600</v>
      </c>
    </row>
    <row r="8" spans="2:10" x14ac:dyDescent="0.25">
      <c r="B8" s="4">
        <v>45561</v>
      </c>
      <c r="C8" t="s">
        <v>131</v>
      </c>
      <c r="D8" t="s">
        <v>109</v>
      </c>
      <c r="E8" s="5">
        <v>33</v>
      </c>
      <c r="F8" s="1">
        <v>2000</v>
      </c>
      <c r="G8" s="2">
        <v>2</v>
      </c>
      <c r="H8" s="1">
        <v>65200</v>
      </c>
    </row>
    <row r="9" spans="2:10" x14ac:dyDescent="0.25">
      <c r="B9" s="4">
        <v>45561</v>
      </c>
      <c r="C9" t="s">
        <v>132</v>
      </c>
      <c r="D9" t="s">
        <v>57</v>
      </c>
      <c r="E9" s="5">
        <v>10</v>
      </c>
      <c r="F9" s="1"/>
      <c r="G9" s="2"/>
      <c r="H9" s="1">
        <v>26100</v>
      </c>
    </row>
    <row r="10" spans="2:10" x14ac:dyDescent="0.25">
      <c r="B10" s="4">
        <v>45562</v>
      </c>
      <c r="C10" t="s">
        <v>41</v>
      </c>
      <c r="D10" t="s">
        <v>42</v>
      </c>
      <c r="E10" s="5">
        <v>15</v>
      </c>
      <c r="F10" s="1"/>
      <c r="G10" s="2"/>
      <c r="H10" s="1">
        <v>40000</v>
      </c>
    </row>
    <row r="11" spans="2:10" x14ac:dyDescent="0.25">
      <c r="B11" s="4">
        <v>45562</v>
      </c>
      <c r="C11" t="s">
        <v>137</v>
      </c>
      <c r="D11" t="s">
        <v>86</v>
      </c>
      <c r="E11" s="5">
        <v>15</v>
      </c>
      <c r="F11" s="1"/>
      <c r="G11" s="2"/>
      <c r="H11" s="1">
        <v>40050</v>
      </c>
    </row>
    <row r="12" spans="2:10" x14ac:dyDescent="0.25">
      <c r="B12" s="4">
        <v>45562</v>
      </c>
      <c r="C12" t="s">
        <v>79</v>
      </c>
      <c r="D12" t="s">
        <v>136</v>
      </c>
      <c r="E12" s="5">
        <v>19</v>
      </c>
      <c r="F12" s="1"/>
      <c r="G12" s="2"/>
      <c r="H12" s="1">
        <v>45700</v>
      </c>
    </row>
    <row r="13" spans="2:10" x14ac:dyDescent="0.25">
      <c r="B13" s="4">
        <v>45562</v>
      </c>
      <c r="C13" t="s">
        <v>58</v>
      </c>
      <c r="D13" t="s">
        <v>59</v>
      </c>
      <c r="E13" s="5">
        <v>10</v>
      </c>
      <c r="F13" s="1"/>
      <c r="G13" s="2"/>
      <c r="H13" s="1">
        <v>25950</v>
      </c>
    </row>
    <row r="14" spans="2:10" x14ac:dyDescent="0.25">
      <c r="B14" s="4">
        <v>45562</v>
      </c>
      <c r="C14" t="s">
        <v>110</v>
      </c>
      <c r="D14" t="s">
        <v>111</v>
      </c>
      <c r="E14" s="5">
        <v>5</v>
      </c>
      <c r="F14" s="1"/>
      <c r="G14" s="2"/>
      <c r="H14" s="1">
        <v>14300</v>
      </c>
    </row>
    <row r="15" spans="2:10" x14ac:dyDescent="0.25">
      <c r="B15" s="4">
        <v>45562</v>
      </c>
      <c r="C15" t="s">
        <v>112</v>
      </c>
      <c r="D15" t="s">
        <v>76</v>
      </c>
      <c r="E15" s="5">
        <v>20</v>
      </c>
      <c r="F15" s="1"/>
      <c r="G15" s="2"/>
      <c r="H15" s="1">
        <v>43100</v>
      </c>
    </row>
    <row r="16" spans="2:10" x14ac:dyDescent="0.25">
      <c r="B16" s="4">
        <v>45562</v>
      </c>
      <c r="C16" t="s">
        <v>77</v>
      </c>
      <c r="D16" t="s">
        <v>78</v>
      </c>
      <c r="E16" s="5">
        <v>20</v>
      </c>
      <c r="F16" s="1">
        <v>3000</v>
      </c>
      <c r="G16" s="2">
        <v>5</v>
      </c>
      <c r="H16" s="1">
        <v>40200</v>
      </c>
    </row>
    <row r="17" spans="2:8" x14ac:dyDescent="0.25">
      <c r="B17" s="4">
        <v>45563</v>
      </c>
      <c r="C17" t="s">
        <v>113</v>
      </c>
      <c r="D17" t="s">
        <v>114</v>
      </c>
      <c r="E17" s="5">
        <v>7</v>
      </c>
      <c r="F17" s="1"/>
      <c r="G17" s="2"/>
      <c r="H17" s="1">
        <v>17300</v>
      </c>
    </row>
    <row r="18" spans="2:8" x14ac:dyDescent="0.25">
      <c r="B18" s="4">
        <v>45563</v>
      </c>
      <c r="C18" t="s">
        <v>79</v>
      </c>
      <c r="D18" t="s">
        <v>136</v>
      </c>
      <c r="E18" s="5">
        <v>8</v>
      </c>
      <c r="F18" s="1"/>
      <c r="G18" s="2"/>
      <c r="H18" s="1">
        <v>18400</v>
      </c>
    </row>
    <row r="19" spans="2:8" x14ac:dyDescent="0.25">
      <c r="B19" s="4">
        <v>45563</v>
      </c>
      <c r="C19" t="s">
        <v>115</v>
      </c>
      <c r="D19" t="s">
        <v>133</v>
      </c>
      <c r="E19" s="5">
        <v>41</v>
      </c>
      <c r="F19" s="1"/>
      <c r="G19" s="2"/>
      <c r="H19" s="1">
        <v>100300</v>
      </c>
    </row>
    <row r="20" spans="2:8" x14ac:dyDescent="0.25">
      <c r="B20" t="s">
        <v>13</v>
      </c>
      <c r="E20" s="5">
        <f>SUM(R_08[BOX])</f>
        <v>228</v>
      </c>
      <c r="H20">
        <f>SUBTOTAL(109,R_08[AMOUNT])</f>
        <v>527400</v>
      </c>
    </row>
  </sheetData>
  <conditionalFormatting sqref="F6:G19">
    <cfRule type="notContainsBlanks" dxfId="107" priority="9">
      <formula>LEN(TRIM(F6))&gt;0</formula>
    </cfRule>
  </conditionalFormatting>
  <conditionalFormatting sqref="G3:G4">
    <cfRule type="containsText" dxfId="106" priority="7" operator="containsText" text="NOT MATCHING">
      <formula>NOT(ISERROR(SEARCH("NOT MATCHING",G3)))</formula>
    </cfRule>
    <cfRule type="containsText" dxfId="105" priority="8" operator="containsText" text="MATCHING TOTAL BOX">
      <formula>NOT(ISERROR(SEARCH("MATCHING TOTAL BOX",G3)))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2 y X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D 2 y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s l 1 k o i k e 4 D g A A A B E A A A A T A B w A R m 9 y b X V s Y X M v U 2 V j d G l v b j E u b S C i G A A o o B Q A A A A A A A A A A A A A A A A A A A A A A A A A A A A r T k 0 u y c z P U w i G 0 I b W A F B L A Q I t A B Q A A g A I A A 9 s l 1 k B v 7 o t p A A A A P Y A A A A S A A A A A A A A A A A A A A A A A A A A A A B D b 2 5 m a W c v U G F j a 2 F n Z S 5 4 b W x Q S w E C L Q A U A A I A C A A P b J d Z D 8 r p q 6 Q A A A D p A A A A E w A A A A A A A A A A A A A A A A D w A A A A W 0 N v b n R l b n R f V H l w Z X N d L n h t b F B L A Q I t A B Q A A g A I A A 9 s l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P i x 4 w u m 9 S o 6 U Y I o 1 S K + 3 A A A A A A I A A A A A A B B m A A A A A Q A A I A A A A C u f q u 6 d D 8 V T u 4 i A p F o p Y z f S p c v 7 8 k Y B D b u S 2 s B R 2 1 n n A A A A A A 6 A A A A A A g A A I A A A A J S X 4 o a j 7 4 h h c j X 9 S Z T I S G O n B a 6 i r 5 O s W d H y P k u g 4 6 H V U A A A A D g X r 0 I v O M q M Q j f / J k L 0 o G z W z e s 3 8 4 a T r 1 W m 2 M T z L u h e Q w + 6 z I T b Q A j y I k c J 7 L h y N p s v 1 c 8 / P 9 Y N H A B H 6 J I I E D j h O Z M F r W q n R 4 l 4 K u i 3 K C o 7 Q A A A A M t m m 2 9 i h K J A T E h F w K x R G 9 o z u Y j 8 h 6 m A 5 6 5 U z l U C h g I Y v G l 8 Q J 1 k A m q k X i s E m D x 6 + t m w g V b h / V 7 g i y y X x r t E i B s = < / D a t a M a s h u p > 
</file>

<file path=customXml/itemProps1.xml><?xml version="1.0" encoding="utf-8"?>
<ds:datastoreItem xmlns:ds="http://schemas.openxmlformats.org/officeDocument/2006/customXml" ds:itemID="{4ED901C5-A6DE-45E2-92E6-FB9031EA01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RTN 01</vt:lpstr>
      <vt:lpstr>RTN 02</vt:lpstr>
      <vt:lpstr>RTN 03</vt:lpstr>
      <vt:lpstr>ALIBAG 01</vt:lpstr>
      <vt:lpstr>RTN 04</vt:lpstr>
      <vt:lpstr>RTN 05</vt:lpstr>
      <vt:lpstr>RTN 06</vt:lpstr>
      <vt:lpstr>RTN 07</vt:lpstr>
      <vt:lpstr>RTN 08</vt:lpstr>
      <vt:lpstr>RTN 09</vt:lpstr>
      <vt:lpstr>RTN 10</vt:lpstr>
      <vt:lpstr>RTN 11</vt:lpstr>
      <vt:lpstr>RTN 12</vt:lpstr>
      <vt:lpstr>RTN 13</vt:lpstr>
      <vt:lpstr>RTN 14</vt:lpstr>
      <vt:lpstr>ALIBAG 2</vt:lpstr>
      <vt:lpstr>RTN 15</vt:lpstr>
      <vt:lpstr>RTN 16</vt:lpstr>
      <vt:lpstr>RTN 17</vt:lpstr>
      <vt:lpstr>RTN 18</vt:lpstr>
      <vt:lpstr>RTN 19</vt:lpstr>
      <vt:lpstr>ALIBAG 03</vt:lpstr>
      <vt:lpstr>RTN 20</vt:lpstr>
      <vt:lpstr>RTN 21 </vt:lpstr>
      <vt:lpstr>RTN 22</vt:lpstr>
      <vt:lpstr>RTN 23</vt:lpstr>
      <vt:lpstr>RTN 24</vt:lpstr>
      <vt:lpstr>RTN 25</vt:lpstr>
      <vt:lpstr>RTN 26</vt:lpstr>
      <vt:lpstr>RTN 27</vt:lpstr>
      <vt:lpstr>RTN 28</vt:lpstr>
      <vt:lpstr>RTN 29</vt:lpstr>
      <vt:lpstr>RTN 30</vt:lpstr>
      <vt:lpstr>RTN 31</vt:lpstr>
      <vt:lpstr>RTN 32</vt:lpstr>
      <vt:lpstr>RTN 33</vt:lpstr>
      <vt:lpstr>RTN 34</vt:lpstr>
      <vt:lpstr>RTN 35</vt:lpstr>
      <vt:lpstr>RTN 36</vt:lpstr>
      <vt:lpstr>RTN 37</vt:lpstr>
      <vt:lpstr>RTN 38</vt:lpstr>
      <vt:lpstr>RTN 39</vt:lpstr>
      <vt:lpstr>RTN 40</vt:lpstr>
      <vt:lpstr>ALIBAG 04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irfanpattu00@gmail.com</dc:creator>
  <cp:lastModifiedBy>irfanpattu00@gmail.com</cp:lastModifiedBy>
  <dcterms:created xsi:type="dcterms:W3CDTF">2024-10-01T05:35:54Z</dcterms:created>
  <dcterms:modified xsi:type="dcterms:W3CDTF">2024-12-23T11:34:30Z</dcterms:modified>
</cp:coreProperties>
</file>