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defaultThemeVersion="124226"/>
  <mc:AlternateContent xmlns:mc="http://schemas.openxmlformats.org/markup-compatibility/2006">
    <mc:Choice Requires="x15">
      <x15ac:absPath xmlns:x15ac="http://schemas.microsoft.com/office/spreadsheetml/2010/11/ac" url="/Users/rajm/Documents/SOFIA/sofia.inthewild/"/>
    </mc:Choice>
  </mc:AlternateContent>
  <xr:revisionPtr revIDLastSave="0" documentId="13_ncr:1_{80977338-3B1F-6B40-8061-A82AFA73B968}" xr6:coauthVersionLast="36" xr6:coauthVersionMax="36" xr10:uidLastSave="{00000000-0000-0000-0000-000000000000}"/>
  <bookViews>
    <workbookView xWindow="0" yWindow="500" windowWidth="28800" windowHeight="16500" tabRatio="897" firstSheet="1" activeTab="5"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81029"/>
</workbook>
</file>

<file path=xl/calcChain.xml><?xml version="1.0" encoding="utf-8"?>
<calcChain xmlns="http://schemas.openxmlformats.org/spreadsheetml/2006/main">
  <c r="B3" i="11" l="1"/>
  <c r="K3" i="2" l="1"/>
  <c r="K4" i="2"/>
  <c r="E3" i="2" l="1"/>
  <c r="AD3" i="7" l="1"/>
  <c r="D5" i="4"/>
  <c r="W9" i="16" l="1"/>
  <c r="W8" i="16"/>
  <c r="W7" i="16"/>
  <c r="W6" i="16"/>
  <c r="W5" i="16"/>
  <c r="W4" i="16"/>
  <c r="V9" i="16"/>
  <c r="V8" i="16"/>
  <c r="V7" i="16"/>
  <c r="V6" i="16"/>
  <c r="V5" i="16"/>
  <c r="V4" i="16"/>
  <c r="U9" i="16"/>
  <c r="U8" i="16"/>
  <c r="U7" i="16"/>
  <c r="U6" i="16"/>
  <c r="U5" i="16"/>
  <c r="U4" i="16"/>
  <c r="T9" i="16"/>
  <c r="T8" i="16"/>
  <c r="T7" i="16"/>
  <c r="T6" i="16"/>
  <c r="T5" i="16"/>
  <c r="T4" i="16"/>
  <c r="S9" i="16"/>
  <c r="S8" i="16"/>
  <c r="S7" i="16"/>
  <c r="S6" i="16"/>
  <c r="S5" i="16"/>
  <c r="S4" i="16"/>
  <c r="R9" i="16"/>
  <c r="R8" i="16"/>
  <c r="R7" i="16"/>
  <c r="R6" i="16"/>
  <c r="R5" i="16"/>
  <c r="R4" i="16"/>
  <c r="Q9" i="16"/>
  <c r="N3" i="16"/>
  <c r="Q8" i="16"/>
  <c r="M3" i="16"/>
  <c r="Q7" i="16"/>
  <c r="L3" i="16"/>
  <c r="Q6" i="16"/>
  <c r="K3" i="16"/>
  <c r="Q5" i="16"/>
  <c r="J3" i="16"/>
  <c r="Q4" i="16"/>
  <c r="I3" i="16"/>
  <c r="H3" i="2" l="1"/>
  <c r="J3" i="18" s="1"/>
  <c r="P29" i="4" l="1"/>
  <c r="M29" i="4"/>
  <c r="J29" i="4"/>
  <c r="G29" i="4"/>
  <c r="D29"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AG822" i="14" s="1"/>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AG818" i="14" s="1"/>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AG814" i="14" s="1"/>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AG810" i="14" s="1"/>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AG806" i="14" s="1"/>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AG802" i="14" s="1"/>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AG798" i="14" s="1"/>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AG794" i="14" s="1"/>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AG790" i="14" s="1"/>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AG786" i="14" s="1"/>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AG782" i="14" s="1"/>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AG778" i="14" s="1"/>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AG774" i="14" s="1"/>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AG770" i="14" s="1"/>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AG766" i="14" s="1"/>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AG762" i="14" s="1"/>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AG758" i="14" s="1"/>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AG754" i="14" s="1"/>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AG750" i="14" s="1"/>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AG746" i="14" s="1"/>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AG742" i="14" s="1"/>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AG738" i="14" s="1"/>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AG734" i="14" s="1"/>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AG730" i="14" s="1"/>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AG726" i="14" s="1"/>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AG722" i="14" s="1"/>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AG718" i="14" s="1"/>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AG714" i="14" s="1"/>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AG710" i="14" s="1"/>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AG706" i="14" s="1"/>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AG702" i="14" s="1"/>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AG698" i="14" s="1"/>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AG694" i="14" s="1"/>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AG690" i="14" s="1"/>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AG686" i="14" s="1"/>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AG622" i="14" s="1"/>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AG618" i="14" s="1"/>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AG614" i="14" s="1"/>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AG610" i="14" s="1"/>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AG606" i="14" s="1"/>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AG602" i="14" s="1"/>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AG598" i="14" s="1"/>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AG594" i="14" s="1"/>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AG590" i="14" s="1"/>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AG586" i="14" s="1"/>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AG582" i="14" s="1"/>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AG578" i="14" s="1"/>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AG574" i="14" s="1"/>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AG570" i="14" s="1"/>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AG566" i="14" s="1"/>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AG562" i="14" s="1"/>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AG558" i="14" s="1"/>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AG554" i="14" s="1"/>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AG550" i="14" s="1"/>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AG546" i="14" s="1"/>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AG542" i="14" s="1"/>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AG538" i="14" s="1"/>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AG534" i="14" s="1"/>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AG530" i="14" s="1"/>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AG526" i="14" s="1"/>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AG522" i="14" s="1"/>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AG518" i="14" s="1"/>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AG514" i="14" s="1"/>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AG510" i="14" s="1"/>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AG506" i="14" s="1"/>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AG502" i="14" s="1"/>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AG498" i="14" s="1"/>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AG494" i="14" s="1"/>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AG490" i="14" s="1"/>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AG486" i="14" s="1"/>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AG482" i="14" s="1"/>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AG478" i="14" s="1"/>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AG474" i="14" s="1"/>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AG470" i="14" s="1"/>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AG466" i="14" s="1"/>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AG462" i="14" s="1"/>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AG458" i="14" s="1"/>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AG454" i="14" s="1"/>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AG450" i="14" s="1"/>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AG446" i="14" s="1"/>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AG442" i="14" s="1"/>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AG438" i="14" s="1"/>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AG434" i="14" s="1"/>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AG430" i="14" s="1"/>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AG426" i="14" s="1"/>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AG422" i="14" s="1"/>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AG418" i="14" s="1"/>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AG414" i="14" s="1"/>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AG410" i="14" s="1"/>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AG406" i="14" s="1"/>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AG402" i="14" s="1"/>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AG398" i="14" s="1"/>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AG394" i="14" s="1"/>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AG390" i="14" s="1"/>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AG386" i="14" s="1"/>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AG382" i="14" s="1"/>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AG378" i="14" s="1"/>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AG374" i="14" s="1"/>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AG370" i="14" s="1"/>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AG366" i="14" s="1"/>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AG362" i="14" s="1"/>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AG358" i="14" s="1"/>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AG354" i="14" s="1"/>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AG350" i="14" s="1"/>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AG346" i="14" s="1"/>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AG342" i="14" s="1"/>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AG338" i="14" s="1"/>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AG334" i="14" s="1"/>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AG330" i="14" s="1"/>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AG326" i="14" s="1"/>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AG322" i="14" s="1"/>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AG318" i="14" s="1"/>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AG314" i="14" s="1"/>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AG310" i="14" s="1"/>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AG306" i="14" s="1"/>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AG302" i="14" s="1"/>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AG298" i="14" s="1"/>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AG294" i="14" s="1"/>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AG290" i="14" s="1"/>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AG286" i="14" s="1"/>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AG282" i="14" s="1"/>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AG278" i="14" s="1"/>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AG274" i="14" s="1"/>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AG266" i="14" s="1"/>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AG262" i="14" s="1"/>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AG258" i="14" s="1"/>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AG254" i="14" s="1"/>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AG250" i="14" s="1"/>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AG246" i="14" s="1"/>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AG242" i="14" s="1"/>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AG238" i="14" s="1"/>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AG234" i="14" s="1"/>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AG230" i="14" s="1"/>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AG226" i="14" s="1"/>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AG222" i="14" s="1"/>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AG218" i="14" s="1"/>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AG214" i="14" s="1"/>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AG210" i="14" s="1"/>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AG206" i="14" s="1"/>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AG202" i="14" s="1"/>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AG198" i="14" s="1"/>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AG194" i="14" s="1"/>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AG190" i="14" s="1"/>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AG186" i="14" s="1"/>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AG182" i="14" s="1"/>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AG178" i="14" s="1"/>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AG174" i="14" s="1"/>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AG170" i="14" s="1"/>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AG166" i="14" s="1"/>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AG162" i="14" s="1"/>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AG158" i="14" s="1"/>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AG154" i="14" s="1"/>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AG150" i="14" s="1"/>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AG146" i="14" s="1"/>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AG142" i="14" s="1"/>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AG138" i="14" s="1"/>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AG134" i="14" s="1"/>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AG130" i="14" s="1"/>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AG126" i="14" s="1"/>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AG122" i="14" s="1"/>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AG110" i="14" s="1"/>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AG106" i="14" s="1"/>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AG102" i="14" s="1"/>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AG98" i="14" s="1"/>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270"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I175" i="14" s="1"/>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I207" i="14" s="1"/>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I239" i="14" s="1"/>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I212" i="14" s="1"/>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6" i="14" l="1"/>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16" i="7" l="1"/>
  <c r="AE17" i="7"/>
  <c r="AH20" i="7"/>
  <c r="AC21" i="7"/>
  <c r="AE21" i="7"/>
  <c r="AC25" i="7"/>
  <c r="AE25" i="7"/>
  <c r="AE181"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D17" i="2" s="1"/>
  <c r="C19" i="3" s="1"/>
  <c r="E19" i="3" s="1"/>
  <c r="B17" i="2"/>
  <c r="C25" i="2"/>
  <c r="D25" i="2" s="1"/>
  <c r="C27" i="3" s="1"/>
  <c r="E27" i="3" s="1"/>
  <c r="B25" i="2"/>
  <c r="B27" i="3" s="1"/>
  <c r="N9" i="4"/>
  <c r="C7" i="2"/>
  <c r="D7" i="2" s="1"/>
  <c r="C9" i="3" s="1"/>
  <c r="E9" i="3" s="1"/>
  <c r="N8" i="4"/>
  <c r="B7" i="2"/>
  <c r="N7" i="4"/>
  <c r="C26" i="2"/>
  <c r="B26" i="2"/>
  <c r="B28" i="3" s="1"/>
  <c r="B21" i="4"/>
  <c r="C11" i="2"/>
  <c r="D11" i="2" s="1"/>
  <c r="C13" i="3" s="1"/>
  <c r="E13" i="3" s="1"/>
  <c r="B11" i="2"/>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B27" i="2"/>
  <c r="B29" i="3" s="1"/>
  <c r="C9" i="2"/>
  <c r="N12" i="4"/>
  <c r="B9" i="2"/>
  <c r="B11" i="3" s="1"/>
  <c r="B12" i="2"/>
  <c r="B14" i="3" s="1"/>
  <c r="Q11" i="4"/>
  <c r="Q10" i="4"/>
  <c r="C12" i="2"/>
  <c r="B24" i="2"/>
  <c r="B26" i="3" s="1"/>
  <c r="H12" i="4"/>
  <c r="C24" i="2"/>
  <c r="D24" i="2" s="1"/>
  <c r="C26" i="3" s="1"/>
  <c r="E26" i="3" s="1"/>
  <c r="AH990" i="7"/>
  <c r="AH994" i="7"/>
  <c r="AH998" i="7"/>
  <c r="K8" i="4"/>
  <c r="K7" i="4"/>
  <c r="C10" i="2"/>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H11" i="4"/>
  <c r="C22" i="2"/>
  <c r="D22" i="2" s="1"/>
  <c r="C24" i="3" s="1"/>
  <c r="E24" i="3" s="1"/>
  <c r="H10" i="4"/>
  <c r="B22" i="2"/>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B19" i="3"/>
  <c r="B15" i="3"/>
  <c r="B21" i="3"/>
  <c r="D26" i="2"/>
  <c r="C28" i="3" s="1"/>
  <c r="E28" i="3" s="1"/>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N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D4" i="11" l="1"/>
  <c r="C4" i="11"/>
  <c r="N16" i="4"/>
  <c r="N15" i="4"/>
  <c r="D8" i="11"/>
  <c r="C8" i="11"/>
  <c r="D7" i="11"/>
  <c r="C7" i="11"/>
  <c r="D6" i="11"/>
  <c r="C6" i="11"/>
  <c r="D3" i="11"/>
  <c r="C3" i="11"/>
  <c r="H16" i="4"/>
  <c r="H15" i="4"/>
  <c r="Q16" i="4"/>
  <c r="Q15" i="4"/>
  <c r="K16" i="4"/>
  <c r="K15" i="4"/>
  <c r="B25" i="4"/>
  <c r="B24" i="4"/>
  <c r="D5" i="11"/>
  <c r="C5" i="11"/>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<sst xmlns="http://schemas.openxmlformats.org/spreadsheetml/2006/main" count="2500" uniqueCount="2202">
  <si>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</si>
  <si>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</si>
  <si>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</si>
  <si>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</si>
  <si>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</si>
  <si>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</si>
  <si>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</si>
  <si>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</si>
  <si>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</si>
  <si>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</si>
  <si>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</si>
  <si>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</si>
  <si>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</si>
  <si>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</si>
  <si>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</si>
  <si>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</si>
  <si>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</si>
  <si>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</si>
  <si>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</si>
  <si>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</si>
  <si>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</si>
  <si>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</si>
  <si>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</si>
  <si>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</si>
  <si>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</si>
  <si>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</si>
  <si>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</si>
  <si>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</si>
  <si>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</si>
  <si>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</si>
  <si>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</si>
  <si>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</si>
  <si>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</si>
  <si>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</si>
  <si>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</si>
  <si>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</si>
  <si>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</si>
  <si>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</si>
  <si>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</si>
  <si>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</si>
  <si>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</si>
  <si>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</si>
  <si>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</si>
  <si>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</si>
  <si>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</si>
  <si>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</si>
  <si>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</si>
  <si>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</si>
  <si>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</si>
  <si>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</si>
  <si>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</si>
  <si>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</si>
  <si>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</si>
  <si>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</si>
  <si>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</si>
  <si>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</si>
  <si>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</si>
  <si>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</si>
  <si>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</si>
  <si>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</si>
  <si>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</si>
  <si>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</si>
  <si>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</si>
  <si>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</si>
  <si>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</si>
  <si>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</si>
  <si>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</si>
  <si>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</si>
  <si>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</si>
  <si>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</si>
  <si>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</si>
  <si>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</si>
  <si>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</si>
  <si>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</si>
  <si>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</si>
  <si>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</si>
  <si>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</si>
  <si>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</si>
  <si>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</si>
  <si>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</si>
  <si>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</si>
  <si>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</si>
  <si>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</si>
  <si>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</si>
  <si>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</si>
  <si>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</si>
  <si>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</si>
  <si>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</si>
  <si>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</si>
  <si>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</si>
  <si>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</si>
  <si>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</si>
  <si>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</si>
  <si>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</si>
  <si>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</si>
  <si>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</si>
  <si>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</si>
  <si>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</si>
  <si>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</si>
  <si>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</si>
  <si>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</si>
  <si>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</si>
  <si>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</si>
  <si>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</si>
  <si>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</si>
  <si>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</si>
  <si>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</si>
  <si>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</si>
  <si>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</si>
  <si>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</si>
  <si>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</si>
  <si>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</si>
  <si>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</si>
  <si>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</si>
  <si>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</si>
  <si>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</si>
  <si>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</si>
  <si>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</si>
  <si>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</si>
  <si>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</si>
  <si>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</si>
  <si>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</si>
  <si>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</si>
  <si>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</si>
  <si>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</si>
  <si>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</si>
  <si>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</si>
  <si>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</si>
  <si>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</si>
  <si>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</si>
  <si>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</si>
  <si>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</si>
  <si>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</si>
  <si>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</si>
  <si>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</si>
  <si>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</si>
  <si>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</si>
  <si>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</si>
  <si>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</si>
  <si>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</si>
  <si>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</si>
  <si>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</si>
  <si>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</si>
  <si>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</si>
  <si>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</si>
  <si>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</si>
  <si>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</si>
  <si>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</si>
  <si>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</si>
  <si>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</si>
  <si>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</si>
  <si>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</si>
  <si>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</si>
  <si>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</si>
  <si>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</si>
  <si>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</si>
  <si>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</si>
  <si>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</si>
  <si>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</si>
  <si>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</si>
  <si>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</si>
  <si>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</si>
  <si>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</si>
  <si>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</si>
  <si>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</si>
  <si>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</si>
  <si>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</si>
  <si>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</si>
  <si>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</si>
  <si>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</si>
  <si>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</si>
  <si>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</si>
  <si>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</si>
  <si>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</si>
  <si>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</si>
  <si>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</si>
  <si>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</si>
  <si>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</si>
  <si>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</si>
  <si>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</si>
  <si>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</si>
  <si>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</si>
  <si>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</si>
  <si>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</si>
  <si>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</si>
  <si>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</si>
  <si>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</si>
  <si>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</si>
  <si>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</si>
  <si>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</si>
  <si>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</si>
  <si>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</si>
  <si>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</si>
  <si>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</si>
  <si>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</si>
  <si>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</si>
  <si>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</si>
  <si>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</si>
  <si>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</si>
  <si>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</si>
  <si>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</si>
  <si>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</si>
  <si>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</si>
  <si>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</si>
  <si>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</si>
  <si>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</si>
  <si>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</si>
  <si>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</si>
  <si>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</si>
  <si>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</si>
  <si>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</si>
  <si>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</si>
  <si>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</si>
  <si>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</si>
  <si>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</si>
  <si>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</si>
  <si>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</si>
  <si>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</si>
  <si>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</si>
  <si>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</si>
  <si>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</si>
  <si>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</si>
  <si>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</si>
  <si>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</si>
  <si>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</si>
  <si>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</si>
  <si>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</si>
  <si>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</si>
  <si>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</si>
  <si>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</si>
  <si>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</si>
  <si>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</si>
  <si>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</si>
  <si>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</si>
  <si>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</si>
  <si>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</si>
  <si>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</si>
  <si>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</si>
  <si>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</si>
  <si>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</si>
  <si>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</si>
  <si>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</si>
  <si>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</si>
  <si>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</si>
  <si>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</si>
  <si>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</si>
  <si>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</si>
  <si>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</si>
  <si>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</si>
  <si>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</si>
  <si>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</si>
  <si>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</si>
  <si>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</si>
  <si>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</si>
  <si>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</si>
  <si>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</si>
  <si>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</si>
  <si>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</si>
  <si>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</si>
  <si>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</si>
  <si>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</si>
  <si>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</si>
  <si>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</si>
  <si>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</si>
  <si>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</si>
  <si>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</si>
  <si>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</si>
  <si>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</si>
  <si>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</si>
  <si>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</si>
  <si>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</si>
  <si>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</si>
  <si>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</si>
  <si>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</si>
  <si>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</si>
  <si>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</si>
  <si>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</si>
  <si>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</si>
  <si>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</si>
  <si>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</si>
  <si>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</si>
  <si>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</si>
  <si>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</si>
  <si>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</si>
  <si>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</si>
  <si>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</si>
  <si>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</si>
  <si>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</si>
  <si>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</si>
  <si>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</si>
  <si>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</si>
  <si>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</si>
  <si>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</si>
  <si>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</si>
  <si>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</si>
  <si>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</si>
  <si>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</si>
  <si>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</si>
  <si>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</si>
  <si>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</si>
  <si>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</si>
  <si>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</si>
  <si>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</si>
  <si>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</si>
  <si>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</si>
  <si>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</si>
  <si>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</si>
  <si>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</si>
  <si>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</si>
  <si>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</si>
  <si>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</si>
  <si>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</si>
  <si>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</si>
  <si>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</si>
  <si>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</si>
  <si>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</si>
  <si>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</si>
  <si>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</si>
  <si>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</si>
  <si>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</si>
  <si>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</si>
  <si>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</si>
  <si>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</si>
  <si>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</si>
  <si>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</si>
  <si>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</si>
  <si>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</si>
  <si>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</si>
  <si>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</si>
  <si>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</si>
  <si>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</si>
  <si>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</si>
  <si>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</si>
  <si>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</si>
  <si>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</si>
  <si>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</si>
  <si>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</si>
  <si>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</si>
  <si>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</si>
  <si>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</si>
  <si>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</si>
  <si>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</si>
  <si>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</si>
  <si>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</si>
  <si>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</si>
  <si>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</si>
  <si>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</si>
  <si>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</si>
  <si>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</si>
  <si>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</si>
  <si>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</si>
  <si>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</si>
  <si>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</si>
  <si>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</si>
  <si>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</si>
  <si>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</si>
  <si>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</si>
  <si>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</si>
  <si>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</si>
  <si>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</si>
  <si>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</si>
  <si>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</si>
  <si>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</si>
  <si>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</si>
  <si>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</si>
  <si>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</si>
  <si>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</si>
  <si>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</si>
  <si>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</si>
  <si>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</si>
  <si>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</si>
  <si>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</si>
  <si>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</si>
  <si>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</si>
  <si>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</si>
  <si>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</si>
  <si>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</si>
  <si>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</si>
  <si>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</si>
  <si>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</si>
  <si>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</si>
  <si>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</si>
  <si>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</si>
  <si>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</si>
  <si>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</si>
  <si>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</si>
  <si>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</si>
  <si>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</si>
  <si>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</si>
  <si>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</si>
  <si>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</si>
  <si>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</si>
  <si>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</si>
  <si>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</si>
  <si>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</si>
  <si>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</si>
  <si>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</si>
  <si>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</si>
  <si>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</si>
  <si>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</si>
  <si>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</si>
  <si>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</si>
  <si>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</si>
  <si>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</si>
  <si>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</si>
  <si>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</si>
  <si>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</si>
  <si>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</si>
  <si>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</si>
  <si>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</si>
  <si>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</si>
  <si>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</si>
  <si>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</si>
  <si>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</si>
  <si>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</si>
  <si>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</si>
  <si>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</si>
  <si>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</si>
  <si>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</si>
  <si>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</si>
  <si>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</si>
  <si>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</si>
  <si>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</si>
  <si>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</si>
  <si>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</si>
  <si>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</si>
  <si>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</si>
  <si>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</si>
  <si>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</si>
  <si>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</si>
  <si>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</si>
  <si>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</si>
  <si>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</si>
  <si>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</si>
  <si>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</si>
  <si>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</si>
  <si>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</si>
  <si>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</si>
  <si>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</si>
  <si>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</si>
  <si>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</si>
  <si>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</si>
  <si>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</si>
  <si>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</si>
  <si>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</si>
  <si>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</si>
  <si>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</si>
  <si>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</si>
  <si>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</si>
  <si>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</si>
  <si>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</si>
  <si>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</si>
  <si>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</si>
  <si>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</si>
  <si>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</si>
  <si>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</si>
  <si>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</si>
  <si>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</si>
  <si>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</si>
  <si>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</si>
  <si>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</si>
  <si>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</si>
  <si>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</si>
  <si>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</si>
  <si>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</si>
  <si>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</si>
  <si>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</si>
  <si>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</si>
  <si>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</si>
  <si>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</si>
  <si>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</si>
  <si>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</si>
  <si>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</si>
  <si>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</si>
  <si>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</si>
  <si>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</si>
  <si>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</si>
  <si>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</si>
  <si>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</si>
  <si>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</si>
  <si>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</si>
  <si>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</si>
  <si>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</si>
  <si>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</si>
  <si>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</si>
  <si>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</si>
  <si>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</si>
  <si>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</si>
  <si>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</si>
  <si>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</si>
  <si>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</si>
  <si>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</si>
  <si>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</si>
  <si>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</si>
  <si>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</si>
  <si>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</si>
  <si>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</si>
  <si>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</si>
  <si>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</si>
  <si>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</si>
  <si>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</si>
  <si>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</si>
  <si>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</si>
  <si>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</si>
  <si>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</si>
  <si>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</si>
  <si>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</si>
  <si>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</si>
  <si>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</si>
  <si>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</si>
  <si>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</si>
  <si>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</si>
  <si>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</si>
  <si>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</si>
  <si>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</si>
  <si>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</si>
  <si>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</si>
  <si>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</si>
  <si>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</si>
  <si>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</si>
  <si>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</si>
  <si>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</si>
  <si>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</si>
  <si>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</si>
  <si>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</si>
  <si>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</si>
  <si>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</si>
  <si>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</si>
  <si>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</si>
  <si>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</si>
  <si>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</si>
  <si>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</si>
  <si>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</si>
  <si>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</si>
  <si>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</si>
  <si>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</si>
  <si>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</si>
  <si>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</si>
  <si>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</si>
  <si>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</si>
  <si>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</si>
  <si>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</si>
  <si>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</si>
  <si>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</si>
  <si>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</si>
  <si>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</si>
  <si>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</si>
  <si>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</si>
  <si>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</si>
  <si>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</si>
  <si>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</si>
  <si>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</si>
  <si>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</si>
  <si>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</si>
  <si>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</si>
  <si>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</si>
  <si>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</si>
  <si>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</si>
  <si>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</si>
  <si>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</si>
  <si>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</si>
  <si>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</si>
  <si>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</si>
  <si>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</si>
  <si>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</si>
  <si>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</si>
  <si>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</si>
  <si>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</si>
  <si>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</si>
  <si>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</si>
  <si>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</si>
  <si>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</si>
  <si>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</si>
  <si>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</si>
  <si>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</si>
  <si>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</si>
  <si>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</si>
  <si>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</si>
  <si>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</si>
  <si>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</si>
  <si>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</si>
  <si>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</si>
  <si>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</si>
  <si>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</si>
  <si>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</si>
  <si>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</si>
  <si>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</si>
  <si>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</si>
  <si>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</si>
  <si>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</si>
  <si>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</si>
  <si>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</si>
  <si>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</si>
  <si>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</si>
  <si>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</si>
  <si>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</si>
  <si>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</si>
  <si>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</si>
  <si>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</si>
  <si>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</si>
  <si>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</si>
  <si>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</si>
  <si>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</si>
  <si>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</si>
  <si>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</si>
  <si>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</si>
  <si>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</si>
  <si>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</si>
  <si>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</si>
  <si>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</si>
  <si>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</si>
  <si>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</si>
  <si>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</si>
  <si>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</si>
  <si>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</si>
  <si>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</si>
  <si>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</si>
  <si>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</si>
  <si>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</si>
  <si>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</si>
  <si>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</si>
  <si>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</si>
  <si>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</si>
  <si>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</si>
  <si>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</si>
  <si>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</si>
  <si>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</si>
  <si>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</si>
  <si>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</si>
  <si>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</si>
  <si>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</si>
  <si>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</si>
  <si>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</si>
  <si>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</si>
  <si>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</si>
  <si>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</si>
  <si>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</si>
  <si>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</si>
  <si>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</si>
  <si>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</si>
  <si>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</si>
  <si>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</si>
  <si>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</si>
  <si>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</si>
  <si>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</si>
  <si>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</si>
  <si>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</si>
  <si>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</si>
  <si>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</si>
  <si>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</si>
  <si>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</si>
  <si>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</si>
  <si>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</si>
  <si>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</si>
  <si>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</si>
  <si>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</si>
  <si>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</si>
  <si>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</si>
  <si>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</si>
  <si>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</si>
  <si>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</si>
  <si>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</si>
  <si>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</si>
  <si>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</si>
  <si>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</si>
  <si>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</si>
  <si>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</si>
  <si>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</si>
  <si>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</si>
  <si>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</si>
  <si>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</si>
  <si>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</si>
  <si>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</si>
  <si>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</si>
  <si>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</si>
  <si>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</si>
  <si>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</si>
  <si>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</si>
  <si>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</si>
  <si>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</si>
  <si>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</si>
  <si>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</si>
  <si>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</si>
  <si>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</si>
  <si>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</si>
  <si>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</si>
  <si>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</si>
  <si>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</si>
  <si>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</si>
  <si>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</si>
  <si>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</si>
  <si>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</si>
  <si>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</si>
  <si>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</si>
  <si>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</si>
  <si>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</si>
  <si>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</si>
  <si>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</si>
  <si>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</si>
  <si>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</si>
  <si>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</si>
  <si>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</si>
  <si>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</si>
  <si>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</si>
  <si>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</si>
  <si>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</si>
  <si>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</si>
  <si>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</si>
  <si>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</si>
  <si>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</si>
  <si>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</si>
  <si>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</si>
  <si>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</si>
  <si>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</si>
  <si>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</si>
  <si>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</si>
  <si>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</si>
  <si>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</si>
  <si>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</si>
  <si>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</si>
  <si>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</si>
  <si>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</si>
  <si>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</si>
  <si>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</si>
  <si>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</si>
  <si>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</si>
  <si>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</si>
  <si>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</si>
  <si>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</si>
  <si>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</si>
  <si>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</si>
  <si>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</si>
  <si>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</si>
  <si>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</si>
  <si>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</si>
  <si>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</si>
  <si>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</si>
  <si>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</si>
  <si>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</si>
  <si>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</si>
  <si>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</si>
  <si>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</si>
  <si>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</si>
  <si>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</si>
  <si>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</si>
  <si>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</si>
  <si>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</si>
  <si>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</si>
  <si>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</si>
  <si>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</si>
  <si>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</si>
  <si>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</si>
  <si>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</si>
  <si>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</si>
  <si>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</si>
  <si>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</si>
  <si>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</si>
  <si>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</si>
  <si>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</si>
  <si>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</si>
  <si>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</si>
  <si>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</si>
  <si>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</si>
  <si>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</si>
  <si>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</si>
  <si>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</si>
  <si>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</si>
  <si>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</si>
  <si>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</si>
  <si>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</si>
  <si>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</si>
  <si>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</si>
  <si>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</si>
  <si>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</si>
  <si>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</si>
  <si>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</si>
  <si>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</si>
  <si>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</si>
  <si>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</si>
  <si>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</si>
  <si>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</si>
  <si>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</si>
  <si>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</si>
  <si>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</si>
  <si>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</si>
  <si>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</si>
  <si>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</si>
  <si>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</si>
  <si>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</si>
  <si>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</si>
  <si>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</si>
  <si>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</si>
  <si>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</si>
  <si>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</si>
  <si>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</si>
  <si>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</si>
  <si>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</si>
  <si>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</si>
  <si>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</si>
  <si>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</si>
  <si>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</si>
  <si>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</si>
  <si>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</si>
  <si>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</si>
  <si>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</si>
  <si>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</si>
  <si>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</si>
  <si>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</si>
  <si>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</si>
  <si>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</si>
  <si>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</si>
  <si>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</si>
  <si>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</si>
  <si>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</si>
  <si>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</si>
  <si>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</si>
  <si>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</si>
  <si>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</si>
  <si>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</si>
  <si>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</si>
  <si>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</si>
  <si>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</si>
  <si>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</si>
  <si>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</si>
  <si>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</si>
  <si>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</si>
  <si>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</si>
  <si>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</si>
  <si>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</si>
  <si>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</si>
  <si>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</si>
  <si>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</si>
  <si>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</si>
  <si>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</si>
  <si>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</si>
  <si>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</si>
  <si>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</si>
  <si>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</si>
  <si>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</si>
  <si>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</si>
  <si>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</si>
  <si>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</si>
  <si>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</si>
  <si>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</si>
  <si>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</si>
  <si>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</si>
  <si>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</si>
  <si>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</si>
  <si>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</si>
  <si>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</si>
  <si>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</si>
  <si>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</si>
  <si>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</si>
  <si>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</si>
  <si>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</si>
  <si>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</si>
  <si>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</si>
  <si>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</si>
  <si>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</si>
  <si>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</si>
  <si>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</si>
  <si>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</si>
  <si>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</si>
  <si>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</si>
  <si>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</si>
  <si>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</si>
  <si>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</si>
  <si>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</si>
  <si>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</si>
  <si>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</si>
  <si>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</si>
  <si>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</si>
  <si>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</si>
  <si>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</si>
  <si>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</si>
  <si>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</si>
  <si>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</si>
  <si>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</si>
  <si>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</si>
  <si>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</si>
  <si>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</si>
  <si>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</si>
  <si>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</si>
  <si>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</si>
  <si>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</si>
  <si>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</si>
  <si>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</si>
  <si>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</si>
  <si>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</si>
  <si>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</si>
  <si>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</si>
  <si>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</si>
  <si>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</si>
  <si>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</si>
  <si>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</si>
  <si>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</si>
  <si>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</si>
  <si>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</si>
  <si>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</si>
  <si>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</si>
  <si>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</si>
  <si>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</si>
  <si>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</si>
  <si>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</si>
  <si>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</si>
  <si>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</si>
  <si>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</si>
  <si>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</si>
  <si>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</si>
  <si>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</si>
  <si>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</si>
  <si>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</si>
  <si>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</si>
  <si>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</si>
  <si>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</si>
  <si>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</si>
  <si>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</si>
  <si>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</si>
  <si>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</si>
  <si>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</si>
  <si>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</si>
  <si>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</si>
  <si>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</si>
  <si>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</si>
  <si>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</si>
  <si>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</si>
  <si>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</si>
  <si>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</si>
  <si>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</si>
  <si>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</si>
  <si>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</si>
  <si>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</si>
  <si>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</si>
  <si>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</si>
  <si>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</si>
  <si>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</si>
  <si>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</si>
  <si>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</si>
  <si>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</si>
  <si>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</si>
  <si>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</si>
  <si>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</si>
  <si>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</si>
  <si>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</si>
  <si>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</si>
  <si>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</si>
  <si>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</si>
  <si>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</si>
  <si>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</si>
  <si>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</si>
  <si>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</si>
  <si>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</si>
  <si>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</si>
  <si>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</si>
  <si>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</si>
  <si>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</si>
  <si>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</si>
  <si>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</si>
  <si>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</si>
  <si>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</si>
  <si>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</si>
  <si>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</si>
  <si>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</si>
  <si>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</si>
  <si>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</si>
  <si>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</si>
  <si>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</si>
  <si>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</si>
  <si>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</si>
  <si>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</si>
  <si>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</si>
  <si>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</si>
  <si>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</si>
  <si>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</si>
  <si>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</si>
  <si>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</si>
  <si>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</si>
  <si>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</si>
  <si>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</si>
  <si>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</si>
  <si>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</si>
  <si>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</si>
  <si>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</si>
  <si>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</si>
  <si>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</si>
  <si>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</si>
  <si>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</si>
  <si>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</si>
  <si>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</si>
  <si>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</si>
  <si>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</si>
  <si>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</si>
  <si>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</si>
  <si>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</si>
  <si>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</si>
  <si>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</si>
  <si>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</si>
  <si>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</si>
  <si>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</si>
  <si>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</si>
  <si>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</si>
  <si>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</si>
  <si>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</si>
  <si>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</si>
  <si>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</si>
  <si>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</si>
  <si>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</si>
  <si>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</si>
  <si>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</si>
  <si>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</si>
  <si>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</si>
  <si>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</si>
  <si>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</si>
  <si>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</si>
  <si>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</si>
  <si>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</si>
  <si>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</si>
  <si>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</si>
  <si>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</si>
  <si>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</si>
  <si>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</si>
  <si>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</si>
  <si>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</si>
  <si>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</si>
  <si>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</si>
  <si>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</si>
  <si>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</si>
  <si>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</si>
  <si>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</si>
  <si>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</si>
  <si>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</si>
  <si>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</si>
  <si>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</si>
  <si>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</si>
  <si>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</si>
  <si>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</si>
  <si>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</si>
  <si>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</si>
  <si>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</si>
  <si>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</si>
  <si>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</si>
  <si>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</si>
  <si>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</si>
  <si>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</si>
  <si>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</si>
  <si>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</si>
  <si>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</si>
  <si>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</si>
  <si>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</si>
  <si>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</si>
  <si>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</si>
  <si>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</si>
  <si>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</si>
  <si>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</si>
  <si>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</si>
  <si>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</si>
  <si>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</si>
  <si>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</si>
  <si>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</si>
  <si>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</si>
  <si>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</si>
  <si>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</si>
  <si>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</si>
  <si>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</si>
  <si>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</si>
  <si>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</si>
  <si>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</si>
  <si>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</si>
  <si>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</si>
  <si>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</si>
  <si>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</si>
  <si>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</si>
  <si>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</si>
  <si>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</si>
  <si>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</si>
  <si>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</si>
  <si>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</si>
  <si>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</si>
  <si>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</si>
  <si>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</si>
  <si>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</si>
  <si>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</si>
  <si>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</si>
  <si>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</si>
  <si>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</si>
  <si>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</si>
  <si>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</si>
  <si>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</si>
  <si>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</si>
  <si>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</si>
  <si>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</si>
  <si>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</si>
  <si>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</si>
  <si>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</si>
  <si>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</si>
  <si>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</si>
  <si>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</si>
  <si>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</si>
  <si>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</si>
  <si>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</si>
  <si>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</si>
  <si>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</si>
  <si>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</si>
  <si>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</si>
  <si>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</si>
  <si>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</si>
  <si>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</si>
  <si>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</si>
  <si>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</si>
  <si>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</si>
  <si>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</si>
  <si>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</si>
  <si>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</si>
  <si>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</si>
  <si>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</si>
  <si>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</si>
  <si>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</si>
  <si>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</si>
  <si>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</si>
  <si>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</si>
  <si>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</si>
  <si>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</si>
  <si>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</si>
  <si>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</si>
  <si>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</si>
  <si>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</si>
  <si>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</si>
  <si>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</si>
  <si>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</si>
  <si>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</si>
  <si>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</si>
  <si>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</si>
  <si>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</si>
  <si>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</si>
  <si>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</si>
  <si>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</si>
  <si>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</si>
  <si>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</si>
  <si>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</si>
  <si>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</si>
  <si>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</si>
  <si>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</si>
  <si>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</si>
  <si>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</si>
  <si>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</si>
  <si>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</si>
  <si>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</si>
  <si>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</si>
  <si>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</si>
  <si>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</si>
  <si>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</si>
  <si>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</si>
  <si>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</si>
  <si>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</si>
  <si>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</si>
  <si>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</si>
  <si>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</si>
  <si>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</si>
  <si>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</si>
  <si>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</si>
  <si>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</si>
  <si>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</si>
  <si>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</si>
  <si>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</si>
  <si>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</si>
  <si>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</si>
  <si>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</si>
  <si>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</si>
  <si>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</si>
  <si>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</si>
  <si>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</si>
  <si>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</si>
  <si>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</si>
  <si>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</si>
  <si>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</si>
  <si>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</si>
  <si>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</si>
  <si>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</si>
  <si>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</si>
  <si>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</si>
  <si>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</si>
  <si>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</si>
  <si>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</si>
  <si>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</si>
  <si>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</si>
  <si>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</si>
  <si>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</si>
  <si>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</si>
  <si>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</si>
  <si>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</si>
  <si>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</si>
  <si>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</si>
  <si>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</si>
  <si>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</si>
  <si>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</si>
  <si>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</si>
  <si>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</si>
  <si>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</si>
  <si>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</si>
  <si>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</si>
  <si>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</si>
  <si>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</si>
  <si>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</si>
  <si>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</si>
  <si>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</si>
  <si>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</si>
  <si>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</si>
  <si>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</si>
  <si>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</si>
  <si>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</si>
  <si>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</si>
  <si>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</si>
  <si>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</si>
  <si>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</si>
  <si>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</si>
  <si>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</si>
  <si>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</si>
  <si>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</si>
  <si>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</si>
  <si>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</si>
  <si>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</si>
  <si>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</si>
  <si>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</si>
  <si>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</si>
  <si>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</si>
  <si>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</si>
  <si>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</si>
  <si>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</si>
  <si>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</si>
  <si>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</si>
  <si>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</si>
  <si>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</si>
  <si>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</si>
  <si>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</si>
  <si>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</si>
  <si>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</si>
  <si>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</si>
  <si>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</si>
  <si>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</si>
  <si>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</si>
  <si>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</si>
  <si>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</si>
  <si>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</si>
  <si>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</si>
  <si>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</si>
  <si>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</si>
  <si>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</si>
  <si>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</si>
  <si>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</si>
  <si>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</si>
  <si>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</si>
  <si>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</si>
  <si>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</si>
  <si>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</si>
  <si>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</si>
  <si>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</si>
  <si>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</si>
  <si>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</si>
  <si>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</si>
  <si>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</si>
  <si>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</si>
  <si>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</si>
  <si>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</si>
  <si>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</si>
  <si>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</si>
  <si>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</si>
  <si>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</si>
  <si>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</si>
  <si>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</si>
  <si>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</si>
  <si>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</si>
  <si>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</si>
  <si>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</si>
  <si>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</si>
  <si>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</si>
  <si>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</si>
  <si>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</si>
  <si>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</si>
  <si>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</si>
  <si>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</si>
  <si>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</si>
  <si>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</si>
  <si>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</si>
  <si>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</si>
  <si>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</si>
  <si>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</si>
  <si>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</si>
  <si>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</si>
  <si>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</si>
  <si>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</si>
  <si>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</si>
  <si>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</si>
  <si>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</si>
  <si>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</si>
  <si>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</si>
  <si>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</si>
  <si>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</si>
  <si>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</si>
  <si>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</si>
  <si>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</si>
  <si>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</si>
  <si>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</si>
  <si>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</si>
  <si>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</si>
  <si>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</si>
  <si>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</si>
  <si>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</si>
  <si>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</si>
  <si>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</si>
  <si>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</si>
  <si>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</si>
  <si>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</si>
  <si>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</si>
  <si>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</si>
  <si>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</si>
  <si>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</si>
  <si>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</si>
  <si>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</si>
  <si>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</si>
  <si>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</si>
  <si>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</si>
  <si>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</si>
  <si>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</si>
  <si>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</si>
  <si>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</si>
  <si>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</si>
  <si>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</si>
  <si>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</si>
  <si>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</si>
  <si>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</si>
  <si>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</si>
  <si>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</si>
  <si>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</si>
  <si>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</si>
  <si>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</si>
  <si>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</si>
  <si>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</si>
  <si>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</si>
  <si>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</si>
  <si>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</si>
  <si>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</si>
  <si>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</si>
  <si>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</si>
  <si>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</si>
  <si>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</si>
  <si>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</si>
  <si>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</si>
  <si>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</si>
  <si>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</si>
  <si>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</si>
  <si>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</si>
  <si>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</si>
  <si>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</si>
  <si>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</si>
  <si>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</si>
  <si>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</si>
  <si>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</si>
  <si>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</si>
  <si>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</si>
  <si>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</si>
  <si>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</si>
  <si>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</si>
  <si>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</si>
  <si>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</si>
  <si>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</si>
  <si>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</si>
  <si>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</si>
  <si>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</si>
  <si>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</si>
  <si>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</si>
  <si>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</si>
  <si>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</si>
  <si>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</si>
  <si>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</si>
  <si>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</si>
  <si>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</si>
  <si>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</si>
  <si>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</si>
  <si>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</si>
  <si>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</si>
  <si>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</si>
  <si>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</si>
  <si>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</si>
  <si>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</si>
  <si>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</si>
  <si>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</si>
  <si>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</si>
  <si>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</si>
  <si>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</si>
  <si>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</si>
  <si>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</si>
  <si>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</si>
  <si>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</si>
  <si>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</si>
  <si>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</si>
  <si>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</si>
  <si>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</si>
  <si>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</si>
  <si>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</si>
  <si>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</si>
  <si>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</si>
  <si>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</si>
  <si>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</si>
  <si>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</si>
  <si>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</si>
  <si>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</si>
  <si>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</si>
  <si>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</si>
  <si>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</si>
  <si>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</si>
  <si>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</si>
  <si>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</si>
  <si>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</si>
  <si>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</si>
  <si>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</si>
  <si>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</si>
  <si>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</si>
  <si>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</si>
  <si>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</si>
  <si>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</si>
  <si>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</si>
  <si>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</si>
  <si>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</si>
  <si>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</si>
  <si>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</si>
  <si>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</si>
  <si>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</si>
  <si>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</si>
  <si>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</si>
  <si>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</si>
  <si>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</si>
  <si>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</si>
  <si>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</si>
  <si>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</si>
  <si>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</si>
  <si>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</si>
  <si>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</si>
  <si>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</si>
  <si>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</si>
  <si>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</si>
  <si>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</si>
  <si>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</si>
  <si>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</si>
  <si>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</si>
  <si>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</si>
  <si>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</si>
  <si>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</si>
  <si>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</si>
  <si>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</si>
  <si>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</si>
  <si>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</si>
  <si>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</si>
  <si>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</si>
  <si>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</si>
  <si>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</si>
  <si>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</si>
  <si>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</si>
  <si>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</si>
  <si>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</si>
  <si>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</si>
  <si>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</si>
  <si>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</si>
  <si>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</si>
  <si>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</si>
  <si>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</si>
  <si>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</si>
  <si>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</si>
  <si>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</si>
  <si>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</si>
  <si>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</si>
  <si>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</si>
  <si>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</si>
  <si>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</si>
  <si>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</si>
  <si>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</si>
  <si>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</si>
  <si>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</si>
  <si>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</si>
  <si>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</si>
  <si>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</si>
  <si>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</si>
  <si>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</si>
  <si>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</si>
  <si>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</si>
  <si>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</si>
  <si>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</si>
  <si>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</si>
  <si>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</si>
  <si>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</si>
  <si>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</si>
  <si>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</si>
  <si>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</si>
  <si>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</si>
  <si>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</si>
  <si>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</si>
  <si>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</si>
  <si>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</si>
  <si>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</si>
  <si>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</si>
  <si>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</si>
  <si>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</si>
  <si>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</si>
  <si>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</si>
  <si>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</si>
  <si>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</si>
  <si>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</si>
  <si>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</si>
  <si>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</si>
  <si>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</si>
  <si>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</si>
  <si>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</si>
  <si>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</si>
  <si>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</si>
  <si>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</si>
  <si>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</si>
  <si>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</si>
  <si>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</si>
  <si>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</si>
  <si>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</si>
  <si>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</si>
  <si>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</si>
  <si>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</si>
  <si>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</si>
  <si>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</si>
  <si>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</si>
  <si>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</si>
  <si>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</si>
  <si>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</si>
  <si>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</si>
  <si>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</si>
  <si>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</si>
  <si>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</si>
  <si>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</si>
  <si>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</si>
  <si>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</si>
  <si>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</si>
  <si>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t xml:space="preserve">Benchmark
</t>
    </r>
    <r>
      <rPr>
        <sz val="11"/>
        <color theme="1"/>
        <rFont val="Calibri"/>
        <family val="2"/>
        <scheme val="minor"/>
      </rPr>
      <t xml:space="preserve">The measured scale means are set in relation to existing values from a benchmark data set. This data set contains data from 20190 persons from 452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</si>
  <si>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</si>
  <si>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</si>
  <si>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</si>
  <si>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</si>
  <si>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</si>
  <si>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</si>
  <si>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</si>
  <si>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</si>
  <si>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</si>
  <si>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</si>
  <si>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</si>
  <si>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</si>
  <si>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</si>
  <si>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</si>
  <si>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</si>
  <si>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</si>
  <si>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</si>
  <si>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</si>
  <si>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</si>
  <si>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</si>
  <si>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</si>
  <si>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</si>
  <si>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</si>
  <si>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</si>
  <si>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</si>
  <si>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</si>
  <si>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</si>
  <si>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</si>
  <si>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</si>
  <si>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</si>
  <si>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</si>
  <si>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</si>
  <si>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</si>
  <si>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</si>
  <si>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</si>
  <si>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</si>
  <si>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</si>
  <si>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</si>
  <si>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</si>
  <si>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</si>
  <si>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</si>
  <si>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</si>
  <si>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</si>
  <si>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</si>
  <si>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</si>
  <si>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</si>
  <si>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</si>
  <si>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</si>
  <si>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</si>
  <si>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</si>
  <si>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</si>
  <si>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</si>
  <si>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</si>
  <si>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</si>
  <si>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</si>
  <si>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</si>
  <si>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</si>
  <si>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</si>
  <si>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</si>
  <si>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</si>
  <si>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</si>
  <si>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</si>
  <si>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</si>
  <si>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</si>
  <si>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</si>
  <si>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</si>
  <si>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</si>
  <si>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</si>
  <si>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</si>
  <si>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</si>
  <si>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</si>
  <si>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</si>
  <si>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</si>
  <si>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</si>
  <si>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</si>
  <si>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</si>
  <si>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</si>
  <si>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</si>
  <si>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</si>
  <si>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</si>
  <si>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</si>
  <si>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</si>
  <si>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</si>
  <si>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</si>
  <si>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</si>
  <si>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</si>
  <si>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</si>
  <si>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</si>
  <si>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</si>
  <si>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</si>
  <si>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</si>
  <si>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</si>
  <si>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</si>
  <si>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</si>
  <si>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</si>
  <si>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</si>
  <si>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</si>
  <si>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</si>
  <si>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</si>
  <si>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</si>
  <si>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</si>
  <si>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</si>
  <si>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</si>
  <si>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</si>
  <si>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</si>
  <si>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</si>
  <si>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</si>
  <si>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</si>
  <si>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</si>
  <si>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</si>
  <si>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</si>
  <si>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</si>
  <si>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</si>
  <si>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</si>
  <si>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</si>
  <si>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</si>
  <si>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</si>
  <si>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</si>
  <si>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</si>
  <si>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</si>
  <si>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</si>
  <si>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</si>
  <si>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</si>
  <si>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</si>
  <si>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</si>
  <si>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</si>
  <si>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</si>
  <si>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</si>
  <si>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</si>
  <si>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</si>
  <si>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</si>
  <si>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</si>
  <si>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</si>
  <si>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</si>
  <si>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</si>
  <si>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</si>
  <si>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</si>
  <si>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</si>
  <si>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</si>
  <si>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</si>
  <si>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</si>
  <si>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</si>
  <si>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</si>
  <si>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</si>
  <si>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</si>
  <si>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</si>
  <si>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</si>
  <si>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</si>
  <si>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</si>
  <si>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</si>
  <si>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</si>
  <si>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</si>
  <si>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</si>
  <si>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</si>
  <si>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</si>
  <si>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</si>
  <si>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</si>
  <si>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</si>
  <si>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</si>
  <si>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</si>
  <si>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</si>
  <si>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</si>
  <si>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</si>
  <si>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</si>
  <si>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</si>
  <si>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</si>
  <si>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</si>
  <si>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</si>
  <si>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</si>
  <si>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</si>
  <si>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</si>
  <si>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</si>
  <si>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</si>
  <si>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</si>
  <si>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</si>
  <si>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</si>
  <si>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</si>
  <si>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</si>
  <si>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</si>
  <si>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</si>
  <si>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</si>
  <si>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</si>
  <si>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</si>
  <si>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</si>
  <si>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</si>
  <si>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</si>
  <si>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</si>
  <si>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</si>
  <si>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</si>
  <si>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</si>
  <si>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</si>
  <si>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</si>
  <si>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</si>
  <si>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</si>
  <si>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</si>
  <si>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</si>
  <si>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</si>
  <si>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</si>
  <si>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</si>
  <si>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</si>
  <si>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</si>
  <si>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</si>
  <si>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</si>
  <si>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</si>
  <si>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</si>
  <si>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</si>
  <si>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</si>
  <si>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</si>
  <si>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</si>
  <si>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</si>
  <si>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</si>
  <si>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</si>
  <si>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</si>
  <si>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</si>
  <si>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</si>
  <si>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</si>
  <si>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</si>
  <si>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</si>
  <si>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</si>
  <si>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</si>
  <si>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</si>
  <si>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</si>
  <si>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</si>
  <si>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</si>
  <si>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</si>
  <si>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</si>
  <si>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</si>
  <si>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</si>
  <si>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</si>
  <si>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</si>
  <si>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</si>
  <si>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</si>
  <si>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</si>
  <si>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</si>
  <si>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</si>
  <si>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</si>
  <si>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</si>
  <si>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</si>
  <si>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</si>
  <si>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</si>
  <si>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</si>
  <si>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</si>
  <si>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</si>
  <si>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</si>
  <si>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</si>
  <si>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</si>
  <si>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</si>
  <si>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</si>
  <si>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</si>
  <si>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</si>
  <si>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</si>
  <si>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</si>
  <si>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</si>
  <si>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</si>
  <si>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</si>
  <si>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</si>
  <si>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</si>
  <si>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</si>
  <si>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</si>
  <si>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</si>
  <si>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</si>
  <si>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</si>
  <si>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</si>
  <si>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</si>
  <si>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</si>
  <si>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</si>
  <si>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</si>
  <si>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</si>
  <si>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</si>
  <si>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</si>
  <si>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</si>
  <si>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</si>
  <si>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</si>
  <si>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</si>
  <si>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</si>
  <si>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</si>
  <si>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</si>
  <si>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</si>
  <si>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</si>
  <si>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</si>
  <si>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</si>
  <si>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</si>
  <si>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</si>
  <si>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</si>
  <si>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</si>
  <si>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</si>
  <si>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</si>
  <si>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</si>
  <si>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</si>
  <si>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</si>
  <si>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</si>
  <si>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</si>
  <si>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</si>
  <si>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</si>
  <si>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</si>
  <si>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</si>
  <si>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</si>
  <si>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</si>
  <si>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</si>
  <si>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</si>
  <si>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</si>
  <si>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</si>
  <si>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</si>
  <si>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</si>
  <si>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</si>
  <si>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</si>
  <si>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</si>
  <si>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</si>
  <si>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</si>
  <si>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</si>
  <si>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</si>
  <si>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</si>
  <si>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</si>
  <si>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</si>
  <si>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</si>
  <si>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</si>
  <si>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</si>
  <si>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</si>
  <si>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</si>
  <si>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</si>
  <si>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</si>
  <si>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</si>
  <si>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</si>
  <si>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</si>
  <si>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</si>
  <si>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</si>
  <si>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</si>
  <si>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</si>
  <si>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</si>
  <si>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</si>
  <si>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</si>
  <si>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</si>
  <si>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</si>
  <si>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</si>
  <si>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</si>
  <si>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</si>
  <si>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</si>
  <si>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</si>
  <si>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</si>
  <si>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</si>
  <si>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</si>
  <si>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إبداعية</t>
  </si>
  <si>
    <t>مبتذلة</t>
  </si>
  <si>
    <t>سهل التعلُّم</t>
  </si>
  <si>
    <t>صعب التعلُّم</t>
  </si>
  <si>
    <t>قيِّم</t>
  </si>
  <si>
    <t>متدني</t>
  </si>
  <si>
    <t>ممل</t>
  </si>
  <si>
    <t>مثير</t>
  </si>
  <si>
    <t>غير مثير للاهتمام</t>
  </si>
  <si>
    <t>مثير للاهتمام</t>
  </si>
  <si>
    <t>غير متوقعة</t>
  </si>
  <si>
    <t>متوقعة</t>
  </si>
  <si>
    <t>سريع</t>
  </si>
  <si>
    <t>بطيء</t>
  </si>
  <si>
    <t>مستحدثة</t>
  </si>
  <si>
    <t>تقليدية</t>
  </si>
  <si>
    <t>عائقة</t>
  </si>
  <si>
    <t>داعمة</t>
  </si>
  <si>
    <t>جيد</t>
  </si>
  <si>
    <t>سيء</t>
  </si>
  <si>
    <t>معقَّد</t>
  </si>
  <si>
    <t>سهل</t>
  </si>
  <si>
    <t> غير جذابة</t>
  </si>
  <si>
    <t>جذابه </t>
  </si>
  <si>
    <t>اعتيادية</t>
  </si>
  <si>
    <t>استشرافية</t>
  </si>
  <si>
    <t>غير مريح</t>
  </si>
  <si>
    <t>مريح</t>
  </si>
  <si>
    <t>مضمونة</t>
  </si>
  <si>
    <t>غير مضمونة</t>
  </si>
  <si>
    <t>مشجِّع</t>
  </si>
  <si>
    <t>غير مُشجِّع</t>
  </si>
  <si>
    <t>لا تفي بالتوقعات</t>
  </si>
  <si>
    <t>غير فعَّال</t>
  </si>
  <si>
    <t>فعَّال</t>
  </si>
  <si>
    <t>مُربك</t>
  </si>
  <si>
    <t>غير عملي</t>
  </si>
  <si>
    <t>عملي</t>
  </si>
  <si>
    <t>منظَّم</t>
  </si>
  <si>
    <t>مبعثر</t>
  </si>
  <si>
    <t> جذَّاب</t>
  </si>
  <si>
    <t>غير جذَّاب </t>
  </si>
  <si>
    <t>ودود</t>
  </si>
  <si>
    <t>غير ودود</t>
  </si>
  <si>
    <t>محافظة</t>
  </si>
  <si>
    <t>ابتكارية</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</si>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</sst>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2"/>
      <color rgb="FF9C0006"/>
      <name val="Calibri"/>
      <family val="2"/>
      <scheme val="minor"/>
    </font>
    <font>
      <sz val="11"/>
      <color rgb="FF000000"/>
      <name val="Calibri"/>
      <family val="2"/>
      <scheme val="minor"/>
    </font>
  </fonts>
  <fills count="12">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
      <patternFill patternType="solid">
        <fgColor rgb="FFFFC7CE"/>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2">
    <xf numFmtId="0" fontId="0" fillId="0" borderId="0"/>
    <xf numFmtId="0" fontId="29" fillId="11" borderId="0" applyNumberFormat="0" applyBorder="0" applyAlignment="0" applyProtection="0"/>
  </cellStyleXfs>
  <cellXfs count="188">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29" fillId="11" borderId="10" xfId="1" applyBorder="1"/>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9" xfId="0" applyFont="1" applyBorder="1" applyAlignment="1">
      <alignment horizontal="center" wrapText="1"/>
    </xf>
    <xf numFmtId="0" fontId="26" fillId="0" borderId="10"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2">
    <cellStyle name="Bad" xfId="1" builtinId="27"/>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B56B44"/>
      <color rgb="FFC94C18"/>
      <color rgb="FFA90000"/>
      <color rgb="FFC66F06"/>
      <color rgb="FFC38438"/>
      <color rgb="FFBCAF1E"/>
      <color rgb="FF84BB48"/>
      <color rgb="FFD3A179"/>
      <color rgb="FF387E04"/>
      <color rgb="FFFF34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0.45</c:v>
                </c:pt>
                <c:pt idx="1">
                  <c:v>1.9</c:v>
                </c:pt>
                <c:pt idx="2">
                  <c:v>-0.2</c:v>
                </c:pt>
                <c:pt idx="3">
                  <c:v>2.5</c:v>
                </c:pt>
                <c:pt idx="4">
                  <c:v>0.65</c:v>
                </c:pt>
                <c:pt idx="5">
                  <c:v>-0.65</c:v>
                </c:pt>
                <c:pt idx="6">
                  <c:v>0.7</c:v>
                </c:pt>
                <c:pt idx="7">
                  <c:v>1.45</c:v>
                </c:pt>
                <c:pt idx="8">
                  <c:v>1.05</c:v>
                </c:pt>
                <c:pt idx="9">
                  <c:v>1.35</c:v>
                </c:pt>
                <c:pt idx="10">
                  <c:v>0.4</c:v>
                </c:pt>
                <c:pt idx="11">
                  <c:v>1.25</c:v>
                </c:pt>
                <c:pt idx="12">
                  <c:v>2.2999999999999998</c:v>
                </c:pt>
                <c:pt idx="13">
                  <c:v>0.9</c:v>
                </c:pt>
                <c:pt idx="14">
                  <c:v>0.4</c:v>
                </c:pt>
                <c:pt idx="15">
                  <c:v>1.2</c:v>
                </c:pt>
                <c:pt idx="16">
                  <c:v>0.55000000000000004</c:v>
                </c:pt>
                <c:pt idx="17">
                  <c:v>0.8</c:v>
                </c:pt>
                <c:pt idx="18">
                  <c:v>0.55000000000000004</c:v>
                </c:pt>
                <c:pt idx="19">
                  <c:v>0.25</c:v>
                </c:pt>
                <c:pt idx="20">
                  <c:v>1.65</c:v>
                </c:pt>
                <c:pt idx="21">
                  <c:v>1</c:v>
                </c:pt>
                <c:pt idx="22">
                  <c:v>1.6</c:v>
                </c:pt>
                <c:pt idx="23">
                  <c:v>0.85</c:v>
                </c:pt>
                <c:pt idx="24">
                  <c:v>1.9</c:v>
                </c:pt>
                <c:pt idx="25">
                  <c:v>1.3</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0099726024589462E-2"/>
          <c:y val="5.4327388431494018E-2"/>
          <c:w val="0.93566898190950987"/>
          <c:h val="0.82967469939147287"/>
        </c:manualLayout>
      </c:layout>
      <c:barChart>
        <c:barDir val="col"/>
        <c:grouping val="clustered"/>
        <c:varyColors val="0"/>
        <c:ser>
          <c:idx val="0"/>
          <c:order val="0"/>
          <c:spPr>
            <a:solidFill>
              <a:schemeClr val="bg1">
                <a:lumMod val="75000"/>
              </a:schemeClr>
            </a:solidFill>
            <a:ln>
              <a:solidFill>
                <a:schemeClr val="bg1"/>
              </a:solidFill>
            </a:ln>
            <a:effectLst/>
          </c:spPr>
          <c:invertIfNegative val="0"/>
          <c:errBars>
            <c:errBarType val="both"/>
            <c:errValType val="cust"/>
            <c:noEndCap val="0"/>
            <c:plus>
              <c:numRef>
                <c:f>Confidence_Intervals!$M$5:$M$10</c:f>
                <c:numCache>
                  <c:formatCode>General</c:formatCode>
                  <c:ptCount val="6"/>
                  <c:pt idx="0">
                    <c:v>0.44492232678848276</c:v>
                  </c:pt>
                  <c:pt idx="1">
                    <c:v>0.32826317313061487</c:v>
                  </c:pt>
                  <c:pt idx="2">
                    <c:v>0.33891691207408658</c:v>
                  </c:pt>
                  <c:pt idx="3">
                    <c:v>0.36680489576482167</c:v>
                  </c:pt>
                  <c:pt idx="4">
                    <c:v>0.35813298319404341</c:v>
                  </c:pt>
                  <c:pt idx="5">
                    <c:v>0.38495859449123299</c:v>
                  </c:pt>
                </c:numCache>
              </c:numRef>
            </c:plus>
            <c:minus>
              <c:numRef>
                <c:f>Confidence_Intervals!$M$5:$M$10</c:f>
                <c:numCache>
                  <c:formatCode>General</c:formatCode>
                  <c:ptCount val="6"/>
                  <c:pt idx="0">
                    <c:v>0.44492232678848276</c:v>
                  </c:pt>
                  <c:pt idx="1">
                    <c:v>0.32826317313061487</c:v>
                  </c:pt>
                  <c:pt idx="2">
                    <c:v>0.33891691207408658</c:v>
                  </c:pt>
                  <c:pt idx="3">
                    <c:v>0.36680489576482167</c:v>
                  </c:pt>
                  <c:pt idx="4">
                    <c:v>0.35813298319404341</c:v>
                  </c:pt>
                  <c:pt idx="5">
                    <c:v>0.38495859449123299</c:v>
                  </c:pt>
                </c:numCache>
              </c:numRef>
            </c:minus>
            <c:spPr>
              <a:noFill/>
              <a:ln w="12700" cap="flat" cmpd="sng" algn="ctr">
                <a:solidFill>
                  <a:schemeClr val="tx1">
                    <a:lumMod val="65000"/>
                    <a:lumOff val="35000"/>
                  </a:schemeClr>
                </a:solidFill>
                <a:round/>
              </a:ln>
              <a:effectLst/>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1.0916666666666663</c:v>
                </c:pt>
                <c:pt idx="1">
                  <c:v>2.0874999999999999</c:v>
                </c:pt>
                <c:pt idx="2">
                  <c:v>0.97499999999999998</c:v>
                </c:pt>
                <c:pt idx="3">
                  <c:v>0.73750000000000004</c:v>
                </c:pt>
                <c:pt idx="4">
                  <c:v>0.375</c:v>
                </c:pt>
                <c:pt idx="5">
                  <c:v>0.71250000000000002</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overlap val="100"/>
        <c:axId val="405715080"/>
        <c:axId val="405716648"/>
      </c:barChart>
      <c:catAx>
        <c:axId val="405715080"/>
        <c:scaling>
          <c:orientation val="minMax"/>
        </c:scaling>
        <c:delete val="0"/>
        <c:axPos val="b"/>
        <c:numFmt formatCode="General" sourceLinked="0"/>
        <c:majorTickMark val="none"/>
        <c:minorTickMark val="none"/>
        <c:tickLblPos val="low"/>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500" b="0" i="0" u="none" strike="noStrike" kern="1200" baseline="0">
                <a:solidFill>
                  <a:schemeClr val="tx1"/>
                </a:solidFill>
                <a:latin typeface="+mn-lt"/>
                <a:ea typeface="+mn-ea"/>
                <a:cs typeface="+mn-cs"/>
              </a:defRPr>
            </a:pPr>
            <a:endParaRPr lang="en-US"/>
          </a:p>
        </c:txPr>
        <c:crossAx val="405716648"/>
        <c:crosses val="autoZero"/>
        <c:auto val="0"/>
        <c:lblAlgn val="ctr"/>
        <c:lblOffset val="100"/>
        <c:noMultiLvlLbl val="0"/>
      </c:catAx>
      <c:valAx>
        <c:axId val="405716648"/>
        <c:scaling>
          <c:orientation val="minMax"/>
          <c:max val="3"/>
          <c:min val="-3"/>
        </c:scaling>
        <c:delete val="0"/>
        <c:axPos val="l"/>
        <c:majorGridlines>
          <c:spPr>
            <a:ln w="9525" cap="flat" cmpd="sng" algn="ctr">
              <a:solidFill>
                <a:schemeClr val="bg1">
                  <a:lumMod val="6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40571508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1.0916666666666663</c:v>
                </c:pt>
                <c:pt idx="1">
                  <c:v>2.0874999999999999</c:v>
                </c:pt>
                <c:pt idx="2">
                  <c:v>0.97499999999999998</c:v>
                </c:pt>
                <c:pt idx="3">
                  <c:v>0.73750000000000004</c:v>
                </c:pt>
                <c:pt idx="4">
                  <c:v>0.375</c:v>
                </c:pt>
                <c:pt idx="5">
                  <c:v>0.71250000000000002</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spPr>
          <a:solidFill>
            <a:schemeClr val="bg1">
              <a:lumMod val="75000"/>
            </a:schemeClr>
          </a:solidFill>
          <a:ln>
            <a:solidFill>
              <a:schemeClr val="bg1">
                <a:lumMod val="65000"/>
              </a:schemeClr>
            </a:solidFill>
          </a:ln>
        </c:spPr>
        <c:txPr>
          <a:bodyPr rot="0" vert="horz"/>
          <a:lstStyle/>
          <a:p>
            <a:pPr>
              <a:defRPr sz="1500" baseline="0"/>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bg1">
                  <a:lumMod val="65000"/>
                </a:schemeClr>
              </a:solidFill>
            </a:ln>
          </c:spPr>
        </c:majorGridlines>
        <c:numFmt formatCode="0" sourceLinked="0"/>
        <c:majorTickMark val="out"/>
        <c:minorTickMark val="none"/>
        <c:tickLblPos val="nextTo"/>
        <c:txPr>
          <a:bodyPr/>
          <a:lstStyle/>
          <a:p>
            <a:pPr>
              <a:defRPr sz="1600" baseline="0"/>
            </a:pPr>
            <a:endParaRPr lang="en-US"/>
          </a:p>
        </c:txPr>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spPr>
    <a:ln>
      <a:noFill/>
    </a:ln>
  </c:spPr>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1.0916666666666663</c:v>
                </c:pt>
                <c:pt idx="1">
                  <c:v>1.2666666666666666</c:v>
                </c:pt>
                <c:pt idx="2">
                  <c:v>0.54374999999999996</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873289324890351"/>
          <c:y val="7.5409880603683088E-2"/>
          <c:w val="0.58236403339952358"/>
          <c:h val="0.81928865902772385"/>
        </c:manualLayout>
      </c:layout>
      <c:barChart>
        <c:barDir val="bar"/>
        <c:grouping val="percentStacked"/>
        <c:varyColors val="0"/>
        <c:ser>
          <c:idx val="0"/>
          <c:order val="0"/>
          <c:tx>
            <c:v>1</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1</c:v>
                </c:pt>
                <c:pt idx="3">
                  <c:v>0</c:v>
                </c:pt>
                <c:pt idx="4">
                  <c:v>0</c:v>
                </c:pt>
                <c:pt idx="5">
                  <c:v>0</c:v>
                </c:pt>
                <c:pt idx="6">
                  <c:v>0</c:v>
                </c:pt>
                <c:pt idx="7">
                  <c:v>0</c:v>
                </c:pt>
                <c:pt idx="8">
                  <c:v>0</c:v>
                </c:pt>
                <c:pt idx="9">
                  <c:v>0</c:v>
                </c:pt>
                <c:pt idx="10">
                  <c:v>1</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A9000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4</c:v>
                </c:pt>
                <c:pt idx="1">
                  <c:v>0</c:v>
                </c:pt>
                <c:pt idx="2">
                  <c:v>5</c:v>
                </c:pt>
                <c:pt idx="3">
                  <c:v>0</c:v>
                </c:pt>
                <c:pt idx="4">
                  <c:v>1</c:v>
                </c:pt>
                <c:pt idx="5">
                  <c:v>3</c:v>
                </c:pt>
                <c:pt idx="6">
                  <c:v>0</c:v>
                </c:pt>
                <c:pt idx="7">
                  <c:v>0</c:v>
                </c:pt>
                <c:pt idx="8">
                  <c:v>0</c:v>
                </c:pt>
                <c:pt idx="9">
                  <c:v>1</c:v>
                </c:pt>
                <c:pt idx="10">
                  <c:v>1</c:v>
                </c:pt>
                <c:pt idx="11">
                  <c:v>0</c:v>
                </c:pt>
                <c:pt idx="12">
                  <c:v>0</c:v>
                </c:pt>
                <c:pt idx="13">
                  <c:v>1</c:v>
                </c:pt>
                <c:pt idx="14">
                  <c:v>1</c:v>
                </c:pt>
                <c:pt idx="15">
                  <c:v>0</c:v>
                </c:pt>
                <c:pt idx="16">
                  <c:v>0</c:v>
                </c:pt>
                <c:pt idx="17">
                  <c:v>1</c:v>
                </c:pt>
                <c:pt idx="18">
                  <c:v>3</c:v>
                </c:pt>
                <c:pt idx="19">
                  <c:v>0</c:v>
                </c:pt>
                <c:pt idx="20">
                  <c:v>0</c:v>
                </c:pt>
                <c:pt idx="21">
                  <c:v>0</c:v>
                </c:pt>
                <c:pt idx="22">
                  <c:v>0</c:v>
                </c:pt>
                <c:pt idx="23">
                  <c:v>1</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chemeClr val="accent6">
                <a:lumMod val="75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1</c:v>
                </c:pt>
                <c:pt idx="1">
                  <c:v>0</c:v>
                </c:pt>
                <c:pt idx="2">
                  <c:v>2</c:v>
                </c:pt>
                <c:pt idx="3">
                  <c:v>1</c:v>
                </c:pt>
                <c:pt idx="4">
                  <c:v>2</c:v>
                </c:pt>
                <c:pt idx="5">
                  <c:v>10</c:v>
                </c:pt>
                <c:pt idx="6">
                  <c:v>3</c:v>
                </c:pt>
                <c:pt idx="7">
                  <c:v>1</c:v>
                </c:pt>
                <c:pt idx="8">
                  <c:v>3</c:v>
                </c:pt>
                <c:pt idx="9">
                  <c:v>1</c:v>
                </c:pt>
                <c:pt idx="10">
                  <c:v>0</c:v>
                </c:pt>
                <c:pt idx="11">
                  <c:v>1</c:v>
                </c:pt>
                <c:pt idx="12">
                  <c:v>0</c:v>
                </c:pt>
                <c:pt idx="13">
                  <c:v>4</c:v>
                </c:pt>
                <c:pt idx="14">
                  <c:v>3</c:v>
                </c:pt>
                <c:pt idx="15">
                  <c:v>2</c:v>
                </c:pt>
                <c:pt idx="16">
                  <c:v>3</c:v>
                </c:pt>
                <c:pt idx="17">
                  <c:v>3</c:v>
                </c:pt>
                <c:pt idx="18">
                  <c:v>4</c:v>
                </c:pt>
                <c:pt idx="19">
                  <c:v>7</c:v>
                </c:pt>
                <c:pt idx="20">
                  <c:v>2</c:v>
                </c:pt>
                <c:pt idx="21">
                  <c:v>4</c:v>
                </c:pt>
                <c:pt idx="22">
                  <c:v>1</c:v>
                </c:pt>
                <c:pt idx="23">
                  <c:v>2</c:v>
                </c:pt>
                <c:pt idx="24">
                  <c:v>0</c:v>
                </c:pt>
                <c:pt idx="25">
                  <c:v>1</c:v>
                </c:pt>
              </c:numCache>
            </c:numRef>
          </c:val>
          <c:extLst>
            <c:ext xmlns:c16="http://schemas.microsoft.com/office/drawing/2014/chart" uri="{C3380CC4-5D6E-409C-BE32-E72D297353CC}">
              <c16:uniqueId val="{00000002-65AA-479C-BEC1-6B3694D9776F}"/>
            </c:ext>
          </c:extLst>
        </c:ser>
        <c:ser>
          <c:idx val="3"/>
          <c:order val="3"/>
          <c:tx>
            <c:v>4</c:v>
          </c:tx>
          <c:spPr>
            <a:solidFill>
              <a:srgbClr val="C38438"/>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2</c:v>
                </c:pt>
                <c:pt idx="1">
                  <c:v>2</c:v>
                </c:pt>
                <c:pt idx="2">
                  <c:v>5</c:v>
                </c:pt>
                <c:pt idx="3">
                  <c:v>0</c:v>
                </c:pt>
                <c:pt idx="4">
                  <c:v>6</c:v>
                </c:pt>
                <c:pt idx="5">
                  <c:v>4</c:v>
                </c:pt>
                <c:pt idx="6">
                  <c:v>3</c:v>
                </c:pt>
                <c:pt idx="7">
                  <c:v>5</c:v>
                </c:pt>
                <c:pt idx="8">
                  <c:v>3</c:v>
                </c:pt>
                <c:pt idx="9">
                  <c:v>3</c:v>
                </c:pt>
                <c:pt idx="10">
                  <c:v>9</c:v>
                </c:pt>
                <c:pt idx="11">
                  <c:v>3</c:v>
                </c:pt>
                <c:pt idx="12">
                  <c:v>0</c:v>
                </c:pt>
                <c:pt idx="13">
                  <c:v>1</c:v>
                </c:pt>
                <c:pt idx="14">
                  <c:v>7</c:v>
                </c:pt>
                <c:pt idx="15">
                  <c:v>4</c:v>
                </c:pt>
                <c:pt idx="16">
                  <c:v>7</c:v>
                </c:pt>
                <c:pt idx="17">
                  <c:v>3</c:v>
                </c:pt>
                <c:pt idx="18">
                  <c:v>1</c:v>
                </c:pt>
                <c:pt idx="19">
                  <c:v>6</c:v>
                </c:pt>
                <c:pt idx="20">
                  <c:v>1</c:v>
                </c:pt>
                <c:pt idx="21">
                  <c:v>3</c:v>
                </c:pt>
                <c:pt idx="22">
                  <c:v>3</c:v>
                </c:pt>
                <c:pt idx="23">
                  <c:v>4</c:v>
                </c:pt>
                <c:pt idx="24">
                  <c:v>2</c:v>
                </c:pt>
                <c:pt idx="25">
                  <c:v>3</c:v>
                </c:pt>
              </c:numCache>
            </c:numRef>
          </c:val>
          <c:extLst>
            <c:ext xmlns:c16="http://schemas.microsoft.com/office/drawing/2014/chart" uri="{C3380CC4-5D6E-409C-BE32-E72D297353CC}">
              <c16:uniqueId val="{00000003-65AA-479C-BEC1-6B3694D9776F}"/>
            </c:ext>
          </c:extLst>
        </c:ser>
        <c:ser>
          <c:idx val="4"/>
          <c:order val="4"/>
          <c:tx>
            <c:v>5</c:v>
          </c:tx>
          <c:spPr>
            <a:solidFill>
              <a:srgbClr val="BCAF1E"/>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9</c:v>
                </c:pt>
                <c:pt idx="1">
                  <c:v>4</c:v>
                </c:pt>
                <c:pt idx="2">
                  <c:v>4</c:v>
                </c:pt>
                <c:pt idx="3">
                  <c:v>1</c:v>
                </c:pt>
                <c:pt idx="4">
                  <c:v>6</c:v>
                </c:pt>
                <c:pt idx="5">
                  <c:v>3</c:v>
                </c:pt>
                <c:pt idx="6">
                  <c:v>11</c:v>
                </c:pt>
                <c:pt idx="7">
                  <c:v>4</c:v>
                </c:pt>
                <c:pt idx="8">
                  <c:v>5</c:v>
                </c:pt>
                <c:pt idx="9">
                  <c:v>4</c:v>
                </c:pt>
                <c:pt idx="10">
                  <c:v>5</c:v>
                </c:pt>
                <c:pt idx="11">
                  <c:v>8</c:v>
                </c:pt>
                <c:pt idx="12">
                  <c:v>3</c:v>
                </c:pt>
                <c:pt idx="13">
                  <c:v>6</c:v>
                </c:pt>
                <c:pt idx="14">
                  <c:v>6</c:v>
                </c:pt>
                <c:pt idx="15">
                  <c:v>4</c:v>
                </c:pt>
                <c:pt idx="16">
                  <c:v>4</c:v>
                </c:pt>
                <c:pt idx="17">
                  <c:v>6</c:v>
                </c:pt>
                <c:pt idx="18">
                  <c:v>6</c:v>
                </c:pt>
                <c:pt idx="19">
                  <c:v>3</c:v>
                </c:pt>
                <c:pt idx="20">
                  <c:v>3</c:v>
                </c:pt>
                <c:pt idx="21">
                  <c:v>4</c:v>
                </c:pt>
                <c:pt idx="22">
                  <c:v>6</c:v>
                </c:pt>
                <c:pt idx="23">
                  <c:v>7</c:v>
                </c:pt>
                <c:pt idx="24">
                  <c:v>5</c:v>
                </c:pt>
                <c:pt idx="25">
                  <c:v>9</c:v>
                </c:pt>
              </c:numCache>
            </c:numRef>
          </c:val>
          <c:extLst>
            <c:ext xmlns:c16="http://schemas.microsoft.com/office/drawing/2014/chart" uri="{C3380CC4-5D6E-409C-BE32-E72D297353CC}">
              <c16:uniqueId val="{00000004-65AA-479C-BEC1-6B3694D9776F}"/>
            </c:ext>
          </c:extLst>
        </c:ser>
        <c:ser>
          <c:idx val="5"/>
          <c:order val="5"/>
          <c:tx>
            <c:v>6</c:v>
          </c:tx>
          <c:spPr>
            <a:solidFill>
              <a:srgbClr val="84BB48"/>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3</c:v>
                </c:pt>
                <c:pt idx="1">
                  <c:v>8</c:v>
                </c:pt>
                <c:pt idx="2">
                  <c:v>2</c:v>
                </c:pt>
                <c:pt idx="3">
                  <c:v>4</c:v>
                </c:pt>
                <c:pt idx="4">
                  <c:v>4</c:v>
                </c:pt>
                <c:pt idx="5">
                  <c:v>0</c:v>
                </c:pt>
                <c:pt idx="6">
                  <c:v>3</c:v>
                </c:pt>
                <c:pt idx="7">
                  <c:v>4</c:v>
                </c:pt>
                <c:pt idx="8">
                  <c:v>8</c:v>
                </c:pt>
                <c:pt idx="9">
                  <c:v>7</c:v>
                </c:pt>
                <c:pt idx="10">
                  <c:v>4</c:v>
                </c:pt>
                <c:pt idx="11">
                  <c:v>6</c:v>
                </c:pt>
                <c:pt idx="12">
                  <c:v>8</c:v>
                </c:pt>
                <c:pt idx="13">
                  <c:v>6</c:v>
                </c:pt>
                <c:pt idx="14">
                  <c:v>2</c:v>
                </c:pt>
                <c:pt idx="15">
                  <c:v>8</c:v>
                </c:pt>
                <c:pt idx="16">
                  <c:v>2</c:v>
                </c:pt>
                <c:pt idx="17">
                  <c:v>6</c:v>
                </c:pt>
                <c:pt idx="18">
                  <c:v>3</c:v>
                </c:pt>
                <c:pt idx="19">
                  <c:v>3</c:v>
                </c:pt>
                <c:pt idx="20">
                  <c:v>10</c:v>
                </c:pt>
                <c:pt idx="21">
                  <c:v>7</c:v>
                </c:pt>
                <c:pt idx="22">
                  <c:v>3</c:v>
                </c:pt>
                <c:pt idx="23">
                  <c:v>4</c:v>
                </c:pt>
                <c:pt idx="24">
                  <c:v>6</c:v>
                </c:pt>
                <c:pt idx="25">
                  <c:v>3</c:v>
                </c:pt>
              </c:numCache>
            </c:numRef>
          </c:val>
          <c:extLst>
            <c:ext xmlns:c16="http://schemas.microsoft.com/office/drawing/2014/chart" uri="{C3380CC4-5D6E-409C-BE32-E72D297353CC}">
              <c16:uniqueId val="{00000005-65AA-479C-BEC1-6B3694D9776F}"/>
            </c:ext>
          </c:extLst>
        </c:ser>
        <c:ser>
          <c:idx val="6"/>
          <c:order val="6"/>
          <c:tx>
            <c:v>7</c:v>
          </c:tx>
          <c:spPr>
            <a:solidFill>
              <a:srgbClr val="387E0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1</c:v>
                </c:pt>
                <c:pt idx="1">
                  <c:v>6</c:v>
                </c:pt>
                <c:pt idx="2">
                  <c:v>1</c:v>
                </c:pt>
                <c:pt idx="3">
                  <c:v>14</c:v>
                </c:pt>
                <c:pt idx="4">
                  <c:v>1</c:v>
                </c:pt>
                <c:pt idx="5">
                  <c:v>0</c:v>
                </c:pt>
                <c:pt idx="6">
                  <c:v>0</c:v>
                </c:pt>
                <c:pt idx="7">
                  <c:v>6</c:v>
                </c:pt>
                <c:pt idx="8">
                  <c:v>1</c:v>
                </c:pt>
                <c:pt idx="9">
                  <c:v>4</c:v>
                </c:pt>
                <c:pt idx="10">
                  <c:v>0</c:v>
                </c:pt>
                <c:pt idx="11">
                  <c:v>2</c:v>
                </c:pt>
                <c:pt idx="12">
                  <c:v>9</c:v>
                </c:pt>
                <c:pt idx="13">
                  <c:v>2</c:v>
                </c:pt>
                <c:pt idx="14">
                  <c:v>1</c:v>
                </c:pt>
                <c:pt idx="15">
                  <c:v>2</c:v>
                </c:pt>
                <c:pt idx="16">
                  <c:v>3</c:v>
                </c:pt>
                <c:pt idx="17">
                  <c:v>1</c:v>
                </c:pt>
                <c:pt idx="18">
                  <c:v>3</c:v>
                </c:pt>
                <c:pt idx="19">
                  <c:v>1</c:v>
                </c:pt>
                <c:pt idx="20">
                  <c:v>4</c:v>
                </c:pt>
                <c:pt idx="21">
                  <c:v>2</c:v>
                </c:pt>
                <c:pt idx="22">
                  <c:v>7</c:v>
                </c:pt>
                <c:pt idx="23">
                  <c:v>2</c:v>
                </c:pt>
                <c:pt idx="24">
                  <c:v>7</c:v>
                </c:pt>
                <c:pt idx="25">
                  <c:v>4</c:v>
                </c:pt>
              </c:numCache>
            </c:numRef>
          </c:val>
          <c:extLst>
            <c:ext xmlns:c16="http://schemas.microsoft.com/office/drawing/2014/chart" uri="{C3380CC4-5D6E-409C-BE32-E72D297353CC}">
              <c16:uniqueId val="{00000006-65AA-479C-BEC1-6B3694D9776F}"/>
            </c:ext>
          </c:extLst>
        </c:ser>
        <c:dLbls>
          <c:dLblPos val="ctr"/>
          <c:showLegendKey val="0"/>
          <c:showVal val="1"/>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alpha val="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98855910783963E-2"/>
          <c:y val="3.4838595479312451E-2"/>
          <c:w val="0.91524649571760763"/>
          <c:h val="0.75837826693475618"/>
        </c:manualLayout>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0.75</c:v>
                </c:pt>
                <c:pt idx="2">
                  <c:v>0.6</c:v>
                </c:pt>
                <c:pt idx="3">
                  <c:v>0.78</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0.5</c:v>
                </c:pt>
                <c:pt idx="2">
                  <c:v>0.44</c:v>
                </c:pt>
                <c:pt idx="3">
                  <c:v>0.37</c:v>
                </c:pt>
                <c:pt idx="4">
                  <c:v>0.5</c:v>
                </c:pt>
                <c:pt idx="5">
                  <c:v>0.5</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0.41</c:v>
                </c:pt>
                <c:pt idx="1">
                  <c:v>0.52</c:v>
                </c:pt>
                <c:pt idx="2">
                  <c:v>0.44</c:v>
                </c:pt>
                <c:pt idx="3">
                  <c:v>0.33</c:v>
                </c:pt>
                <c:pt idx="4">
                  <c:v>0.35</c:v>
                </c:pt>
                <c:pt idx="5">
                  <c:v>0.39</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0.26</c:v>
                </c:pt>
                <c:pt idx="2">
                  <c:v>0.4</c:v>
                </c:pt>
                <c:pt idx="3">
                  <c:v>0.23</c:v>
                </c:pt>
                <c:pt idx="4">
                  <c:v>0.35</c:v>
                </c:pt>
                <c:pt idx="5">
                  <c:v>0.47</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0.64</c:v>
                </c:pt>
                <c:pt idx="1">
                  <c:v>0.47</c:v>
                </c:pt>
                <c:pt idx="2">
                  <c:v>0.6</c:v>
                </c:pt>
                <c:pt idx="3">
                  <c:v>0.8</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1.0916666666666663</c:v>
                </c:pt>
                <c:pt idx="1">
                  <c:v>2.0874999999999999</c:v>
                </c:pt>
                <c:pt idx="2">
                  <c:v>0.97499999999999998</c:v>
                </c:pt>
                <c:pt idx="3">
                  <c:v>0.73750000000000004</c:v>
                </c:pt>
                <c:pt idx="4">
                  <c:v>0.375</c:v>
                </c:pt>
                <c:pt idx="5">
                  <c:v>0.71250000000000002</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spPr>
          <a:ln>
            <a:solidFill>
              <a:schemeClr val="bg1">
                <a:lumMod val="65000"/>
                <a:alpha val="0"/>
              </a:schemeClr>
            </a:solidFill>
          </a:ln>
        </c:spPr>
        <c:crossAx val="465684592"/>
        <c:crossesAt val="-1"/>
        <c:auto val="1"/>
        <c:lblAlgn val="ctr"/>
        <c:lblOffset val="100"/>
        <c:noMultiLvlLbl val="0"/>
      </c:catAx>
      <c:valAx>
        <c:axId val="465684592"/>
        <c:scaling>
          <c:orientation val="minMax"/>
          <c:max val="2.5"/>
          <c:min val="-1"/>
        </c:scaling>
        <c:delete val="0"/>
        <c:axPos val="l"/>
        <c:majorGridlines>
          <c:spPr>
            <a:ln>
              <a:solidFill>
                <a:schemeClr val="bg1">
                  <a:lumMod val="85000"/>
                </a:schemeClr>
              </a:solidFill>
            </a:ln>
          </c:spPr>
        </c:majorGridlines>
        <c:numFmt formatCode="0.00" sourceLinked="1"/>
        <c:majorTickMark val="out"/>
        <c:minorTickMark val="none"/>
        <c:tickLblPos val="nextTo"/>
        <c:spPr>
          <a:ln>
            <a:solidFill>
              <a:schemeClr val="bg1">
                <a:lumMod val="65000"/>
                <a:alpha val="0"/>
              </a:schemeClr>
            </a:solidFill>
          </a:ln>
        </c:spPr>
        <c:crossAx val="465688512"/>
        <c:crosses val="autoZero"/>
        <c:crossBetween val="between"/>
      </c:valAx>
    </c:plotArea>
    <c:legend>
      <c:legendPos val="b"/>
      <c:legendEntry>
        <c:idx val="0"/>
        <c:delete val="1"/>
      </c:legendEntry>
      <c:overlay val="0"/>
    </c:legend>
    <c:plotVisOnly val="1"/>
    <c:dispBlanksAs val="gap"/>
    <c:showDLblsOverMax val="0"/>
  </c:chart>
  <c:spPr>
    <a:ln>
      <a:noFill/>
    </a:ln>
  </c:spPr>
  <c:txPr>
    <a:bodyPr/>
    <a:lstStyle/>
    <a:p>
      <a:pPr>
        <a:defRPr sz="1500" baseline="0"/>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404554</xdr:colOff>
      <xdr:row>0</xdr:row>
      <xdr:rowOff>2011108</xdr:rowOff>
    </xdr:from>
    <xdr:to>
      <xdr:col>27</xdr:col>
      <xdr:colOff>24415</xdr:colOff>
      <xdr:row>27</xdr:row>
      <xdr:rowOff>135813</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555784</xdr:colOff>
      <xdr:row>31</xdr:row>
      <xdr:rowOff>107626</xdr:rowOff>
    </xdr:from>
    <xdr:to>
      <xdr:col>25</xdr:col>
      <xdr:colOff>175645</xdr:colOff>
      <xdr:row>54</xdr:row>
      <xdr:rowOff>40467</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479246</xdr:colOff>
      <xdr:row>30</xdr:row>
      <xdr:rowOff>0</xdr:rowOff>
    </xdr:from>
    <xdr:to>
      <xdr:col>25</xdr:col>
      <xdr:colOff>527171</xdr:colOff>
      <xdr:row>79</xdr:row>
      <xdr:rowOff>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338667</xdr:colOff>
      <xdr:row>21</xdr:row>
      <xdr:rowOff>40744</xdr:rowOff>
    </xdr:from>
    <xdr:to>
      <xdr:col>19</xdr:col>
      <xdr:colOff>643467</xdr:colOff>
      <xdr:row>49</xdr:row>
      <xdr:rowOff>111864</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7" workbookViewId="0">
      <selection activeCell="B5" sqref="B5"/>
    </sheetView>
  </sheetViews>
  <sheetFormatPr baseColWidth="10" defaultColWidth="9.1640625" defaultRowHeight="15"/>
  <cols>
    <col min="1" max="1" width="35.1640625" customWidth="1"/>
    <col min="2" max="2" width="22" customWidth="1"/>
    <col min="3" max="3" width="43" customWidth="1"/>
  </cols>
  <sheetData>
    <row r="1" spans="1:3" s="46" customFormat="1" ht="57" customHeight="1">
      <c r="A1" s="157"/>
      <c r="B1" s="157"/>
      <c r="C1" s="157"/>
    </row>
    <row r="2" spans="1:3" ht="58.75" customHeight="1">
      <c r="A2" s="153" t="s">
        <v>1298</v>
      </c>
      <c r="B2" s="153"/>
      <c r="C2" s="153"/>
    </row>
    <row r="3" spans="1:3" ht="107.25" customHeight="1">
      <c r="A3" s="154" t="s">
        <v>1286</v>
      </c>
      <c r="B3" s="154"/>
      <c r="C3" s="154"/>
    </row>
    <row r="5" spans="1:3" ht="19">
      <c r="A5" s="34" t="s">
        <v>820</v>
      </c>
      <c r="B5" s="65" t="s">
        <v>128</v>
      </c>
    </row>
    <row r="7" spans="1:3" ht="30.75" customHeight="1">
      <c r="A7" s="155" t="s">
        <v>1297</v>
      </c>
      <c r="B7" s="155"/>
      <c r="C7" s="155"/>
    </row>
    <row r="9" spans="1:3" ht="406.25" customHeight="1">
      <c r="A9" s="156" t="s">
        <v>1296</v>
      </c>
      <c r="B9" s="156"/>
      <c r="C9" s="156"/>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AC13" sqref="AC13"/>
    </sheetView>
  </sheetViews>
  <sheetFormatPr baseColWidth="10" defaultColWidth="9.1640625" defaultRowHeight="15"/>
  <cols>
    <col min="1" max="26" width="3.6640625" style="1" customWidth="1"/>
  </cols>
  <sheetData>
    <row r="1" spans="1:27" ht="144" customHeight="1">
      <c r="A1" s="158" t="s">
        <v>1287</v>
      </c>
      <c r="B1" s="159"/>
      <c r="C1" s="159"/>
      <c r="D1" s="159"/>
      <c r="E1" s="159"/>
      <c r="F1" s="159"/>
      <c r="G1" s="159"/>
      <c r="H1" s="159"/>
      <c r="I1" s="159"/>
      <c r="J1" s="159"/>
      <c r="K1" s="159"/>
      <c r="L1" s="159"/>
      <c r="M1" s="159"/>
      <c r="N1" s="159"/>
      <c r="O1" s="159"/>
      <c r="P1" s="159"/>
      <c r="Q1" s="159"/>
      <c r="R1" s="159"/>
      <c r="S1" s="159"/>
      <c r="T1" s="159"/>
      <c r="U1" s="159"/>
      <c r="V1" s="159"/>
      <c r="W1" s="159"/>
      <c r="X1" s="159"/>
      <c r="Y1" s="159"/>
      <c r="Z1" s="159"/>
    </row>
    <row r="2" spans="1:27">
      <c r="A2" s="160" t="s">
        <v>0</v>
      </c>
      <c r="B2" s="160"/>
      <c r="C2" s="160"/>
      <c r="D2" s="160"/>
      <c r="E2" s="160"/>
      <c r="F2" s="160"/>
      <c r="G2" s="160"/>
      <c r="H2" s="160"/>
      <c r="I2" s="160"/>
      <c r="J2" s="160"/>
      <c r="K2" s="160"/>
      <c r="L2" s="160"/>
      <c r="M2" s="160"/>
      <c r="N2" s="160"/>
      <c r="O2" s="160"/>
      <c r="P2" s="160"/>
      <c r="Q2" s="160"/>
      <c r="R2" s="160"/>
      <c r="S2" s="160"/>
      <c r="T2" s="160"/>
      <c r="U2" s="160"/>
      <c r="V2" s="160"/>
      <c r="W2" s="160"/>
      <c r="X2" s="160"/>
      <c r="Y2" s="160"/>
      <c r="Z2" s="160"/>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142">
        <v>5</v>
      </c>
      <c r="B4" s="142">
        <v>5</v>
      </c>
      <c r="C4" s="142">
        <v>6</v>
      </c>
      <c r="D4" s="142">
        <v>1</v>
      </c>
      <c r="E4" s="142">
        <v>5</v>
      </c>
      <c r="F4" s="142">
        <v>3</v>
      </c>
      <c r="G4" s="142">
        <v>3</v>
      </c>
      <c r="H4" s="142">
        <v>4</v>
      </c>
      <c r="I4" s="142">
        <v>2</v>
      </c>
      <c r="J4" s="142">
        <v>6</v>
      </c>
      <c r="K4" s="142">
        <v>4</v>
      </c>
      <c r="L4" s="142">
        <v>4</v>
      </c>
      <c r="M4" s="142">
        <v>7</v>
      </c>
      <c r="N4" s="142">
        <v>5</v>
      </c>
      <c r="O4" s="142">
        <v>4</v>
      </c>
      <c r="P4" s="142">
        <v>6</v>
      </c>
      <c r="Q4" s="142">
        <v>2</v>
      </c>
      <c r="R4" s="142">
        <v>3</v>
      </c>
      <c r="S4" s="142">
        <v>6</v>
      </c>
      <c r="T4" s="142">
        <v>5</v>
      </c>
      <c r="U4" s="142">
        <v>2</v>
      </c>
      <c r="V4" s="142">
        <v>3</v>
      </c>
      <c r="W4" s="142">
        <v>4</v>
      </c>
      <c r="X4" s="142">
        <v>3</v>
      </c>
      <c r="Y4" s="142">
        <v>2</v>
      </c>
      <c r="Z4" s="142">
        <v>5</v>
      </c>
    </row>
    <row r="5" spans="1:27">
      <c r="A5" s="142">
        <v>5</v>
      </c>
      <c r="B5" s="142">
        <v>6</v>
      </c>
      <c r="C5" s="142">
        <v>4</v>
      </c>
      <c r="D5" s="142">
        <v>1</v>
      </c>
      <c r="E5" s="142">
        <v>4</v>
      </c>
      <c r="F5" s="142">
        <v>3</v>
      </c>
      <c r="G5" s="142">
        <v>5</v>
      </c>
      <c r="H5" s="142">
        <v>4</v>
      </c>
      <c r="I5" s="142">
        <v>5</v>
      </c>
      <c r="J5" s="142">
        <v>3</v>
      </c>
      <c r="K5" s="142">
        <v>5</v>
      </c>
      <c r="L5" s="142">
        <v>3</v>
      </c>
      <c r="M5" s="142">
        <v>7</v>
      </c>
      <c r="N5" s="142">
        <v>5</v>
      </c>
      <c r="O5" s="142">
        <v>4</v>
      </c>
      <c r="P5" s="142">
        <v>6</v>
      </c>
      <c r="Q5" s="142">
        <v>3</v>
      </c>
      <c r="R5" s="142">
        <v>2</v>
      </c>
      <c r="S5" s="142">
        <v>2</v>
      </c>
      <c r="T5" s="142">
        <v>3</v>
      </c>
      <c r="U5" s="142">
        <v>1</v>
      </c>
      <c r="V5" s="142">
        <v>5</v>
      </c>
      <c r="W5" s="142">
        <v>1</v>
      </c>
      <c r="X5" s="142">
        <v>3</v>
      </c>
      <c r="Y5" s="142">
        <v>1</v>
      </c>
      <c r="Z5" s="142">
        <v>5</v>
      </c>
    </row>
    <row r="6" spans="1:27">
      <c r="A6" s="142">
        <v>2</v>
      </c>
      <c r="B6" s="142">
        <v>5</v>
      </c>
      <c r="C6" s="142">
        <v>4</v>
      </c>
      <c r="D6" s="142">
        <v>1</v>
      </c>
      <c r="E6" s="142">
        <v>3</v>
      </c>
      <c r="F6" s="142">
        <v>3</v>
      </c>
      <c r="G6" s="142">
        <v>5</v>
      </c>
      <c r="H6" s="142">
        <v>3</v>
      </c>
      <c r="I6" s="142">
        <v>5</v>
      </c>
      <c r="J6" s="142">
        <v>2</v>
      </c>
      <c r="K6" s="142">
        <v>4</v>
      </c>
      <c r="L6" s="142">
        <v>4</v>
      </c>
      <c r="M6" s="142">
        <v>7</v>
      </c>
      <c r="N6" s="142">
        <v>3</v>
      </c>
      <c r="O6" s="142">
        <v>5</v>
      </c>
      <c r="P6" s="142">
        <v>4</v>
      </c>
      <c r="Q6" s="142">
        <v>4</v>
      </c>
      <c r="R6" s="142">
        <v>5</v>
      </c>
      <c r="S6" s="142">
        <v>6</v>
      </c>
      <c r="T6" s="142">
        <v>3</v>
      </c>
      <c r="U6" s="142">
        <v>2</v>
      </c>
      <c r="V6" s="142">
        <v>4</v>
      </c>
      <c r="W6" s="142">
        <v>2</v>
      </c>
      <c r="X6" s="142">
        <v>3</v>
      </c>
      <c r="Y6" s="142">
        <v>2</v>
      </c>
      <c r="Z6" s="142">
        <v>6</v>
      </c>
    </row>
    <row r="7" spans="1:27">
      <c r="A7" s="142">
        <v>2</v>
      </c>
      <c r="B7" s="142">
        <v>6</v>
      </c>
      <c r="C7" s="142">
        <v>6</v>
      </c>
      <c r="D7" s="142">
        <v>1</v>
      </c>
      <c r="E7" s="142">
        <v>3</v>
      </c>
      <c r="F7" s="142">
        <v>4</v>
      </c>
      <c r="G7" s="142">
        <v>5</v>
      </c>
      <c r="H7" s="142">
        <v>6</v>
      </c>
      <c r="I7" s="142">
        <v>2</v>
      </c>
      <c r="J7" s="142">
        <v>2</v>
      </c>
      <c r="K7" s="142">
        <v>4</v>
      </c>
      <c r="L7" s="142">
        <v>3</v>
      </c>
      <c r="M7" s="142">
        <v>6</v>
      </c>
      <c r="N7" s="142">
        <v>3</v>
      </c>
      <c r="O7" s="142">
        <v>5</v>
      </c>
      <c r="P7" s="142">
        <v>4</v>
      </c>
      <c r="Q7" s="142">
        <v>3</v>
      </c>
      <c r="R7" s="142">
        <v>3</v>
      </c>
      <c r="S7" s="142">
        <v>5</v>
      </c>
      <c r="T7" s="142">
        <v>4</v>
      </c>
      <c r="U7" s="142">
        <v>5</v>
      </c>
      <c r="V7" s="142">
        <v>3</v>
      </c>
      <c r="W7" s="142">
        <v>3</v>
      </c>
      <c r="X7" s="142">
        <v>5</v>
      </c>
      <c r="Y7" s="142">
        <v>4</v>
      </c>
      <c r="Z7" s="142">
        <v>5</v>
      </c>
    </row>
    <row r="8" spans="1:27">
      <c r="A8" s="142">
        <v>5</v>
      </c>
      <c r="B8" s="142">
        <v>7</v>
      </c>
      <c r="C8" s="142">
        <v>7</v>
      </c>
      <c r="D8" s="142">
        <v>1</v>
      </c>
      <c r="E8" s="142">
        <v>4</v>
      </c>
      <c r="F8" s="142">
        <v>5</v>
      </c>
      <c r="G8" s="142">
        <v>5</v>
      </c>
      <c r="H8" s="142">
        <v>7</v>
      </c>
      <c r="I8" s="142">
        <v>4</v>
      </c>
      <c r="J8" s="142">
        <v>2</v>
      </c>
      <c r="K8" s="142">
        <v>4</v>
      </c>
      <c r="L8" s="142">
        <v>4</v>
      </c>
      <c r="M8" s="142">
        <v>7</v>
      </c>
      <c r="N8" s="142">
        <v>4</v>
      </c>
      <c r="O8" s="142">
        <v>4</v>
      </c>
      <c r="P8" s="142">
        <v>4</v>
      </c>
      <c r="Q8" s="142">
        <v>1</v>
      </c>
      <c r="R8" s="142">
        <v>4</v>
      </c>
      <c r="S8" s="142">
        <v>1</v>
      </c>
      <c r="T8" s="142">
        <v>4</v>
      </c>
      <c r="U8" s="142">
        <v>1</v>
      </c>
      <c r="V8" s="142">
        <v>4</v>
      </c>
      <c r="W8" s="142">
        <v>1</v>
      </c>
      <c r="X8" s="142">
        <v>4</v>
      </c>
      <c r="Y8" s="142">
        <v>1</v>
      </c>
      <c r="Z8" s="142">
        <v>4</v>
      </c>
    </row>
    <row r="9" spans="1:27">
      <c r="A9" s="142">
        <v>6</v>
      </c>
      <c r="B9" s="142">
        <v>7</v>
      </c>
      <c r="C9" s="142">
        <v>4</v>
      </c>
      <c r="D9" s="142">
        <v>1</v>
      </c>
      <c r="E9" s="142">
        <v>2</v>
      </c>
      <c r="F9" s="142">
        <v>2</v>
      </c>
      <c r="G9" s="142">
        <v>4</v>
      </c>
      <c r="H9" s="142">
        <v>6</v>
      </c>
      <c r="I9" s="142">
        <v>2</v>
      </c>
      <c r="J9" s="142">
        <v>2</v>
      </c>
      <c r="K9" s="142">
        <v>6</v>
      </c>
      <c r="L9" s="142">
        <v>3</v>
      </c>
      <c r="M9" s="142">
        <v>7</v>
      </c>
      <c r="N9" s="142">
        <v>6</v>
      </c>
      <c r="O9" s="142">
        <v>4</v>
      </c>
      <c r="P9" s="142">
        <v>6</v>
      </c>
      <c r="Q9" s="142">
        <v>4</v>
      </c>
      <c r="R9" s="142">
        <v>3</v>
      </c>
      <c r="S9" s="142">
        <v>4</v>
      </c>
      <c r="T9" s="142">
        <v>6</v>
      </c>
      <c r="U9" s="142">
        <v>2</v>
      </c>
      <c r="V9" s="142">
        <v>6</v>
      </c>
      <c r="W9" s="142">
        <v>2</v>
      </c>
      <c r="X9" s="142">
        <v>2</v>
      </c>
      <c r="Y9" s="142">
        <v>1</v>
      </c>
      <c r="Z9" s="142">
        <v>5</v>
      </c>
    </row>
    <row r="10" spans="1:27">
      <c r="A10" s="142">
        <v>7</v>
      </c>
      <c r="B10" s="142">
        <v>7</v>
      </c>
      <c r="C10" s="142">
        <v>3</v>
      </c>
      <c r="D10" s="142">
        <v>1</v>
      </c>
      <c r="E10" s="142">
        <v>1</v>
      </c>
      <c r="F10" s="142">
        <v>4</v>
      </c>
      <c r="G10" s="142">
        <v>6</v>
      </c>
      <c r="H10" s="142">
        <v>4</v>
      </c>
      <c r="I10" s="142">
        <v>1</v>
      </c>
      <c r="J10" s="142">
        <v>1</v>
      </c>
      <c r="K10" s="142">
        <v>5</v>
      </c>
      <c r="L10" s="142">
        <v>1</v>
      </c>
      <c r="M10" s="142">
        <v>6</v>
      </c>
      <c r="N10" s="142">
        <v>7</v>
      </c>
      <c r="O10" s="142">
        <v>7</v>
      </c>
      <c r="P10" s="142">
        <v>7</v>
      </c>
      <c r="Q10" s="142">
        <v>1</v>
      </c>
      <c r="R10" s="142">
        <v>1</v>
      </c>
      <c r="S10" s="142">
        <v>1</v>
      </c>
      <c r="T10" s="142">
        <v>7</v>
      </c>
      <c r="U10" s="142">
        <v>1</v>
      </c>
      <c r="V10" s="142">
        <v>7</v>
      </c>
      <c r="W10" s="142">
        <v>1</v>
      </c>
      <c r="X10" s="142">
        <v>1</v>
      </c>
      <c r="Y10" s="142">
        <v>1</v>
      </c>
      <c r="Z10" s="142">
        <v>7</v>
      </c>
    </row>
    <row r="11" spans="1:27">
      <c r="A11" s="142">
        <v>2</v>
      </c>
      <c r="B11" s="142">
        <v>6</v>
      </c>
      <c r="C11" s="142">
        <v>6</v>
      </c>
      <c r="D11" s="142">
        <v>1</v>
      </c>
      <c r="E11" s="142">
        <v>4</v>
      </c>
      <c r="F11" s="142">
        <v>2</v>
      </c>
      <c r="G11" s="142">
        <v>5</v>
      </c>
      <c r="H11" s="142">
        <v>7</v>
      </c>
      <c r="I11" s="142">
        <v>2</v>
      </c>
      <c r="J11" s="142">
        <v>5</v>
      </c>
      <c r="K11" s="142">
        <v>1</v>
      </c>
      <c r="L11" s="142">
        <v>5</v>
      </c>
      <c r="M11" s="142">
        <v>5</v>
      </c>
      <c r="N11" s="142">
        <v>2</v>
      </c>
      <c r="O11" s="142">
        <v>4</v>
      </c>
      <c r="P11" s="142">
        <v>3</v>
      </c>
      <c r="Q11" s="142">
        <v>1</v>
      </c>
      <c r="R11" s="142">
        <v>5</v>
      </c>
      <c r="S11" s="142">
        <v>5</v>
      </c>
      <c r="T11" s="142">
        <v>3</v>
      </c>
      <c r="U11" s="142">
        <v>2</v>
      </c>
      <c r="V11" s="142">
        <v>5</v>
      </c>
      <c r="W11" s="142">
        <v>5</v>
      </c>
      <c r="X11" s="142">
        <v>4</v>
      </c>
      <c r="Y11" s="142">
        <v>2</v>
      </c>
      <c r="Z11" s="142">
        <v>5</v>
      </c>
    </row>
    <row r="12" spans="1:27">
      <c r="A12" s="142">
        <v>2</v>
      </c>
      <c r="B12" s="142">
        <v>4</v>
      </c>
      <c r="C12" s="142">
        <v>1</v>
      </c>
      <c r="D12" s="142">
        <v>3</v>
      </c>
      <c r="E12" s="142">
        <v>3</v>
      </c>
      <c r="F12" s="142">
        <v>2</v>
      </c>
      <c r="G12" s="142">
        <v>3</v>
      </c>
      <c r="H12" s="142">
        <v>4</v>
      </c>
      <c r="I12" s="142">
        <v>3</v>
      </c>
      <c r="J12" s="142">
        <v>2</v>
      </c>
      <c r="K12" s="142">
        <v>2</v>
      </c>
      <c r="L12" s="142">
        <v>3</v>
      </c>
      <c r="M12" s="142">
        <v>5</v>
      </c>
      <c r="N12" s="142">
        <v>3</v>
      </c>
      <c r="O12" s="142">
        <v>3</v>
      </c>
      <c r="P12" s="142">
        <v>3</v>
      </c>
      <c r="Q12" s="142">
        <v>5</v>
      </c>
      <c r="R12" s="142">
        <v>6</v>
      </c>
      <c r="S12" s="142">
        <v>5</v>
      </c>
      <c r="T12" s="142">
        <v>3</v>
      </c>
      <c r="U12" s="142">
        <v>4</v>
      </c>
      <c r="V12" s="142">
        <v>3</v>
      </c>
      <c r="W12" s="142">
        <v>3</v>
      </c>
      <c r="X12" s="142">
        <v>6</v>
      </c>
      <c r="Y12" s="142">
        <v>3</v>
      </c>
      <c r="Z12" s="142">
        <v>3</v>
      </c>
    </row>
    <row r="13" spans="1:27">
      <c r="A13" s="142">
        <v>6</v>
      </c>
      <c r="B13" s="142">
        <v>7</v>
      </c>
      <c r="C13" s="142">
        <v>2</v>
      </c>
      <c r="D13" s="142">
        <v>1</v>
      </c>
      <c r="E13" s="142">
        <v>3</v>
      </c>
      <c r="F13" s="142">
        <v>4</v>
      </c>
      <c r="G13" s="142">
        <v>6</v>
      </c>
      <c r="H13" s="142">
        <v>7</v>
      </c>
      <c r="I13" s="142">
        <v>4</v>
      </c>
      <c r="J13" s="142">
        <v>1</v>
      </c>
      <c r="K13" s="142">
        <v>6</v>
      </c>
      <c r="L13" s="142">
        <v>1</v>
      </c>
      <c r="M13" s="142">
        <v>6</v>
      </c>
      <c r="N13" s="142">
        <v>6</v>
      </c>
      <c r="O13" s="142">
        <v>6</v>
      </c>
      <c r="P13" s="142">
        <v>6</v>
      </c>
      <c r="Q13" s="142">
        <v>4</v>
      </c>
      <c r="R13" s="142">
        <v>2</v>
      </c>
      <c r="S13" s="142">
        <v>1</v>
      </c>
      <c r="T13" s="142">
        <v>4</v>
      </c>
      <c r="U13" s="142">
        <v>2</v>
      </c>
      <c r="V13" s="142">
        <v>6</v>
      </c>
      <c r="W13" s="142">
        <v>1</v>
      </c>
      <c r="X13" s="142">
        <v>1</v>
      </c>
      <c r="Y13" s="142">
        <v>1</v>
      </c>
      <c r="Z13" s="142">
        <v>7</v>
      </c>
    </row>
    <row r="14" spans="1:27">
      <c r="A14" s="142">
        <v>5</v>
      </c>
      <c r="B14" s="142">
        <v>5</v>
      </c>
      <c r="C14" s="142">
        <v>3</v>
      </c>
      <c r="D14" s="142">
        <v>2</v>
      </c>
      <c r="E14" s="142">
        <v>2</v>
      </c>
      <c r="F14" s="142">
        <v>5</v>
      </c>
      <c r="G14" s="142">
        <v>6</v>
      </c>
      <c r="H14" s="142">
        <v>4</v>
      </c>
      <c r="I14" s="142">
        <v>2</v>
      </c>
      <c r="J14" s="142">
        <v>2</v>
      </c>
      <c r="K14" s="142">
        <v>6</v>
      </c>
      <c r="L14" s="142">
        <v>2</v>
      </c>
      <c r="M14" s="142">
        <v>6</v>
      </c>
      <c r="N14" s="142">
        <v>5</v>
      </c>
      <c r="O14" s="142">
        <v>5</v>
      </c>
      <c r="P14" s="142">
        <v>5</v>
      </c>
      <c r="Q14" s="142">
        <v>4</v>
      </c>
      <c r="R14" s="142">
        <v>2</v>
      </c>
      <c r="S14" s="142">
        <v>3</v>
      </c>
      <c r="T14" s="142">
        <v>5</v>
      </c>
      <c r="U14" s="142">
        <v>3</v>
      </c>
      <c r="V14" s="142">
        <v>6</v>
      </c>
      <c r="W14" s="142">
        <v>3</v>
      </c>
      <c r="X14" s="142">
        <v>3</v>
      </c>
      <c r="Y14" s="142">
        <v>4</v>
      </c>
      <c r="Z14" s="142">
        <v>5</v>
      </c>
    </row>
    <row r="15" spans="1:27">
      <c r="A15" s="142">
        <v>5</v>
      </c>
      <c r="B15" s="142">
        <v>6</v>
      </c>
      <c r="C15" s="142">
        <v>3</v>
      </c>
      <c r="D15" s="142">
        <v>2</v>
      </c>
      <c r="E15" s="142">
        <v>3</v>
      </c>
      <c r="F15" s="142">
        <v>4</v>
      </c>
      <c r="G15" s="142">
        <v>5</v>
      </c>
      <c r="H15" s="142">
        <v>5</v>
      </c>
      <c r="I15" s="142">
        <v>5</v>
      </c>
      <c r="J15" s="142">
        <v>3</v>
      </c>
      <c r="K15" s="142">
        <v>4</v>
      </c>
      <c r="L15" s="142">
        <v>3</v>
      </c>
      <c r="M15" s="142">
        <v>5</v>
      </c>
      <c r="N15" s="142">
        <v>5</v>
      </c>
      <c r="O15" s="142">
        <v>4</v>
      </c>
      <c r="P15" s="142">
        <v>5</v>
      </c>
      <c r="Q15" s="142">
        <v>3</v>
      </c>
      <c r="R15" s="142">
        <v>3</v>
      </c>
      <c r="S15" s="142">
        <v>3</v>
      </c>
      <c r="T15" s="142">
        <v>4</v>
      </c>
      <c r="U15" s="142">
        <v>3</v>
      </c>
      <c r="V15" s="142">
        <v>5</v>
      </c>
      <c r="W15" s="142">
        <v>3</v>
      </c>
      <c r="X15" s="142">
        <v>3</v>
      </c>
      <c r="Y15" s="142">
        <v>2</v>
      </c>
      <c r="Z15" s="142">
        <v>5</v>
      </c>
    </row>
    <row r="16" spans="1:27">
      <c r="A16" s="142">
        <v>5</v>
      </c>
      <c r="B16" s="142">
        <v>7</v>
      </c>
      <c r="C16" s="142">
        <v>6</v>
      </c>
      <c r="D16" s="142">
        <v>1</v>
      </c>
      <c r="E16" s="142">
        <v>2</v>
      </c>
      <c r="F16" s="142">
        <v>3</v>
      </c>
      <c r="G16" s="142">
        <v>5</v>
      </c>
      <c r="H16" s="142">
        <v>7</v>
      </c>
      <c r="I16" s="142">
        <v>3</v>
      </c>
      <c r="J16" s="142">
        <v>3</v>
      </c>
      <c r="K16" s="142">
        <v>6</v>
      </c>
      <c r="L16" s="142">
        <v>2</v>
      </c>
      <c r="M16" s="142">
        <v>7</v>
      </c>
      <c r="N16" s="142">
        <v>7</v>
      </c>
      <c r="O16" s="142">
        <v>5</v>
      </c>
      <c r="P16" s="142">
        <v>7</v>
      </c>
      <c r="Q16" s="142">
        <v>5</v>
      </c>
      <c r="R16" s="142">
        <v>2</v>
      </c>
      <c r="S16" s="142">
        <v>5</v>
      </c>
      <c r="T16" s="142">
        <v>3</v>
      </c>
      <c r="U16" s="142">
        <v>1</v>
      </c>
      <c r="V16" s="142">
        <v>7</v>
      </c>
      <c r="W16" s="142">
        <v>1</v>
      </c>
      <c r="X16" s="142">
        <v>4</v>
      </c>
      <c r="Y16" s="142">
        <v>1</v>
      </c>
      <c r="Z16" s="142">
        <v>7</v>
      </c>
    </row>
    <row r="17" spans="1:26">
      <c r="A17" s="142">
        <v>3</v>
      </c>
      <c r="B17" s="142">
        <v>6</v>
      </c>
      <c r="C17" s="142">
        <v>5</v>
      </c>
      <c r="D17" s="142">
        <v>1</v>
      </c>
      <c r="E17" s="142">
        <v>2</v>
      </c>
      <c r="F17" s="142">
        <v>3</v>
      </c>
      <c r="G17" s="142">
        <v>5</v>
      </c>
      <c r="H17" s="142">
        <v>5</v>
      </c>
      <c r="I17" s="142">
        <v>2</v>
      </c>
      <c r="J17" s="142">
        <v>1</v>
      </c>
      <c r="K17" s="142">
        <v>5</v>
      </c>
      <c r="L17" s="142">
        <v>2</v>
      </c>
      <c r="M17" s="142">
        <v>7</v>
      </c>
      <c r="N17" s="142">
        <v>6</v>
      </c>
      <c r="O17" s="142">
        <v>2</v>
      </c>
      <c r="P17" s="142">
        <v>6</v>
      </c>
      <c r="Q17" s="142">
        <v>7</v>
      </c>
      <c r="R17" s="142">
        <v>3</v>
      </c>
      <c r="S17" s="142">
        <v>3</v>
      </c>
      <c r="T17" s="142">
        <v>6</v>
      </c>
      <c r="U17" s="142">
        <v>2</v>
      </c>
      <c r="V17" s="142">
        <v>6</v>
      </c>
      <c r="W17" s="142">
        <v>3</v>
      </c>
      <c r="X17" s="142">
        <v>2</v>
      </c>
      <c r="Y17" s="142">
        <v>2</v>
      </c>
      <c r="Z17" s="142">
        <v>7</v>
      </c>
    </row>
    <row r="18" spans="1:26">
      <c r="A18" s="142">
        <v>5</v>
      </c>
      <c r="B18" s="142">
        <v>5</v>
      </c>
      <c r="C18" s="142">
        <v>2</v>
      </c>
      <c r="D18" s="142">
        <v>1</v>
      </c>
      <c r="E18" s="142">
        <v>4</v>
      </c>
      <c r="F18" s="142">
        <v>5</v>
      </c>
      <c r="G18" s="142">
        <v>5</v>
      </c>
      <c r="H18" s="142">
        <v>7</v>
      </c>
      <c r="I18" s="142">
        <v>2</v>
      </c>
      <c r="J18" s="142">
        <v>3</v>
      </c>
      <c r="K18" s="142">
        <v>5</v>
      </c>
      <c r="L18" s="142">
        <v>2</v>
      </c>
      <c r="M18" s="142">
        <v>6</v>
      </c>
      <c r="N18" s="142">
        <v>6</v>
      </c>
      <c r="O18" s="142">
        <v>6</v>
      </c>
      <c r="P18" s="142">
        <v>6</v>
      </c>
      <c r="Q18" s="142">
        <v>2</v>
      </c>
      <c r="R18" s="142">
        <v>2</v>
      </c>
      <c r="S18" s="142">
        <v>2</v>
      </c>
      <c r="T18" s="142">
        <v>4</v>
      </c>
      <c r="U18" s="142">
        <v>2</v>
      </c>
      <c r="V18" s="142">
        <v>6</v>
      </c>
      <c r="W18" s="142">
        <v>1</v>
      </c>
      <c r="X18" s="142">
        <v>3</v>
      </c>
      <c r="Y18" s="142">
        <v>3</v>
      </c>
      <c r="Z18" s="142">
        <v>6</v>
      </c>
    </row>
    <row r="19" spans="1:26">
      <c r="A19" s="142">
        <v>5</v>
      </c>
      <c r="B19" s="142">
        <v>4</v>
      </c>
      <c r="C19" s="142">
        <v>5</v>
      </c>
      <c r="D19" s="142">
        <v>2</v>
      </c>
      <c r="E19" s="142">
        <v>3</v>
      </c>
      <c r="F19" s="142">
        <v>3</v>
      </c>
      <c r="G19" s="142">
        <v>5</v>
      </c>
      <c r="H19" s="142">
        <v>6</v>
      </c>
      <c r="I19" s="142">
        <v>3</v>
      </c>
      <c r="J19" s="142">
        <v>4</v>
      </c>
      <c r="K19" s="142">
        <v>4</v>
      </c>
      <c r="L19" s="142">
        <v>3</v>
      </c>
      <c r="M19" s="142">
        <v>6</v>
      </c>
      <c r="N19" s="142">
        <v>5</v>
      </c>
      <c r="O19" s="142">
        <v>5</v>
      </c>
      <c r="P19" s="142">
        <v>5</v>
      </c>
      <c r="Q19" s="142">
        <v>4</v>
      </c>
      <c r="R19" s="142">
        <v>3</v>
      </c>
      <c r="S19" s="142">
        <v>3</v>
      </c>
      <c r="T19" s="142">
        <v>4</v>
      </c>
      <c r="U19" s="142">
        <v>3</v>
      </c>
      <c r="V19" s="142">
        <v>5</v>
      </c>
      <c r="W19" s="142">
        <v>3</v>
      </c>
      <c r="X19" s="142">
        <v>4</v>
      </c>
      <c r="Y19" s="142">
        <v>3</v>
      </c>
      <c r="Z19" s="142">
        <v>5</v>
      </c>
    </row>
    <row r="20" spans="1:26">
      <c r="A20" s="142">
        <v>4</v>
      </c>
      <c r="B20" s="142">
        <v>6</v>
      </c>
      <c r="C20" s="142">
        <v>4</v>
      </c>
      <c r="D20" s="142">
        <v>1</v>
      </c>
      <c r="E20" s="142">
        <v>6</v>
      </c>
      <c r="F20" s="142">
        <v>3</v>
      </c>
      <c r="G20" s="142">
        <v>5</v>
      </c>
      <c r="H20" s="142">
        <v>7</v>
      </c>
      <c r="I20" s="142">
        <v>4</v>
      </c>
      <c r="J20" s="142">
        <v>1</v>
      </c>
      <c r="K20" s="142">
        <v>4</v>
      </c>
      <c r="L20" s="142">
        <v>3</v>
      </c>
      <c r="M20" s="142">
        <v>6</v>
      </c>
      <c r="N20" s="142">
        <v>3</v>
      </c>
      <c r="O20" s="142">
        <v>4</v>
      </c>
      <c r="P20" s="142">
        <v>4</v>
      </c>
      <c r="Q20" s="142">
        <v>3</v>
      </c>
      <c r="R20" s="142">
        <v>4</v>
      </c>
      <c r="S20" s="142">
        <v>6</v>
      </c>
      <c r="T20" s="142">
        <v>3</v>
      </c>
      <c r="U20" s="142">
        <v>2</v>
      </c>
      <c r="V20" s="142">
        <v>6</v>
      </c>
      <c r="W20" s="142">
        <v>1</v>
      </c>
      <c r="X20" s="142">
        <v>5</v>
      </c>
      <c r="Y20" s="142">
        <v>2</v>
      </c>
      <c r="Z20" s="142">
        <v>6</v>
      </c>
    </row>
    <row r="21" spans="1:26">
      <c r="A21" s="142">
        <v>4</v>
      </c>
      <c r="B21" s="142">
        <v>7</v>
      </c>
      <c r="C21" s="142">
        <v>6</v>
      </c>
      <c r="D21" s="142">
        <v>1</v>
      </c>
      <c r="E21" s="142">
        <v>4</v>
      </c>
      <c r="F21" s="142">
        <v>3</v>
      </c>
      <c r="G21" s="142">
        <v>3</v>
      </c>
      <c r="H21" s="142">
        <v>6</v>
      </c>
      <c r="I21" s="142">
        <v>3</v>
      </c>
      <c r="J21" s="142">
        <v>2</v>
      </c>
      <c r="K21" s="142">
        <v>4</v>
      </c>
      <c r="L21" s="142">
        <v>2</v>
      </c>
      <c r="M21" s="142">
        <v>7</v>
      </c>
      <c r="N21" s="142">
        <v>6</v>
      </c>
      <c r="O21" s="142">
        <v>5</v>
      </c>
      <c r="P21" s="142">
        <v>6</v>
      </c>
      <c r="Q21" s="142">
        <v>5</v>
      </c>
      <c r="R21" s="142">
        <v>5</v>
      </c>
      <c r="S21" s="142">
        <v>3</v>
      </c>
      <c r="T21" s="142">
        <v>3</v>
      </c>
      <c r="U21" s="142">
        <v>2</v>
      </c>
      <c r="V21" s="142">
        <v>3</v>
      </c>
      <c r="W21" s="142">
        <v>2</v>
      </c>
      <c r="X21" s="142">
        <v>2</v>
      </c>
      <c r="Y21" s="142">
        <v>1</v>
      </c>
      <c r="Z21" s="142">
        <v>5</v>
      </c>
    </row>
    <row r="22" spans="1:26">
      <c r="A22" s="142">
        <v>6</v>
      </c>
      <c r="B22" s="142">
        <v>6</v>
      </c>
      <c r="C22" s="142">
        <v>4</v>
      </c>
      <c r="D22" s="142">
        <v>2</v>
      </c>
      <c r="E22" s="142">
        <v>4</v>
      </c>
      <c r="F22" s="142">
        <v>3</v>
      </c>
      <c r="G22" s="142">
        <v>4</v>
      </c>
      <c r="H22" s="142">
        <v>5</v>
      </c>
      <c r="I22" s="142">
        <v>3</v>
      </c>
      <c r="J22" s="142">
        <v>4</v>
      </c>
      <c r="K22" s="142">
        <v>4</v>
      </c>
      <c r="L22" s="142">
        <v>3</v>
      </c>
      <c r="M22" s="142">
        <v>7</v>
      </c>
      <c r="N22" s="142">
        <v>6</v>
      </c>
      <c r="O22" s="142">
        <v>3</v>
      </c>
      <c r="P22" s="142">
        <v>6</v>
      </c>
      <c r="Q22" s="142">
        <v>4</v>
      </c>
      <c r="R22" s="142">
        <v>4</v>
      </c>
      <c r="S22" s="142">
        <v>3</v>
      </c>
      <c r="T22" s="142">
        <v>6</v>
      </c>
      <c r="U22" s="142">
        <v>2</v>
      </c>
      <c r="V22" s="142">
        <v>6</v>
      </c>
      <c r="W22" s="142">
        <v>4</v>
      </c>
      <c r="X22" s="142">
        <v>3</v>
      </c>
      <c r="Y22" s="142">
        <v>3</v>
      </c>
      <c r="Z22" s="142">
        <v>4</v>
      </c>
    </row>
    <row r="23" spans="1:26">
      <c r="A23" s="142">
        <v>5</v>
      </c>
      <c r="B23" s="142">
        <v>6</v>
      </c>
      <c r="C23" s="142">
        <v>3</v>
      </c>
      <c r="D23" s="142">
        <v>5</v>
      </c>
      <c r="E23" s="142">
        <v>5</v>
      </c>
      <c r="F23" s="142">
        <v>3</v>
      </c>
      <c r="G23" s="142">
        <v>4</v>
      </c>
      <c r="H23" s="142">
        <v>5</v>
      </c>
      <c r="I23" s="142">
        <v>2</v>
      </c>
      <c r="J23" s="142">
        <v>4</v>
      </c>
      <c r="K23" s="142">
        <v>5</v>
      </c>
      <c r="L23" s="142">
        <v>2</v>
      </c>
      <c r="M23" s="142">
        <v>6</v>
      </c>
      <c r="N23" s="142">
        <v>5</v>
      </c>
      <c r="O23" s="142">
        <v>3</v>
      </c>
      <c r="P23" s="142">
        <v>5</v>
      </c>
      <c r="Q23" s="142">
        <v>4</v>
      </c>
      <c r="R23" s="142">
        <v>2</v>
      </c>
      <c r="S23" s="142">
        <v>2</v>
      </c>
      <c r="T23" s="142">
        <v>5</v>
      </c>
      <c r="U23" s="142">
        <v>5</v>
      </c>
      <c r="V23" s="142">
        <v>4</v>
      </c>
      <c r="W23" s="142">
        <v>4</v>
      </c>
      <c r="X23" s="142">
        <v>2</v>
      </c>
      <c r="Y23" s="142">
        <v>3</v>
      </c>
      <c r="Z23" s="142">
        <v>4</v>
      </c>
    </row>
    <row r="24" spans="1:26">
      <c r="A24" s="152"/>
      <c r="B24" s="152"/>
      <c r="C24" s="152"/>
      <c r="D24" s="152"/>
      <c r="E24" s="152"/>
      <c r="F24" s="152"/>
      <c r="G24" s="152"/>
      <c r="H24" s="152"/>
      <c r="I24" s="152"/>
      <c r="J24" s="152"/>
      <c r="K24" s="152"/>
      <c r="L24" s="152"/>
      <c r="M24" s="152"/>
      <c r="N24" s="152"/>
      <c r="O24" s="152"/>
      <c r="P24" s="152"/>
      <c r="Q24" s="152"/>
      <c r="R24" s="152"/>
      <c r="S24" s="152"/>
      <c r="T24" s="152"/>
      <c r="U24" s="152"/>
      <c r="V24" s="152"/>
      <c r="W24" s="152"/>
      <c r="X24" s="152"/>
      <c r="Y24" s="152"/>
      <c r="Z24" s="152"/>
    </row>
    <row r="25" spans="1:26">
      <c r="A25" s="142"/>
      <c r="B25" s="142"/>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row>
    <row r="26" spans="1:26">
      <c r="A26" s="142"/>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K1" workbookViewId="0">
      <selection activeCell="AC4" sqref="AC4"/>
    </sheetView>
  </sheetViews>
  <sheetFormatPr baseColWidth="10" defaultColWidth="9.1640625" defaultRowHeight="15"/>
  <cols>
    <col min="1" max="26" width="3.6640625" style="1" customWidth="1"/>
    <col min="27" max="28" width="4.5" customWidth="1"/>
    <col min="29" max="34" width="13.83203125" style="1" customWidth="1"/>
  </cols>
  <sheetData>
    <row r="1" spans="1:34" ht="96" customHeight="1">
      <c r="A1" s="161" t="s">
        <v>821</v>
      </c>
      <c r="B1" s="162"/>
      <c r="C1" s="162"/>
      <c r="D1" s="162"/>
      <c r="E1" s="162"/>
      <c r="F1" s="162"/>
      <c r="G1" s="162"/>
      <c r="H1" s="162"/>
      <c r="I1" s="162"/>
      <c r="J1" s="162"/>
      <c r="K1" s="162"/>
      <c r="L1" s="162"/>
      <c r="M1" s="162"/>
      <c r="N1" s="162"/>
      <c r="O1" s="162"/>
      <c r="P1" s="162"/>
      <c r="Q1" s="162"/>
      <c r="R1" s="162"/>
      <c r="S1" s="162"/>
      <c r="T1" s="162"/>
      <c r="U1" s="162"/>
      <c r="V1" s="162"/>
      <c r="W1" s="162"/>
      <c r="X1" s="162"/>
      <c r="Y1" s="162"/>
      <c r="Z1" s="163"/>
      <c r="AA1" s="15"/>
      <c r="AB1" s="15"/>
      <c r="AC1" s="166"/>
      <c r="AD1" s="166"/>
      <c r="AE1" s="166"/>
      <c r="AF1" s="166"/>
      <c r="AG1" s="166"/>
      <c r="AH1" s="166"/>
    </row>
    <row r="2" spans="1:34">
      <c r="A2" s="164" t="s">
        <v>0</v>
      </c>
      <c r="B2" s="164"/>
      <c r="C2" s="164"/>
      <c r="D2" s="164"/>
      <c r="E2" s="164"/>
      <c r="F2" s="164"/>
      <c r="G2" s="164"/>
      <c r="H2" s="164"/>
      <c r="I2" s="164"/>
      <c r="J2" s="164"/>
      <c r="K2" s="164"/>
      <c r="L2" s="164"/>
      <c r="M2" s="164"/>
      <c r="N2" s="164"/>
      <c r="O2" s="164"/>
      <c r="P2" s="164"/>
      <c r="Q2" s="164"/>
      <c r="R2" s="164"/>
      <c r="S2" s="164"/>
      <c r="T2" s="164"/>
      <c r="U2" s="164"/>
      <c r="V2" s="164"/>
      <c r="W2" s="164"/>
      <c r="X2" s="164"/>
      <c r="Y2" s="164"/>
      <c r="Z2" s="164"/>
      <c r="AC2" s="165" t="s">
        <v>1294</v>
      </c>
      <c r="AD2" s="165"/>
      <c r="AE2" s="165"/>
      <c r="AF2" s="165"/>
      <c r="AG2" s="165"/>
      <c r="AH2" s="165"/>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ht="16">
      <c r="A4" s="151">
        <f>IF(Data!A4&gt;0,Data!A4-4,"")</f>
        <v>1</v>
      </c>
      <c r="B4" s="151">
        <f>IF(Data!B4&gt;0,Data!B4-4,"")</f>
        <v>1</v>
      </c>
      <c r="C4" s="68">
        <f>IF(Data!C4&gt;0,4-Data!C4,"")</f>
        <v>-2</v>
      </c>
      <c r="D4" s="68">
        <f>IF(Data!D4&gt;0,4-Data!D4,"")</f>
        <v>3</v>
      </c>
      <c r="E4" s="68">
        <f>IF(Data!E4&gt;0,4-Data!E4,"")</f>
        <v>-1</v>
      </c>
      <c r="F4" s="151">
        <f>IF(Data!F4&gt;0,Data!F4-4,"")</f>
        <v>-1</v>
      </c>
      <c r="G4" s="151">
        <f>IF(Data!G4&gt;0,Data!G4-4,"")</f>
        <v>-1</v>
      </c>
      <c r="H4" s="151">
        <f>IF(Data!H4&gt;0,Data!H4-4,"")</f>
        <v>0</v>
      </c>
      <c r="I4" s="68">
        <f>IF(Data!I4&gt;0,4-Data!I4,"")</f>
        <v>2</v>
      </c>
      <c r="J4" s="68">
        <f>IF(Data!J4&gt;0,4-Data!J4,"")</f>
        <v>-2</v>
      </c>
      <c r="K4" s="151">
        <f>IF(Data!K4&gt;0,Data!K4-4,"")</f>
        <v>0</v>
      </c>
      <c r="L4" s="68">
        <f>IF(Data!L4&gt;0,4-Data!L4,"")</f>
        <v>0</v>
      </c>
      <c r="M4" s="151">
        <f>IF(Data!M4&gt;0,Data!M4-4,"")</f>
        <v>3</v>
      </c>
      <c r="N4" s="151">
        <f>IF(Data!N4&gt;0,Data!N4-4,"")</f>
        <v>1</v>
      </c>
      <c r="O4" s="151">
        <f>IF(Data!O4&gt;0,Data!O4-4,"")</f>
        <v>0</v>
      </c>
      <c r="P4" s="151">
        <f>IF(Data!P4&gt;0,Data!P4-4,"")</f>
        <v>2</v>
      </c>
      <c r="Q4" s="68">
        <f>IF(Data!Q4&gt;0,4-Data!Q4,"")</f>
        <v>2</v>
      </c>
      <c r="R4" s="68">
        <f>IF(Data!R4&gt;0,4-Data!R4,"")</f>
        <v>1</v>
      </c>
      <c r="S4" s="68">
        <f>IF(Data!S4&gt;0,4-Data!S4,"")</f>
        <v>-2</v>
      </c>
      <c r="T4" s="151">
        <f>IF(Data!T4&gt;0,Data!T4-4,"")</f>
        <v>1</v>
      </c>
      <c r="U4" s="68">
        <f>IF(Data!U4&gt;0,4-Data!U4,"")</f>
        <v>2</v>
      </c>
      <c r="V4" s="151">
        <f>IF(Data!V4&gt;0,Data!V4-4,"")</f>
        <v>-1</v>
      </c>
      <c r="W4" s="68">
        <f>IF(Data!W4&gt;0,4-Data!W4,"")</f>
        <v>0</v>
      </c>
      <c r="X4" s="68">
        <f>IF(Data!X4&gt;0,4-Data!X4,"")</f>
        <v>1</v>
      </c>
      <c r="Y4" s="68">
        <f>IF(Data!Y4&gt;0,4-Data!Y4,"")</f>
        <v>2</v>
      </c>
      <c r="Z4" s="151">
        <f>IF(Data!Z4&gt;0,Data!Z4-4,"")</f>
        <v>1</v>
      </c>
      <c r="AC4" s="69">
        <f t="shared" ref="AC4:AC68" si="0">IF(COUNT(A4,L4,N4,P4,X4,Y4)&gt;0,AVERAGE(A4,L4,N4,P4,X4,Y4),"")</f>
        <v>1.1666666666666667</v>
      </c>
      <c r="AD4" s="69">
        <f>IF(COUNT(B4,D4,M4,U4)&gt;0,AVERAGE(B4,D4,M4,U4),"")</f>
        <v>2.25</v>
      </c>
      <c r="AE4" s="69">
        <f>IF(COUNT(I4,T4,V4,W4)&gt;0,AVERAGE(I4,T4,V4,W4),"")</f>
        <v>0.5</v>
      </c>
      <c r="AF4" s="69">
        <f>IF(COUNT(H4,K4,Q4,S4)&gt;0,AVERAGE(H4,K4,Q4,S4),"")</f>
        <v>0</v>
      </c>
      <c r="AG4" s="69">
        <f>IF(COUNT(E4,F4,G4,R4)&gt;0,AVERAGE(E4,F4,G4,R4),"")</f>
        <v>-0.5</v>
      </c>
      <c r="AH4" s="69">
        <f>IF(COUNT(C4,J4,O4,Z4)&gt;0,AVERAGE(C4,J4,O4,Z4),"")</f>
        <v>-0.75</v>
      </c>
    </row>
    <row r="5" spans="1:34">
      <c r="A5" s="1">
        <f>IF(Data!A5&gt;0,Data!A5-4,"")</f>
        <v>1</v>
      </c>
      <c r="B5" s="1">
        <f>IF(Data!B5&gt;0,Data!B5-4,"")</f>
        <v>2</v>
      </c>
      <c r="C5" s="1">
        <f>IF(Data!C5&gt;0,4-Data!C5,"")</f>
        <v>0</v>
      </c>
      <c r="D5" s="1">
        <f>IF(Data!D5&gt;0,4-Data!D5,"")</f>
        <v>3</v>
      </c>
      <c r="E5" s="1">
        <f>IF(Data!E5&gt;0,4-Data!E5,"")</f>
        <v>0</v>
      </c>
      <c r="F5" s="1">
        <f>IF(Data!F5&gt;0,Data!F5-4,"")</f>
        <v>-1</v>
      </c>
      <c r="G5" s="1">
        <f>IF(Data!G5&gt;0,Data!G5-4,"")</f>
        <v>1</v>
      </c>
      <c r="H5" s="1">
        <f>IF(Data!H5&gt;0,Data!H5-4,"")</f>
        <v>0</v>
      </c>
      <c r="I5" s="1">
        <f>IF(Data!I5&gt;0,4-Data!I5,"")</f>
        <v>-1</v>
      </c>
      <c r="J5" s="1">
        <f>IF(Data!J5&gt;0,4-Data!J5,"")</f>
        <v>1</v>
      </c>
      <c r="K5" s="1">
        <f>IF(Data!K5&gt;0,Data!K5-4,"")</f>
        <v>1</v>
      </c>
      <c r="L5" s="1">
        <f>IF(Data!L5&gt;0,4-Data!L5,"")</f>
        <v>1</v>
      </c>
      <c r="M5" s="1">
        <f>IF(Data!M5&gt;0,Data!M5-4,"")</f>
        <v>3</v>
      </c>
      <c r="N5" s="1">
        <f>IF(Data!N5&gt;0,Data!N5-4,"")</f>
        <v>1</v>
      </c>
      <c r="O5" s="1">
        <f>IF(Data!O5&gt;0,Data!O5-4,"")</f>
        <v>0</v>
      </c>
      <c r="P5" s="1">
        <f>IF(Data!P5&gt;0,Data!P5-4,"")</f>
        <v>2</v>
      </c>
      <c r="Q5" s="1">
        <f>IF(Data!Q5&gt;0,4-Data!Q5,"")</f>
        <v>1</v>
      </c>
      <c r="R5" s="1">
        <f>IF(Data!R5&gt;0,4-Data!R5,"")</f>
        <v>2</v>
      </c>
      <c r="S5" s="1">
        <f>IF(Data!S5&gt;0,4-Data!S5,"")</f>
        <v>2</v>
      </c>
      <c r="T5" s="1">
        <f>IF(Data!T5&gt;0,Data!T5-4,"")</f>
        <v>-1</v>
      </c>
      <c r="U5" s="1">
        <f>IF(Data!U5&gt;0,4-Data!U5,"")</f>
        <v>3</v>
      </c>
      <c r="V5" s="1">
        <f>IF(Data!V5&gt;0,Data!V5-4,"")</f>
        <v>1</v>
      </c>
      <c r="W5" s="1">
        <f>IF(Data!W5&gt;0,4-Data!W5,"")</f>
        <v>3</v>
      </c>
      <c r="X5" s="1">
        <f>IF(Data!X5&gt;0,4-Data!X5,"")</f>
        <v>1</v>
      </c>
      <c r="Y5" s="1">
        <f>IF(Data!Y5&gt;0,4-Data!Y5,"")</f>
        <v>3</v>
      </c>
      <c r="Z5" s="1">
        <f>IF(Data!Z5&gt;0,Data!Z5-4,"")</f>
        <v>1</v>
      </c>
      <c r="AC5" s="7">
        <f t="shared" si="0"/>
        <v>1.5</v>
      </c>
      <c r="AD5" s="7">
        <f t="shared" ref="AD5:AD68" si="1">IF(COUNT(B5,D5,M5,U5)&gt;0,AVERAGE(B5,D5,M5,U5),"")</f>
        <v>2.75</v>
      </c>
      <c r="AE5" s="7">
        <f t="shared" ref="AE5:AE68" si="2">IF(COUNT(I5,T5,V5,W5)&gt;0,AVERAGE(I5,T5,V5,W5),"")</f>
        <v>0.5</v>
      </c>
      <c r="AF5" s="7">
        <f t="shared" ref="AF5:AF68" si="3">IF(COUNT(H5,K5,Q5,S5)&gt;0,AVERAGE(H5,K5,Q5,S5),"")</f>
        <v>1</v>
      </c>
      <c r="AG5" s="7">
        <f t="shared" ref="AG5:AG68" si="4">IF(COUNT(E5,F5,G5,R5)&gt;0,AVERAGE(E5,F5,G5,R5),"")</f>
        <v>0.5</v>
      </c>
      <c r="AH5" s="7">
        <f t="shared" ref="AH5:AH68" si="5">IF(COUNT(C5,J5,O5,Z5)&gt;0,AVERAGE(C5,J5,O5,Z5),"")</f>
        <v>0.5</v>
      </c>
    </row>
    <row r="6" spans="1:34">
      <c r="A6" s="1">
        <f>IF(Data!A6&gt;0,Data!A6-4,"")</f>
        <v>-2</v>
      </c>
      <c r="B6" s="1">
        <f>IF(Data!B6&gt;0,Data!B6-4,"")</f>
        <v>1</v>
      </c>
      <c r="C6" s="1">
        <f>IF(Data!C6&gt;0,4-Data!C6,"")</f>
        <v>0</v>
      </c>
      <c r="D6" s="1">
        <f>IF(Data!D6&gt;0,4-Data!D6,"")</f>
        <v>3</v>
      </c>
      <c r="E6" s="1">
        <f>IF(Data!E6&gt;0,4-Data!E6,"")</f>
        <v>1</v>
      </c>
      <c r="F6" s="1">
        <f>IF(Data!F6&gt;0,Data!F6-4,"")</f>
        <v>-1</v>
      </c>
      <c r="G6" s="1">
        <f>IF(Data!G6&gt;0,Data!G6-4,"")</f>
        <v>1</v>
      </c>
      <c r="H6" s="1">
        <f>IF(Data!H6&gt;0,Data!H6-4,"")</f>
        <v>-1</v>
      </c>
      <c r="I6" s="1">
        <f>IF(Data!I6&gt;0,4-Data!I6,"")</f>
        <v>-1</v>
      </c>
      <c r="J6" s="1">
        <f>IF(Data!J6&gt;0,4-Data!J6,"")</f>
        <v>2</v>
      </c>
      <c r="K6" s="1">
        <f>IF(Data!K6&gt;0,Data!K6-4,"")</f>
        <v>0</v>
      </c>
      <c r="L6" s="1">
        <f>IF(Data!L6&gt;0,4-Data!L6,"")</f>
        <v>0</v>
      </c>
      <c r="M6" s="1">
        <f>IF(Data!M6&gt;0,Data!M6-4,"")</f>
        <v>3</v>
      </c>
      <c r="N6" s="1">
        <f>IF(Data!N6&gt;0,Data!N6-4,"")</f>
        <v>-1</v>
      </c>
      <c r="O6" s="1">
        <f>IF(Data!O6&gt;0,Data!O6-4,"")</f>
        <v>1</v>
      </c>
      <c r="P6" s="1">
        <f>IF(Data!P6&gt;0,Data!P6-4,"")</f>
        <v>0</v>
      </c>
      <c r="Q6" s="1">
        <f>IF(Data!Q6&gt;0,4-Data!Q6,"")</f>
        <v>0</v>
      </c>
      <c r="R6" s="1">
        <f>IF(Data!R6&gt;0,4-Data!R6,"")</f>
        <v>-1</v>
      </c>
      <c r="S6" s="1">
        <f>IF(Data!S6&gt;0,4-Data!S6,"")</f>
        <v>-2</v>
      </c>
      <c r="T6" s="1">
        <f>IF(Data!T6&gt;0,Data!T6-4,"")</f>
        <v>-1</v>
      </c>
      <c r="U6" s="1">
        <f>IF(Data!U6&gt;0,4-Data!U6,"")</f>
        <v>2</v>
      </c>
      <c r="V6" s="1">
        <f>IF(Data!V6&gt;0,Data!V6-4,"")</f>
        <v>0</v>
      </c>
      <c r="W6" s="1">
        <f>IF(Data!W6&gt;0,4-Data!W6,"")</f>
        <v>2</v>
      </c>
      <c r="X6" s="1">
        <f>IF(Data!X6&gt;0,4-Data!X6,"")</f>
        <v>1</v>
      </c>
      <c r="Y6" s="1">
        <f>IF(Data!Y6&gt;0,4-Data!Y6,"")</f>
        <v>2</v>
      </c>
      <c r="Z6" s="1">
        <f>IF(Data!Z6&gt;0,Data!Z6-4,"")</f>
        <v>2</v>
      </c>
      <c r="AC6" s="7">
        <f t="shared" si="0"/>
        <v>0</v>
      </c>
      <c r="AD6" s="7">
        <f t="shared" si="1"/>
        <v>2.25</v>
      </c>
      <c r="AE6" s="7">
        <f t="shared" si="2"/>
        <v>0</v>
      </c>
      <c r="AF6" s="7">
        <f t="shared" si="3"/>
        <v>-0.75</v>
      </c>
      <c r="AG6" s="7">
        <f t="shared" si="4"/>
        <v>0</v>
      </c>
      <c r="AH6" s="7">
        <f t="shared" si="5"/>
        <v>1.25</v>
      </c>
    </row>
    <row r="7" spans="1:34">
      <c r="A7" s="1">
        <f>IF(Data!A7&gt;0,Data!A7-4,"")</f>
        <v>-2</v>
      </c>
      <c r="B7" s="1">
        <f>IF(Data!B7&gt;0,Data!B7-4,"")</f>
        <v>2</v>
      </c>
      <c r="C7" s="1">
        <f>IF(Data!C7&gt;0,4-Data!C7,"")</f>
        <v>-2</v>
      </c>
      <c r="D7" s="1">
        <f>IF(Data!D7&gt;0,4-Data!D7,"")</f>
        <v>3</v>
      </c>
      <c r="E7" s="1">
        <f>IF(Data!E7&gt;0,4-Data!E7,"")</f>
        <v>1</v>
      </c>
      <c r="F7" s="1">
        <f>IF(Data!F7&gt;0,Data!F7-4,"")</f>
        <v>0</v>
      </c>
      <c r="G7" s="1">
        <f>IF(Data!G7&gt;0,Data!G7-4,"")</f>
        <v>1</v>
      </c>
      <c r="H7" s="1">
        <f>IF(Data!H7&gt;0,Data!H7-4,"")</f>
        <v>2</v>
      </c>
      <c r="I7" s="1">
        <f>IF(Data!I7&gt;0,4-Data!I7,"")</f>
        <v>2</v>
      </c>
      <c r="J7" s="1">
        <f>IF(Data!J7&gt;0,4-Data!J7,"")</f>
        <v>2</v>
      </c>
      <c r="K7" s="1">
        <f>IF(Data!K7&gt;0,Data!K7-4,"")</f>
        <v>0</v>
      </c>
      <c r="L7" s="1">
        <f>IF(Data!L7&gt;0,4-Data!L7,"")</f>
        <v>1</v>
      </c>
      <c r="M7" s="1">
        <f>IF(Data!M7&gt;0,Data!M7-4,"")</f>
        <v>2</v>
      </c>
      <c r="N7" s="1">
        <f>IF(Data!N7&gt;0,Data!N7-4,"")</f>
        <v>-1</v>
      </c>
      <c r="O7" s="1">
        <f>IF(Data!O7&gt;0,Data!O7-4,"")</f>
        <v>1</v>
      </c>
      <c r="P7" s="1">
        <f>IF(Data!P7&gt;0,Data!P7-4,"")</f>
        <v>0</v>
      </c>
      <c r="Q7" s="1">
        <f>IF(Data!Q7&gt;0,4-Data!Q7,"")</f>
        <v>1</v>
      </c>
      <c r="R7" s="1">
        <f>IF(Data!R7&gt;0,4-Data!R7,"")</f>
        <v>1</v>
      </c>
      <c r="S7" s="1">
        <f>IF(Data!S7&gt;0,4-Data!S7,"")</f>
        <v>-1</v>
      </c>
      <c r="T7" s="1">
        <f>IF(Data!T7&gt;0,Data!T7-4,"")</f>
        <v>0</v>
      </c>
      <c r="U7" s="1">
        <f>IF(Data!U7&gt;0,4-Data!U7,"")</f>
        <v>-1</v>
      </c>
      <c r="V7" s="1">
        <f>IF(Data!V7&gt;0,Data!V7-4,"")</f>
        <v>-1</v>
      </c>
      <c r="W7" s="1">
        <f>IF(Data!W7&gt;0,4-Data!W7,"")</f>
        <v>1</v>
      </c>
      <c r="X7" s="1">
        <f>IF(Data!X7&gt;0,4-Data!X7,"")</f>
        <v>-1</v>
      </c>
      <c r="Y7" s="1">
        <f>IF(Data!Y7&gt;0,4-Data!Y7,"")</f>
        <v>0</v>
      </c>
      <c r="Z7" s="1">
        <f>IF(Data!Z7&gt;0,Data!Z7-4,"")</f>
        <v>1</v>
      </c>
      <c r="AC7" s="7">
        <f t="shared" si="0"/>
        <v>-0.5</v>
      </c>
      <c r="AD7" s="7">
        <f t="shared" si="1"/>
        <v>1.5</v>
      </c>
      <c r="AE7" s="7">
        <f t="shared" si="2"/>
        <v>0.5</v>
      </c>
      <c r="AF7" s="7">
        <f t="shared" si="3"/>
        <v>0.5</v>
      </c>
      <c r="AG7" s="7">
        <f t="shared" si="4"/>
        <v>0.75</v>
      </c>
      <c r="AH7" s="7">
        <f t="shared" si="5"/>
        <v>0.5</v>
      </c>
    </row>
    <row r="8" spans="1:34">
      <c r="A8" s="1">
        <f>IF(Data!A8&gt;0,Data!A8-4,"")</f>
        <v>1</v>
      </c>
      <c r="B8" s="1">
        <f>IF(Data!B8&gt;0,Data!B8-4,"")</f>
        <v>3</v>
      </c>
      <c r="C8" s="1">
        <f>IF(Data!C8&gt;0,4-Data!C8,"")</f>
        <v>-3</v>
      </c>
      <c r="D8" s="1">
        <f>IF(Data!D8&gt;0,4-Data!D8,"")</f>
        <v>3</v>
      </c>
      <c r="E8" s="1">
        <f>IF(Data!E8&gt;0,4-Data!E8,"")</f>
        <v>0</v>
      </c>
      <c r="F8" s="1">
        <f>IF(Data!F8&gt;0,Data!F8-4,"")</f>
        <v>1</v>
      </c>
      <c r="G8" s="1">
        <f>IF(Data!G8&gt;0,Data!G8-4,"")</f>
        <v>1</v>
      </c>
      <c r="H8" s="1">
        <f>IF(Data!H8&gt;0,Data!H8-4,"")</f>
        <v>3</v>
      </c>
      <c r="I8" s="1">
        <f>IF(Data!I8&gt;0,4-Data!I8,"")</f>
        <v>0</v>
      </c>
      <c r="J8" s="1">
        <f>IF(Data!J8&gt;0,4-Data!J8,"")</f>
        <v>2</v>
      </c>
      <c r="K8" s="1">
        <f>IF(Data!K8&gt;0,Data!K8-4,"")</f>
        <v>0</v>
      </c>
      <c r="L8" s="1">
        <f>IF(Data!L8&gt;0,4-Data!L8,"")</f>
        <v>0</v>
      </c>
      <c r="M8" s="1">
        <f>IF(Data!M8&gt;0,Data!M8-4,"")</f>
        <v>3</v>
      </c>
      <c r="N8" s="1">
        <f>IF(Data!N8&gt;0,Data!N8-4,"")</f>
        <v>0</v>
      </c>
      <c r="O8" s="1">
        <f>IF(Data!O8&gt;0,Data!O8-4,"")</f>
        <v>0</v>
      </c>
      <c r="P8" s="1">
        <f>IF(Data!P8&gt;0,Data!P8-4,"")</f>
        <v>0</v>
      </c>
      <c r="Q8" s="1">
        <f>IF(Data!Q8&gt;0,4-Data!Q8,"")</f>
        <v>3</v>
      </c>
      <c r="R8" s="1">
        <f>IF(Data!R8&gt;0,4-Data!R8,"")</f>
        <v>0</v>
      </c>
      <c r="S8" s="1">
        <f>IF(Data!S8&gt;0,4-Data!S8,"")</f>
        <v>3</v>
      </c>
      <c r="T8" s="1">
        <f>IF(Data!T8&gt;0,Data!T8-4,"")</f>
        <v>0</v>
      </c>
      <c r="U8" s="1">
        <f>IF(Data!U8&gt;0,4-Data!U8,"")</f>
        <v>3</v>
      </c>
      <c r="V8" s="1">
        <f>IF(Data!V8&gt;0,Data!V8-4,"")</f>
        <v>0</v>
      </c>
      <c r="W8" s="1">
        <f>IF(Data!W8&gt;0,4-Data!W8,"")</f>
        <v>3</v>
      </c>
      <c r="X8" s="1">
        <f>IF(Data!X8&gt;0,4-Data!X8,"")</f>
        <v>0</v>
      </c>
      <c r="Y8" s="1">
        <f>IF(Data!Y8&gt;0,4-Data!Y8,"")</f>
        <v>3</v>
      </c>
      <c r="Z8" s="1">
        <f>IF(Data!Z8&gt;0,Data!Z8-4,"")</f>
        <v>0</v>
      </c>
      <c r="AC8" s="7">
        <f t="shared" si="0"/>
        <v>0.66666666666666663</v>
      </c>
      <c r="AD8" s="7">
        <f t="shared" si="1"/>
        <v>3</v>
      </c>
      <c r="AE8" s="7">
        <f t="shared" si="2"/>
        <v>0.75</v>
      </c>
      <c r="AF8" s="7">
        <f t="shared" si="3"/>
        <v>2.25</v>
      </c>
      <c r="AG8" s="7">
        <f t="shared" si="4"/>
        <v>0.5</v>
      </c>
      <c r="AH8" s="7">
        <f t="shared" si="5"/>
        <v>-0.25</v>
      </c>
    </row>
    <row r="9" spans="1:34">
      <c r="A9" s="1">
        <f>IF(Data!A9&gt;0,Data!A9-4,"")</f>
        <v>2</v>
      </c>
      <c r="B9" s="1">
        <f>IF(Data!B9&gt;0,Data!B9-4,"")</f>
        <v>3</v>
      </c>
      <c r="C9" s="1">
        <f>IF(Data!C9&gt;0,4-Data!C9,"")</f>
        <v>0</v>
      </c>
      <c r="D9" s="1">
        <f>IF(Data!D9&gt;0,4-Data!D9,"")</f>
        <v>3</v>
      </c>
      <c r="E9" s="1">
        <f>IF(Data!E9&gt;0,4-Data!E9,"")</f>
        <v>2</v>
      </c>
      <c r="F9" s="1">
        <f>IF(Data!F9&gt;0,Data!F9-4,"")</f>
        <v>-2</v>
      </c>
      <c r="G9" s="1">
        <f>IF(Data!G9&gt;0,Data!G9-4,"")</f>
        <v>0</v>
      </c>
      <c r="H9" s="1">
        <f>IF(Data!H9&gt;0,Data!H9-4,"")</f>
        <v>2</v>
      </c>
      <c r="I9" s="1">
        <f>IF(Data!I9&gt;0,4-Data!I9,"")</f>
        <v>2</v>
      </c>
      <c r="J9" s="1">
        <f>IF(Data!J9&gt;0,4-Data!J9,"")</f>
        <v>2</v>
      </c>
      <c r="K9" s="1">
        <f>IF(Data!K9&gt;0,Data!K9-4,"")</f>
        <v>2</v>
      </c>
      <c r="L9" s="1">
        <f>IF(Data!L9&gt;0,4-Data!L9,"")</f>
        <v>1</v>
      </c>
      <c r="M9" s="1">
        <f>IF(Data!M9&gt;0,Data!M9-4,"")</f>
        <v>3</v>
      </c>
      <c r="N9" s="1">
        <f>IF(Data!N9&gt;0,Data!N9-4,"")</f>
        <v>2</v>
      </c>
      <c r="O9" s="1">
        <f>IF(Data!O9&gt;0,Data!O9-4,"")</f>
        <v>0</v>
      </c>
      <c r="P9" s="1">
        <f>IF(Data!P9&gt;0,Data!P9-4,"")</f>
        <v>2</v>
      </c>
      <c r="Q9" s="1">
        <f>IF(Data!Q9&gt;0,4-Data!Q9,"")</f>
        <v>0</v>
      </c>
      <c r="R9" s="1">
        <f>IF(Data!R9&gt;0,4-Data!R9,"")</f>
        <v>1</v>
      </c>
      <c r="S9" s="1">
        <f>IF(Data!S9&gt;0,4-Data!S9,"")</f>
        <v>0</v>
      </c>
      <c r="T9" s="1">
        <f>IF(Data!T9&gt;0,Data!T9-4,"")</f>
        <v>2</v>
      </c>
      <c r="U9" s="1">
        <f>IF(Data!U9&gt;0,4-Data!U9,"")</f>
        <v>2</v>
      </c>
      <c r="V9" s="1">
        <f>IF(Data!V9&gt;0,Data!V9-4,"")</f>
        <v>2</v>
      </c>
      <c r="W9" s="1">
        <f>IF(Data!W9&gt;0,4-Data!W9,"")</f>
        <v>2</v>
      </c>
      <c r="X9" s="1">
        <f>IF(Data!X9&gt;0,4-Data!X9,"")</f>
        <v>2</v>
      </c>
      <c r="Y9" s="1">
        <f>IF(Data!Y9&gt;0,4-Data!Y9,"")</f>
        <v>3</v>
      </c>
      <c r="Z9" s="1">
        <f>IF(Data!Z9&gt;0,Data!Z9-4,"")</f>
        <v>1</v>
      </c>
      <c r="AC9" s="7">
        <f t="shared" si="0"/>
        <v>2</v>
      </c>
      <c r="AD9" s="7">
        <f t="shared" si="1"/>
        <v>2.75</v>
      </c>
      <c r="AE9" s="7">
        <f t="shared" si="2"/>
        <v>2</v>
      </c>
      <c r="AF9" s="7">
        <f t="shared" si="3"/>
        <v>1</v>
      </c>
      <c r="AG9" s="7">
        <f t="shared" si="4"/>
        <v>0.25</v>
      </c>
      <c r="AH9" s="7">
        <f t="shared" si="5"/>
        <v>0.75</v>
      </c>
    </row>
    <row r="10" spans="1:34">
      <c r="A10" s="1">
        <f>IF(Data!A10&gt;0,Data!A10-4,"")</f>
        <v>3</v>
      </c>
      <c r="B10" s="1">
        <f>IF(Data!B10&gt;0,Data!B10-4,"")</f>
        <v>3</v>
      </c>
      <c r="C10" s="1">
        <f>IF(Data!C10&gt;0,4-Data!C10,"")</f>
        <v>1</v>
      </c>
      <c r="D10" s="1">
        <f>IF(Data!D10&gt;0,4-Data!D10,"")</f>
        <v>3</v>
      </c>
      <c r="E10" s="1">
        <f>IF(Data!E10&gt;0,4-Data!E10,"")</f>
        <v>3</v>
      </c>
      <c r="F10" s="1">
        <f>IF(Data!F10&gt;0,Data!F10-4,"")</f>
        <v>0</v>
      </c>
      <c r="G10" s="1">
        <f>IF(Data!G10&gt;0,Data!G10-4,"")</f>
        <v>2</v>
      </c>
      <c r="H10" s="1">
        <f>IF(Data!H10&gt;0,Data!H10-4,"")</f>
        <v>0</v>
      </c>
      <c r="I10" s="1">
        <f>IF(Data!I10&gt;0,4-Data!I10,"")</f>
        <v>3</v>
      </c>
      <c r="J10" s="1">
        <f>IF(Data!J10&gt;0,4-Data!J10,"")</f>
        <v>3</v>
      </c>
      <c r="K10" s="1">
        <f>IF(Data!K10&gt;0,Data!K10-4,"")</f>
        <v>1</v>
      </c>
      <c r="L10" s="1">
        <f>IF(Data!L10&gt;0,4-Data!L10,"")</f>
        <v>3</v>
      </c>
      <c r="M10" s="1">
        <f>IF(Data!M10&gt;0,Data!M10-4,"")</f>
        <v>2</v>
      </c>
      <c r="N10" s="1">
        <f>IF(Data!N10&gt;0,Data!N10-4,"")</f>
        <v>3</v>
      </c>
      <c r="O10" s="1">
        <f>IF(Data!O10&gt;0,Data!O10-4,"")</f>
        <v>3</v>
      </c>
      <c r="P10" s="1">
        <f>IF(Data!P10&gt;0,Data!P10-4,"")</f>
        <v>3</v>
      </c>
      <c r="Q10" s="1">
        <f>IF(Data!Q10&gt;0,4-Data!Q10,"")</f>
        <v>3</v>
      </c>
      <c r="R10" s="1">
        <f>IF(Data!R10&gt;0,4-Data!R10,"")</f>
        <v>3</v>
      </c>
      <c r="S10" s="1">
        <f>IF(Data!S10&gt;0,4-Data!S10,"")</f>
        <v>3</v>
      </c>
      <c r="T10" s="1">
        <f>IF(Data!T10&gt;0,Data!T10-4,"")</f>
        <v>3</v>
      </c>
      <c r="U10" s="1">
        <f>IF(Data!U10&gt;0,4-Data!U10,"")</f>
        <v>3</v>
      </c>
      <c r="V10" s="1">
        <f>IF(Data!V10&gt;0,Data!V10-4,"")</f>
        <v>3</v>
      </c>
      <c r="W10" s="1">
        <f>IF(Data!W10&gt;0,4-Data!W10,"")</f>
        <v>3</v>
      </c>
      <c r="X10" s="1">
        <f>IF(Data!X10&gt;0,4-Data!X10,"")</f>
        <v>3</v>
      </c>
      <c r="Y10" s="1">
        <f>IF(Data!Y10&gt;0,4-Data!Y10,"")</f>
        <v>3</v>
      </c>
      <c r="Z10" s="1">
        <f>IF(Data!Z10&gt;0,Data!Z10-4,"")</f>
        <v>3</v>
      </c>
      <c r="AC10" s="7">
        <f t="shared" si="0"/>
        <v>3</v>
      </c>
      <c r="AD10" s="7">
        <f t="shared" si="1"/>
        <v>2.75</v>
      </c>
      <c r="AE10" s="7">
        <f t="shared" si="2"/>
        <v>3</v>
      </c>
      <c r="AF10" s="7">
        <f t="shared" si="3"/>
        <v>1.75</v>
      </c>
      <c r="AG10" s="7">
        <f t="shared" si="4"/>
        <v>2</v>
      </c>
      <c r="AH10" s="7">
        <f t="shared" si="5"/>
        <v>2.5</v>
      </c>
    </row>
    <row r="11" spans="1:34">
      <c r="A11" s="1">
        <f>IF(Data!A11&gt;0,Data!A11-4,"")</f>
        <v>-2</v>
      </c>
      <c r="B11" s="1">
        <f>IF(Data!B11&gt;0,Data!B11-4,"")</f>
        <v>2</v>
      </c>
      <c r="C11" s="1">
        <f>IF(Data!C11&gt;0,4-Data!C11,"")</f>
        <v>-2</v>
      </c>
      <c r="D11" s="1">
        <f>IF(Data!D11&gt;0,4-Data!D11,"")</f>
        <v>3</v>
      </c>
      <c r="E11" s="1">
        <f>IF(Data!E11&gt;0,4-Data!E11,"")</f>
        <v>0</v>
      </c>
      <c r="F11" s="1">
        <f>IF(Data!F11&gt;0,Data!F11-4,"")</f>
        <v>-2</v>
      </c>
      <c r="G11" s="1">
        <f>IF(Data!G11&gt;0,Data!G11-4,"")</f>
        <v>1</v>
      </c>
      <c r="H11" s="1">
        <f>IF(Data!H11&gt;0,Data!H11-4,"")</f>
        <v>3</v>
      </c>
      <c r="I11" s="1">
        <f>IF(Data!I11&gt;0,4-Data!I11,"")</f>
        <v>2</v>
      </c>
      <c r="J11" s="1">
        <f>IF(Data!J11&gt;0,4-Data!J11,"")</f>
        <v>-1</v>
      </c>
      <c r="K11" s="1">
        <f>IF(Data!K11&gt;0,Data!K11-4,"")</f>
        <v>-3</v>
      </c>
      <c r="L11" s="1">
        <f>IF(Data!L11&gt;0,4-Data!L11,"")</f>
        <v>-1</v>
      </c>
      <c r="M11" s="1">
        <f>IF(Data!M11&gt;0,Data!M11-4,"")</f>
        <v>1</v>
      </c>
      <c r="N11" s="1">
        <f>IF(Data!N11&gt;0,Data!N11-4,"")</f>
        <v>-2</v>
      </c>
      <c r="O11" s="1">
        <f>IF(Data!O11&gt;0,Data!O11-4,"")</f>
        <v>0</v>
      </c>
      <c r="P11" s="1">
        <f>IF(Data!P11&gt;0,Data!P11-4,"")</f>
        <v>-1</v>
      </c>
      <c r="Q11" s="1">
        <f>IF(Data!Q11&gt;0,4-Data!Q11,"")</f>
        <v>3</v>
      </c>
      <c r="R11" s="1">
        <f>IF(Data!R11&gt;0,4-Data!R11,"")</f>
        <v>-1</v>
      </c>
      <c r="S11" s="1">
        <f>IF(Data!S11&gt;0,4-Data!S11,"")</f>
        <v>-1</v>
      </c>
      <c r="T11" s="1">
        <f>IF(Data!T11&gt;0,Data!T11-4,"")</f>
        <v>-1</v>
      </c>
      <c r="U11" s="1">
        <f>IF(Data!U11&gt;0,4-Data!U11,"")</f>
        <v>2</v>
      </c>
      <c r="V11" s="1">
        <f>IF(Data!V11&gt;0,Data!V11-4,"")</f>
        <v>1</v>
      </c>
      <c r="W11" s="1">
        <f>IF(Data!W11&gt;0,4-Data!W11,"")</f>
        <v>-1</v>
      </c>
      <c r="X11" s="1">
        <f>IF(Data!X11&gt;0,4-Data!X11,"")</f>
        <v>0</v>
      </c>
      <c r="Y11" s="1">
        <f>IF(Data!Y11&gt;0,4-Data!Y11,"")</f>
        <v>2</v>
      </c>
      <c r="Z11" s="1">
        <f>IF(Data!Z11&gt;0,Data!Z11-4,"")</f>
        <v>1</v>
      </c>
      <c r="AC11" s="7">
        <f t="shared" si="0"/>
        <v>-0.66666666666666663</v>
      </c>
      <c r="AD11" s="7">
        <f t="shared" si="1"/>
        <v>2</v>
      </c>
      <c r="AE11" s="7">
        <f t="shared" si="2"/>
        <v>0.25</v>
      </c>
      <c r="AF11" s="7">
        <f t="shared" si="3"/>
        <v>0.5</v>
      </c>
      <c r="AG11" s="7">
        <f t="shared" si="4"/>
        <v>-0.5</v>
      </c>
      <c r="AH11" s="7">
        <f t="shared" si="5"/>
        <v>-0.5</v>
      </c>
    </row>
    <row r="12" spans="1:34">
      <c r="A12" s="1">
        <f>IF(Data!A12&gt;0,Data!A12-4,"")</f>
        <v>-2</v>
      </c>
      <c r="B12" s="1">
        <f>IF(Data!B12&gt;0,Data!B12-4,"")</f>
        <v>0</v>
      </c>
      <c r="C12" s="1">
        <f>IF(Data!C12&gt;0,4-Data!C12,"")</f>
        <v>3</v>
      </c>
      <c r="D12" s="1">
        <f>IF(Data!D12&gt;0,4-Data!D12,"")</f>
        <v>1</v>
      </c>
      <c r="E12" s="1">
        <f>IF(Data!E12&gt;0,4-Data!E12,"")</f>
        <v>1</v>
      </c>
      <c r="F12" s="1">
        <f>IF(Data!F12&gt;0,Data!F12-4,"")</f>
        <v>-2</v>
      </c>
      <c r="G12" s="1">
        <f>IF(Data!G12&gt;0,Data!G12-4,"")</f>
        <v>-1</v>
      </c>
      <c r="H12" s="1">
        <f>IF(Data!H12&gt;0,Data!H12-4,"")</f>
        <v>0</v>
      </c>
      <c r="I12" s="1">
        <f>IF(Data!I12&gt;0,4-Data!I12,"")</f>
        <v>1</v>
      </c>
      <c r="J12" s="1">
        <f>IF(Data!J12&gt;0,4-Data!J12,"")</f>
        <v>2</v>
      </c>
      <c r="K12" s="1">
        <f>IF(Data!K12&gt;0,Data!K12-4,"")</f>
        <v>-2</v>
      </c>
      <c r="L12" s="1">
        <f>IF(Data!L12&gt;0,4-Data!L12,"")</f>
        <v>1</v>
      </c>
      <c r="M12" s="1">
        <f>IF(Data!M12&gt;0,Data!M12-4,"")</f>
        <v>1</v>
      </c>
      <c r="N12" s="1">
        <f>IF(Data!N12&gt;0,Data!N12-4,"")</f>
        <v>-1</v>
      </c>
      <c r="O12" s="1">
        <f>IF(Data!O12&gt;0,Data!O12-4,"")</f>
        <v>-1</v>
      </c>
      <c r="P12" s="1">
        <f>IF(Data!P12&gt;0,Data!P12-4,"")</f>
        <v>-1</v>
      </c>
      <c r="Q12" s="1">
        <f>IF(Data!Q12&gt;0,4-Data!Q12,"")</f>
        <v>-1</v>
      </c>
      <c r="R12" s="1">
        <f>IF(Data!R12&gt;0,4-Data!R12,"")</f>
        <v>-2</v>
      </c>
      <c r="S12" s="1">
        <f>IF(Data!S12&gt;0,4-Data!S12,"")</f>
        <v>-1</v>
      </c>
      <c r="T12" s="1">
        <f>IF(Data!T12&gt;0,Data!T12-4,"")</f>
        <v>-1</v>
      </c>
      <c r="U12" s="1">
        <f>IF(Data!U12&gt;0,4-Data!U12,"")</f>
        <v>0</v>
      </c>
      <c r="V12" s="1">
        <f>IF(Data!V12&gt;0,Data!V12-4,"")</f>
        <v>-1</v>
      </c>
      <c r="W12" s="1">
        <f>IF(Data!W12&gt;0,4-Data!W12,"")</f>
        <v>1</v>
      </c>
      <c r="X12" s="1">
        <f>IF(Data!X12&gt;0,4-Data!X12,"")</f>
        <v>-2</v>
      </c>
      <c r="Y12" s="1">
        <f>IF(Data!Y12&gt;0,4-Data!Y12,"")</f>
        <v>1</v>
      </c>
      <c r="Z12" s="1">
        <f>IF(Data!Z12&gt;0,Data!Z12-4,"")</f>
        <v>-1</v>
      </c>
      <c r="AC12" s="7">
        <f t="shared" si="0"/>
        <v>-0.66666666666666663</v>
      </c>
      <c r="AD12" s="7">
        <f t="shared" si="1"/>
        <v>0.5</v>
      </c>
      <c r="AE12" s="7">
        <f t="shared" si="2"/>
        <v>0</v>
      </c>
      <c r="AF12" s="7">
        <f t="shared" si="3"/>
        <v>-1</v>
      </c>
      <c r="AG12" s="7">
        <f t="shared" si="4"/>
        <v>-1</v>
      </c>
      <c r="AH12" s="7">
        <f t="shared" si="5"/>
        <v>0.75</v>
      </c>
    </row>
    <row r="13" spans="1:34">
      <c r="A13" s="1">
        <f>IF(Data!A13&gt;0,Data!A13-4,"")</f>
        <v>2</v>
      </c>
      <c r="B13" s="1">
        <f>IF(Data!B13&gt;0,Data!B13-4,"")</f>
        <v>3</v>
      </c>
      <c r="C13" s="1">
        <f>IF(Data!C13&gt;0,4-Data!C13,"")</f>
        <v>2</v>
      </c>
      <c r="D13" s="1">
        <f>IF(Data!D13&gt;0,4-Data!D13,"")</f>
        <v>3</v>
      </c>
      <c r="E13" s="1">
        <f>IF(Data!E13&gt;0,4-Data!E13,"")</f>
        <v>1</v>
      </c>
      <c r="F13" s="1">
        <f>IF(Data!F13&gt;0,Data!F13-4,"")</f>
        <v>0</v>
      </c>
      <c r="G13" s="1">
        <f>IF(Data!G13&gt;0,Data!G13-4,"")</f>
        <v>2</v>
      </c>
      <c r="H13" s="1">
        <f>IF(Data!H13&gt;0,Data!H13-4,"")</f>
        <v>3</v>
      </c>
      <c r="I13" s="1">
        <f>IF(Data!I13&gt;0,4-Data!I13,"")</f>
        <v>0</v>
      </c>
      <c r="J13" s="1">
        <f>IF(Data!J13&gt;0,4-Data!J13,"")</f>
        <v>3</v>
      </c>
      <c r="K13" s="1">
        <f>IF(Data!K13&gt;0,Data!K13-4,"")</f>
        <v>2</v>
      </c>
      <c r="L13" s="1">
        <f>IF(Data!L13&gt;0,4-Data!L13,"")</f>
        <v>3</v>
      </c>
      <c r="M13" s="1">
        <f>IF(Data!M13&gt;0,Data!M13-4,"")</f>
        <v>2</v>
      </c>
      <c r="N13" s="1">
        <f>IF(Data!N13&gt;0,Data!N13-4,"")</f>
        <v>2</v>
      </c>
      <c r="O13" s="1">
        <f>IF(Data!O13&gt;0,Data!O13-4,"")</f>
        <v>2</v>
      </c>
      <c r="P13" s="1">
        <f>IF(Data!P13&gt;0,Data!P13-4,"")</f>
        <v>2</v>
      </c>
      <c r="Q13" s="1">
        <f>IF(Data!Q13&gt;0,4-Data!Q13,"")</f>
        <v>0</v>
      </c>
      <c r="R13" s="1">
        <f>IF(Data!R13&gt;0,4-Data!R13,"")</f>
        <v>2</v>
      </c>
      <c r="S13" s="1">
        <f>IF(Data!S13&gt;0,4-Data!S13,"")</f>
        <v>3</v>
      </c>
      <c r="T13" s="1">
        <f>IF(Data!T13&gt;0,Data!T13-4,"")</f>
        <v>0</v>
      </c>
      <c r="U13" s="1">
        <f>IF(Data!U13&gt;0,4-Data!U13,"")</f>
        <v>2</v>
      </c>
      <c r="V13" s="1">
        <f>IF(Data!V13&gt;0,Data!V13-4,"")</f>
        <v>2</v>
      </c>
      <c r="W13" s="1">
        <f>IF(Data!W13&gt;0,4-Data!W13,"")</f>
        <v>3</v>
      </c>
      <c r="X13" s="1">
        <f>IF(Data!X13&gt;0,4-Data!X13,"")</f>
        <v>3</v>
      </c>
      <c r="Y13" s="1">
        <f>IF(Data!Y13&gt;0,4-Data!Y13,"")</f>
        <v>3</v>
      </c>
      <c r="Z13" s="1">
        <f>IF(Data!Z13&gt;0,Data!Z13-4,"")</f>
        <v>3</v>
      </c>
      <c r="AC13" s="7">
        <f t="shared" si="0"/>
        <v>2.5</v>
      </c>
      <c r="AD13" s="7">
        <f t="shared" si="1"/>
        <v>2.5</v>
      </c>
      <c r="AE13" s="7">
        <f t="shared" si="2"/>
        <v>1.25</v>
      </c>
      <c r="AF13" s="7">
        <f t="shared" si="3"/>
        <v>2</v>
      </c>
      <c r="AG13" s="7">
        <f t="shared" si="4"/>
        <v>1.25</v>
      </c>
      <c r="AH13" s="7">
        <f t="shared" si="5"/>
        <v>2.5</v>
      </c>
    </row>
    <row r="14" spans="1:34">
      <c r="A14" s="1">
        <f>IF(Data!A14&gt;0,Data!A14-4,"")</f>
        <v>1</v>
      </c>
      <c r="B14" s="1">
        <f>IF(Data!B14&gt;0,Data!B14-4,"")</f>
        <v>1</v>
      </c>
      <c r="C14" s="1">
        <f>IF(Data!C14&gt;0,4-Data!C14,"")</f>
        <v>1</v>
      </c>
      <c r="D14" s="1">
        <f>IF(Data!D14&gt;0,4-Data!D14,"")</f>
        <v>2</v>
      </c>
      <c r="E14" s="1">
        <f>IF(Data!E14&gt;0,4-Data!E14,"")</f>
        <v>2</v>
      </c>
      <c r="F14" s="1">
        <f>IF(Data!F14&gt;0,Data!F14-4,"")</f>
        <v>1</v>
      </c>
      <c r="G14" s="1">
        <f>IF(Data!G14&gt;0,Data!G14-4,"")</f>
        <v>2</v>
      </c>
      <c r="H14" s="1">
        <f>IF(Data!H14&gt;0,Data!H14-4,"")</f>
        <v>0</v>
      </c>
      <c r="I14" s="1">
        <f>IF(Data!I14&gt;0,4-Data!I14,"")</f>
        <v>2</v>
      </c>
      <c r="J14" s="1">
        <f>IF(Data!J14&gt;0,4-Data!J14,"")</f>
        <v>2</v>
      </c>
      <c r="K14" s="1">
        <f>IF(Data!K14&gt;0,Data!K14-4,"")</f>
        <v>2</v>
      </c>
      <c r="L14" s="1">
        <f>IF(Data!L14&gt;0,4-Data!L14,"")</f>
        <v>2</v>
      </c>
      <c r="M14" s="1">
        <f>IF(Data!M14&gt;0,Data!M14-4,"")</f>
        <v>2</v>
      </c>
      <c r="N14" s="1">
        <f>IF(Data!N14&gt;0,Data!N14-4,"")</f>
        <v>1</v>
      </c>
      <c r="O14" s="1">
        <f>IF(Data!O14&gt;0,Data!O14-4,"")</f>
        <v>1</v>
      </c>
      <c r="P14" s="1">
        <f>IF(Data!P14&gt;0,Data!P14-4,"")</f>
        <v>1</v>
      </c>
      <c r="Q14" s="1">
        <f>IF(Data!Q14&gt;0,4-Data!Q14,"")</f>
        <v>0</v>
      </c>
      <c r="R14" s="1">
        <f>IF(Data!R14&gt;0,4-Data!R14,"")</f>
        <v>2</v>
      </c>
      <c r="S14" s="1">
        <f>IF(Data!S14&gt;0,4-Data!S14,"")</f>
        <v>1</v>
      </c>
      <c r="T14" s="1">
        <f>IF(Data!T14&gt;0,Data!T14-4,"")</f>
        <v>1</v>
      </c>
      <c r="U14" s="1">
        <f>IF(Data!U14&gt;0,4-Data!U14,"")</f>
        <v>1</v>
      </c>
      <c r="V14" s="1">
        <f>IF(Data!V14&gt;0,Data!V14-4,"")</f>
        <v>2</v>
      </c>
      <c r="W14" s="1">
        <f>IF(Data!W14&gt;0,4-Data!W14,"")</f>
        <v>1</v>
      </c>
      <c r="X14" s="1">
        <f>IF(Data!X14&gt;0,4-Data!X14,"")</f>
        <v>1</v>
      </c>
      <c r="Y14" s="1">
        <f>IF(Data!Y14&gt;0,4-Data!Y14,"")</f>
        <v>0</v>
      </c>
      <c r="Z14" s="1">
        <f>IF(Data!Z14&gt;0,Data!Z14-4,"")</f>
        <v>1</v>
      </c>
      <c r="AC14" s="7">
        <f t="shared" si="0"/>
        <v>1</v>
      </c>
      <c r="AD14" s="7">
        <f t="shared" si="1"/>
        <v>1.5</v>
      </c>
      <c r="AE14" s="7">
        <f t="shared" si="2"/>
        <v>1.5</v>
      </c>
      <c r="AF14" s="7">
        <f t="shared" si="3"/>
        <v>0.75</v>
      </c>
      <c r="AG14" s="7">
        <f t="shared" si="4"/>
        <v>1.75</v>
      </c>
      <c r="AH14" s="7">
        <f t="shared" si="5"/>
        <v>1.25</v>
      </c>
    </row>
    <row r="15" spans="1:34">
      <c r="A15" s="1">
        <f>IF(Data!A15&gt;0,Data!A15-4,"")</f>
        <v>1</v>
      </c>
      <c r="B15" s="1">
        <f>IF(Data!B15&gt;0,Data!B15-4,"")</f>
        <v>2</v>
      </c>
      <c r="C15" s="1">
        <f>IF(Data!C15&gt;0,4-Data!C15,"")</f>
        <v>1</v>
      </c>
      <c r="D15" s="1">
        <f>IF(Data!D15&gt;0,4-Data!D15,"")</f>
        <v>2</v>
      </c>
      <c r="E15" s="1">
        <f>IF(Data!E15&gt;0,4-Data!E15,"")</f>
        <v>1</v>
      </c>
      <c r="F15" s="1">
        <f>IF(Data!F15&gt;0,Data!F15-4,"")</f>
        <v>0</v>
      </c>
      <c r="G15" s="1">
        <f>IF(Data!G15&gt;0,Data!G15-4,"")</f>
        <v>1</v>
      </c>
      <c r="H15" s="1">
        <f>IF(Data!H15&gt;0,Data!H15-4,"")</f>
        <v>1</v>
      </c>
      <c r="I15" s="1">
        <f>IF(Data!I15&gt;0,4-Data!I15,"")</f>
        <v>-1</v>
      </c>
      <c r="J15" s="1">
        <f>IF(Data!J15&gt;0,4-Data!J15,"")</f>
        <v>1</v>
      </c>
      <c r="K15" s="1">
        <f>IF(Data!K15&gt;0,Data!K15-4,"")</f>
        <v>0</v>
      </c>
      <c r="L15" s="1">
        <f>IF(Data!L15&gt;0,4-Data!L15,"")</f>
        <v>1</v>
      </c>
      <c r="M15" s="1">
        <f>IF(Data!M15&gt;0,Data!M15-4,"")</f>
        <v>1</v>
      </c>
      <c r="N15" s="1">
        <f>IF(Data!N15&gt;0,Data!N15-4,"")</f>
        <v>1</v>
      </c>
      <c r="O15" s="1">
        <f>IF(Data!O15&gt;0,Data!O15-4,"")</f>
        <v>0</v>
      </c>
      <c r="P15" s="1">
        <f>IF(Data!P15&gt;0,Data!P15-4,"")</f>
        <v>1</v>
      </c>
      <c r="Q15" s="1">
        <f>IF(Data!Q15&gt;0,4-Data!Q15,"")</f>
        <v>1</v>
      </c>
      <c r="R15" s="1">
        <f>IF(Data!R15&gt;0,4-Data!R15,"")</f>
        <v>1</v>
      </c>
      <c r="S15" s="1">
        <f>IF(Data!S15&gt;0,4-Data!S15,"")</f>
        <v>1</v>
      </c>
      <c r="T15" s="1">
        <f>IF(Data!T15&gt;0,Data!T15-4,"")</f>
        <v>0</v>
      </c>
      <c r="U15" s="1">
        <f>IF(Data!U15&gt;0,4-Data!U15,"")</f>
        <v>1</v>
      </c>
      <c r="V15" s="1">
        <f>IF(Data!V15&gt;0,Data!V15-4,"")</f>
        <v>1</v>
      </c>
      <c r="W15" s="1">
        <f>IF(Data!W15&gt;0,4-Data!W15,"")</f>
        <v>1</v>
      </c>
      <c r="X15" s="1">
        <f>IF(Data!X15&gt;0,4-Data!X15,"")</f>
        <v>1</v>
      </c>
      <c r="Y15" s="1">
        <f>IF(Data!Y15&gt;0,4-Data!Y15,"")</f>
        <v>2</v>
      </c>
      <c r="Z15" s="1">
        <f>IF(Data!Z15&gt;0,Data!Z15-4,"")</f>
        <v>1</v>
      </c>
      <c r="AC15" s="7">
        <f t="shared" si="0"/>
        <v>1.1666666666666667</v>
      </c>
      <c r="AD15" s="7">
        <f t="shared" si="1"/>
        <v>1.5</v>
      </c>
      <c r="AE15" s="7">
        <f t="shared" si="2"/>
        <v>0.25</v>
      </c>
      <c r="AF15" s="7">
        <f t="shared" si="3"/>
        <v>0.75</v>
      </c>
      <c r="AG15" s="7">
        <f t="shared" si="4"/>
        <v>0.75</v>
      </c>
      <c r="AH15" s="7">
        <f t="shared" si="5"/>
        <v>0.75</v>
      </c>
    </row>
    <row r="16" spans="1:34">
      <c r="A16" s="1">
        <f>IF(Data!A16&gt;0,Data!A16-4,"")</f>
        <v>1</v>
      </c>
      <c r="B16" s="1">
        <f>IF(Data!B16&gt;0,Data!B16-4,"")</f>
        <v>3</v>
      </c>
      <c r="C16" s="1">
        <f>IF(Data!C16&gt;0,4-Data!C16,"")</f>
        <v>-2</v>
      </c>
      <c r="D16" s="1">
        <f>IF(Data!D16&gt;0,4-Data!D16,"")</f>
        <v>3</v>
      </c>
      <c r="E16" s="1">
        <f>IF(Data!E16&gt;0,4-Data!E16,"")</f>
        <v>2</v>
      </c>
      <c r="F16" s="1">
        <f>IF(Data!F16&gt;0,Data!F16-4,"")</f>
        <v>-1</v>
      </c>
      <c r="G16" s="1">
        <f>IF(Data!G16&gt;0,Data!G16-4,"")</f>
        <v>1</v>
      </c>
      <c r="H16" s="1">
        <f>IF(Data!H16&gt;0,Data!H16-4,"")</f>
        <v>3</v>
      </c>
      <c r="I16" s="1">
        <f>IF(Data!I16&gt;0,4-Data!I16,"")</f>
        <v>1</v>
      </c>
      <c r="J16" s="1">
        <f>IF(Data!J16&gt;0,4-Data!J16,"")</f>
        <v>1</v>
      </c>
      <c r="K16" s="1">
        <f>IF(Data!K16&gt;0,Data!K16-4,"")</f>
        <v>2</v>
      </c>
      <c r="L16" s="1">
        <f>IF(Data!L16&gt;0,4-Data!L16,"")</f>
        <v>2</v>
      </c>
      <c r="M16" s="1">
        <f>IF(Data!M16&gt;0,Data!M16-4,"")</f>
        <v>3</v>
      </c>
      <c r="N16" s="1">
        <f>IF(Data!N16&gt;0,Data!N16-4,"")</f>
        <v>3</v>
      </c>
      <c r="O16" s="1">
        <f>IF(Data!O16&gt;0,Data!O16-4,"")</f>
        <v>1</v>
      </c>
      <c r="P16" s="1">
        <f>IF(Data!P16&gt;0,Data!P16-4,"")</f>
        <v>3</v>
      </c>
      <c r="Q16" s="1">
        <f>IF(Data!Q16&gt;0,4-Data!Q16,"")</f>
        <v>-1</v>
      </c>
      <c r="R16" s="1">
        <f>IF(Data!R16&gt;0,4-Data!R16,"")</f>
        <v>2</v>
      </c>
      <c r="S16" s="1">
        <f>IF(Data!S16&gt;0,4-Data!S16,"")</f>
        <v>-1</v>
      </c>
      <c r="T16" s="1">
        <f>IF(Data!T16&gt;0,Data!T16-4,"")</f>
        <v>-1</v>
      </c>
      <c r="U16" s="1">
        <f>IF(Data!U16&gt;0,4-Data!U16,"")</f>
        <v>3</v>
      </c>
      <c r="V16" s="1">
        <f>IF(Data!V16&gt;0,Data!V16-4,"")</f>
        <v>3</v>
      </c>
      <c r="W16" s="1">
        <f>IF(Data!W16&gt;0,4-Data!W16,"")</f>
        <v>3</v>
      </c>
      <c r="X16" s="1">
        <f>IF(Data!X16&gt;0,4-Data!X16,"")</f>
        <v>0</v>
      </c>
      <c r="Y16" s="1">
        <f>IF(Data!Y16&gt;0,4-Data!Y16,"")</f>
        <v>3</v>
      </c>
      <c r="Z16" s="1">
        <f>IF(Data!Z16&gt;0,Data!Z16-4,"")</f>
        <v>3</v>
      </c>
      <c r="AC16" s="7">
        <f t="shared" si="0"/>
        <v>2</v>
      </c>
      <c r="AD16" s="7">
        <f t="shared" si="1"/>
        <v>3</v>
      </c>
      <c r="AE16" s="7">
        <f t="shared" si="2"/>
        <v>1.5</v>
      </c>
      <c r="AF16" s="7">
        <f t="shared" si="3"/>
        <v>0.75</v>
      </c>
      <c r="AG16" s="7">
        <f t="shared" si="4"/>
        <v>1</v>
      </c>
      <c r="AH16" s="7">
        <f t="shared" si="5"/>
        <v>0.75</v>
      </c>
    </row>
    <row r="17" spans="1:34">
      <c r="A17" s="1">
        <f>IF(Data!A17&gt;0,Data!A17-4,"")</f>
        <v>-1</v>
      </c>
      <c r="B17" s="1">
        <f>IF(Data!B17&gt;0,Data!B17-4,"")</f>
        <v>2</v>
      </c>
      <c r="C17" s="1">
        <f>IF(Data!C17&gt;0,4-Data!C17,"")</f>
        <v>-1</v>
      </c>
      <c r="D17" s="1">
        <f>IF(Data!D17&gt;0,4-Data!D17,"")</f>
        <v>3</v>
      </c>
      <c r="E17" s="1">
        <f>IF(Data!E17&gt;0,4-Data!E17,"")</f>
        <v>2</v>
      </c>
      <c r="F17" s="1">
        <f>IF(Data!F17&gt;0,Data!F17-4,"")</f>
        <v>-1</v>
      </c>
      <c r="G17" s="1">
        <f>IF(Data!G17&gt;0,Data!G17-4,"")</f>
        <v>1</v>
      </c>
      <c r="H17" s="1">
        <f>IF(Data!H17&gt;0,Data!H17-4,"")</f>
        <v>1</v>
      </c>
      <c r="I17" s="1">
        <f>IF(Data!I17&gt;0,4-Data!I17,"")</f>
        <v>2</v>
      </c>
      <c r="J17" s="1">
        <f>IF(Data!J17&gt;0,4-Data!J17,"")</f>
        <v>3</v>
      </c>
      <c r="K17" s="1">
        <f>IF(Data!K17&gt;0,Data!K17-4,"")</f>
        <v>1</v>
      </c>
      <c r="L17" s="1">
        <f>IF(Data!L17&gt;0,4-Data!L17,"")</f>
        <v>2</v>
      </c>
      <c r="M17" s="1">
        <f>IF(Data!M17&gt;0,Data!M17-4,"")</f>
        <v>3</v>
      </c>
      <c r="N17" s="1">
        <f>IF(Data!N17&gt;0,Data!N17-4,"")</f>
        <v>2</v>
      </c>
      <c r="O17" s="1">
        <f>IF(Data!O17&gt;0,Data!O17-4,"")</f>
        <v>-2</v>
      </c>
      <c r="P17" s="1">
        <f>IF(Data!P17&gt;0,Data!P17-4,"")</f>
        <v>2</v>
      </c>
      <c r="Q17" s="1">
        <f>IF(Data!Q17&gt;0,4-Data!Q17,"")</f>
        <v>-3</v>
      </c>
      <c r="R17" s="1">
        <f>IF(Data!R17&gt;0,4-Data!R17,"")</f>
        <v>1</v>
      </c>
      <c r="S17" s="1">
        <f>IF(Data!S17&gt;0,4-Data!S17,"")</f>
        <v>1</v>
      </c>
      <c r="T17" s="1">
        <f>IF(Data!T17&gt;0,Data!T17-4,"")</f>
        <v>2</v>
      </c>
      <c r="U17" s="1">
        <f>IF(Data!U17&gt;0,4-Data!U17,"")</f>
        <v>2</v>
      </c>
      <c r="V17" s="1">
        <f>IF(Data!V17&gt;0,Data!V17-4,"")</f>
        <v>2</v>
      </c>
      <c r="W17" s="1">
        <f>IF(Data!W17&gt;0,4-Data!W17,"")</f>
        <v>1</v>
      </c>
      <c r="X17" s="1">
        <f>IF(Data!X17&gt;0,4-Data!X17,"")</f>
        <v>2</v>
      </c>
      <c r="Y17" s="1">
        <f>IF(Data!Y17&gt;0,4-Data!Y17,"")</f>
        <v>2</v>
      </c>
      <c r="Z17" s="1">
        <f>IF(Data!Z17&gt;0,Data!Z17-4,"")</f>
        <v>3</v>
      </c>
      <c r="AC17" s="7">
        <f t="shared" si="0"/>
        <v>1.5</v>
      </c>
      <c r="AD17" s="7">
        <f t="shared" si="1"/>
        <v>2.5</v>
      </c>
      <c r="AE17" s="7">
        <f t="shared" si="2"/>
        <v>1.75</v>
      </c>
      <c r="AF17" s="7">
        <f t="shared" si="3"/>
        <v>0</v>
      </c>
      <c r="AG17" s="7">
        <f t="shared" si="4"/>
        <v>0.75</v>
      </c>
      <c r="AH17" s="7">
        <f t="shared" si="5"/>
        <v>0.75</v>
      </c>
    </row>
    <row r="18" spans="1:34">
      <c r="A18" s="1">
        <f>IF(Data!A18&gt;0,Data!A18-4,"")</f>
        <v>1</v>
      </c>
      <c r="B18" s="1">
        <f>IF(Data!B18&gt;0,Data!B18-4,"")</f>
        <v>1</v>
      </c>
      <c r="C18" s="1">
        <f>IF(Data!C18&gt;0,4-Data!C18,"")</f>
        <v>2</v>
      </c>
      <c r="D18" s="1">
        <f>IF(Data!D18&gt;0,4-Data!D18,"")</f>
        <v>3</v>
      </c>
      <c r="E18" s="1">
        <f>IF(Data!E18&gt;0,4-Data!E18,"")</f>
        <v>0</v>
      </c>
      <c r="F18" s="1">
        <f>IF(Data!F18&gt;0,Data!F18-4,"")</f>
        <v>1</v>
      </c>
      <c r="G18" s="1">
        <f>IF(Data!G18&gt;0,Data!G18-4,"")</f>
        <v>1</v>
      </c>
      <c r="H18" s="1">
        <f>IF(Data!H18&gt;0,Data!H18-4,"")</f>
        <v>3</v>
      </c>
      <c r="I18" s="1">
        <f>IF(Data!I18&gt;0,4-Data!I18,"")</f>
        <v>2</v>
      </c>
      <c r="J18" s="1">
        <f>IF(Data!J18&gt;0,4-Data!J18,"")</f>
        <v>1</v>
      </c>
      <c r="K18" s="1">
        <f>IF(Data!K18&gt;0,Data!K18-4,"")</f>
        <v>1</v>
      </c>
      <c r="L18" s="1">
        <f>IF(Data!L18&gt;0,4-Data!L18,"")</f>
        <v>2</v>
      </c>
      <c r="M18" s="1">
        <f>IF(Data!M18&gt;0,Data!M18-4,"")</f>
        <v>2</v>
      </c>
      <c r="N18" s="1">
        <f>IF(Data!N18&gt;0,Data!N18-4,"")</f>
        <v>2</v>
      </c>
      <c r="O18" s="1">
        <f>IF(Data!O18&gt;0,Data!O18-4,"")</f>
        <v>2</v>
      </c>
      <c r="P18" s="1">
        <f>IF(Data!P18&gt;0,Data!P18-4,"")</f>
        <v>2</v>
      </c>
      <c r="Q18" s="1">
        <f>IF(Data!Q18&gt;0,4-Data!Q18,"")</f>
        <v>2</v>
      </c>
      <c r="R18" s="1">
        <f>IF(Data!R18&gt;0,4-Data!R18,"")</f>
        <v>2</v>
      </c>
      <c r="S18" s="1">
        <f>IF(Data!S18&gt;0,4-Data!S18,"")</f>
        <v>2</v>
      </c>
      <c r="T18" s="1">
        <f>IF(Data!T18&gt;0,Data!T18-4,"")</f>
        <v>0</v>
      </c>
      <c r="U18" s="1">
        <f>IF(Data!U18&gt;0,4-Data!U18,"")</f>
        <v>2</v>
      </c>
      <c r="V18" s="1">
        <f>IF(Data!V18&gt;0,Data!V18-4,"")</f>
        <v>2</v>
      </c>
      <c r="W18" s="1">
        <f>IF(Data!W18&gt;0,4-Data!W18,"")</f>
        <v>3</v>
      </c>
      <c r="X18" s="1">
        <f>IF(Data!X18&gt;0,4-Data!X18,"")</f>
        <v>1</v>
      </c>
      <c r="Y18" s="1">
        <f>IF(Data!Y18&gt;0,4-Data!Y18,"")</f>
        <v>1</v>
      </c>
      <c r="Z18" s="1">
        <f>IF(Data!Z18&gt;0,Data!Z18-4,"")</f>
        <v>2</v>
      </c>
      <c r="AC18" s="7">
        <f t="shared" si="0"/>
        <v>1.5</v>
      </c>
      <c r="AD18" s="7">
        <f t="shared" si="1"/>
        <v>2</v>
      </c>
      <c r="AE18" s="7">
        <f t="shared" si="2"/>
        <v>1.75</v>
      </c>
      <c r="AF18" s="7">
        <f t="shared" si="3"/>
        <v>2</v>
      </c>
      <c r="AG18" s="7">
        <f t="shared" si="4"/>
        <v>1</v>
      </c>
      <c r="AH18" s="7">
        <f t="shared" si="5"/>
        <v>1.75</v>
      </c>
    </row>
    <row r="19" spans="1:34">
      <c r="A19" s="1">
        <f>IF(Data!A19&gt;0,Data!A19-4,"")</f>
        <v>1</v>
      </c>
      <c r="B19" s="1">
        <f>IF(Data!B19&gt;0,Data!B19-4,"")</f>
        <v>0</v>
      </c>
      <c r="C19" s="1">
        <f>IF(Data!C19&gt;0,4-Data!C19,"")</f>
        <v>-1</v>
      </c>
      <c r="D19" s="1">
        <f>IF(Data!D19&gt;0,4-Data!D19,"")</f>
        <v>2</v>
      </c>
      <c r="E19" s="1">
        <f>IF(Data!E19&gt;0,4-Data!E19,"")</f>
        <v>1</v>
      </c>
      <c r="F19" s="1">
        <f>IF(Data!F19&gt;0,Data!F19-4,"")</f>
        <v>-1</v>
      </c>
      <c r="G19" s="1">
        <f>IF(Data!G19&gt;0,Data!G19-4,"")</f>
        <v>1</v>
      </c>
      <c r="H19" s="1">
        <f>IF(Data!H19&gt;0,Data!H19-4,"")</f>
        <v>2</v>
      </c>
      <c r="I19" s="1">
        <f>IF(Data!I19&gt;0,4-Data!I19,"")</f>
        <v>1</v>
      </c>
      <c r="J19" s="1">
        <f>IF(Data!J19&gt;0,4-Data!J19,"")</f>
        <v>0</v>
      </c>
      <c r="K19" s="1">
        <f>IF(Data!K19&gt;0,Data!K19-4,"")</f>
        <v>0</v>
      </c>
      <c r="L19" s="1">
        <f>IF(Data!L19&gt;0,4-Data!L19,"")</f>
        <v>1</v>
      </c>
      <c r="M19" s="1">
        <f>IF(Data!M19&gt;0,Data!M19-4,"")</f>
        <v>2</v>
      </c>
      <c r="N19" s="1">
        <f>IF(Data!N19&gt;0,Data!N19-4,"")</f>
        <v>1</v>
      </c>
      <c r="O19" s="1">
        <f>IF(Data!O19&gt;0,Data!O19-4,"")</f>
        <v>1</v>
      </c>
      <c r="P19" s="1">
        <f>IF(Data!P19&gt;0,Data!P19-4,"")</f>
        <v>1</v>
      </c>
      <c r="Q19" s="1">
        <f>IF(Data!Q19&gt;0,4-Data!Q19,"")</f>
        <v>0</v>
      </c>
      <c r="R19" s="1">
        <f>IF(Data!R19&gt;0,4-Data!R19,"")</f>
        <v>1</v>
      </c>
      <c r="S19" s="1">
        <f>IF(Data!S19&gt;0,4-Data!S19,"")</f>
        <v>1</v>
      </c>
      <c r="T19" s="1">
        <f>IF(Data!T19&gt;0,Data!T19-4,"")</f>
        <v>0</v>
      </c>
      <c r="U19" s="1">
        <f>IF(Data!U19&gt;0,4-Data!U19,"")</f>
        <v>1</v>
      </c>
      <c r="V19" s="1">
        <f>IF(Data!V19&gt;0,Data!V19-4,"")</f>
        <v>1</v>
      </c>
      <c r="W19" s="1">
        <f>IF(Data!W19&gt;0,4-Data!W19,"")</f>
        <v>1</v>
      </c>
      <c r="X19" s="1">
        <f>IF(Data!X19&gt;0,4-Data!X19,"")</f>
        <v>0</v>
      </c>
      <c r="Y19" s="1">
        <f>IF(Data!Y19&gt;0,4-Data!Y19,"")</f>
        <v>1</v>
      </c>
      <c r="Z19" s="1">
        <f>IF(Data!Z19&gt;0,Data!Z19-4,"")</f>
        <v>1</v>
      </c>
      <c r="AC19" s="7">
        <f t="shared" si="0"/>
        <v>0.83333333333333337</v>
      </c>
      <c r="AD19" s="7">
        <f t="shared" si="1"/>
        <v>1.25</v>
      </c>
      <c r="AE19" s="7">
        <f t="shared" si="2"/>
        <v>0.75</v>
      </c>
      <c r="AF19" s="7">
        <f t="shared" si="3"/>
        <v>0.75</v>
      </c>
      <c r="AG19" s="7">
        <f t="shared" si="4"/>
        <v>0.5</v>
      </c>
      <c r="AH19" s="7">
        <f t="shared" si="5"/>
        <v>0.25</v>
      </c>
    </row>
    <row r="20" spans="1:34">
      <c r="A20" s="1">
        <f>IF(Data!A20&gt;0,Data!A20-4,"")</f>
        <v>0</v>
      </c>
      <c r="B20" s="1">
        <f>IF(Data!B20&gt;0,Data!B20-4,"")</f>
        <v>2</v>
      </c>
      <c r="C20" s="1">
        <f>IF(Data!C20&gt;0,4-Data!C20,"")</f>
        <v>0</v>
      </c>
      <c r="D20" s="1">
        <f>IF(Data!D20&gt;0,4-Data!D20,"")</f>
        <v>3</v>
      </c>
      <c r="E20" s="1">
        <f>IF(Data!E20&gt;0,4-Data!E20,"")</f>
        <v>-2</v>
      </c>
      <c r="F20" s="1">
        <f>IF(Data!F20&gt;0,Data!F20-4,"")</f>
        <v>-1</v>
      </c>
      <c r="G20" s="1">
        <f>IF(Data!G20&gt;0,Data!G20-4,"")</f>
        <v>1</v>
      </c>
      <c r="H20" s="1">
        <f>IF(Data!H20&gt;0,Data!H20-4,"")</f>
        <v>3</v>
      </c>
      <c r="I20" s="1">
        <f>IF(Data!I20&gt;0,4-Data!I20,"")</f>
        <v>0</v>
      </c>
      <c r="J20" s="1">
        <f>IF(Data!J20&gt;0,4-Data!J20,"")</f>
        <v>3</v>
      </c>
      <c r="K20" s="1">
        <f>IF(Data!K20&gt;0,Data!K20-4,"")</f>
        <v>0</v>
      </c>
      <c r="L20" s="1">
        <f>IF(Data!L20&gt;0,4-Data!L20,"")</f>
        <v>1</v>
      </c>
      <c r="M20" s="1">
        <f>IF(Data!M20&gt;0,Data!M20-4,"")</f>
        <v>2</v>
      </c>
      <c r="N20" s="1">
        <f>IF(Data!N20&gt;0,Data!N20-4,"")</f>
        <v>-1</v>
      </c>
      <c r="O20" s="1">
        <f>IF(Data!O20&gt;0,Data!O20-4,"")</f>
        <v>0</v>
      </c>
      <c r="P20" s="1">
        <f>IF(Data!P20&gt;0,Data!P20-4,"")</f>
        <v>0</v>
      </c>
      <c r="Q20" s="1">
        <f>IF(Data!Q20&gt;0,4-Data!Q20,"")</f>
        <v>1</v>
      </c>
      <c r="R20" s="1">
        <f>IF(Data!R20&gt;0,4-Data!R20,"")</f>
        <v>0</v>
      </c>
      <c r="S20" s="1">
        <f>IF(Data!S20&gt;0,4-Data!S20,"")</f>
        <v>-2</v>
      </c>
      <c r="T20" s="1">
        <f>IF(Data!T20&gt;0,Data!T20-4,"")</f>
        <v>-1</v>
      </c>
      <c r="U20" s="1">
        <f>IF(Data!U20&gt;0,4-Data!U20,"")</f>
        <v>2</v>
      </c>
      <c r="V20" s="1">
        <f>IF(Data!V20&gt;0,Data!V20-4,"")</f>
        <v>2</v>
      </c>
      <c r="W20" s="1">
        <f>IF(Data!W20&gt;0,4-Data!W20,"")</f>
        <v>3</v>
      </c>
      <c r="X20" s="1">
        <f>IF(Data!X20&gt;0,4-Data!X20,"")</f>
        <v>-1</v>
      </c>
      <c r="Y20" s="1">
        <f>IF(Data!Y20&gt;0,4-Data!Y20,"")</f>
        <v>2</v>
      </c>
      <c r="Z20" s="1">
        <f>IF(Data!Z20&gt;0,Data!Z20-4,"")</f>
        <v>2</v>
      </c>
      <c r="AC20" s="7">
        <f t="shared" si="0"/>
        <v>0.16666666666666666</v>
      </c>
      <c r="AD20" s="7">
        <f t="shared" si="1"/>
        <v>2.25</v>
      </c>
      <c r="AE20" s="7">
        <f t="shared" si="2"/>
        <v>1</v>
      </c>
      <c r="AF20" s="7">
        <f t="shared" si="3"/>
        <v>0.5</v>
      </c>
      <c r="AG20" s="7">
        <f t="shared" si="4"/>
        <v>-0.5</v>
      </c>
      <c r="AH20" s="7">
        <f t="shared" si="5"/>
        <v>1.25</v>
      </c>
    </row>
    <row r="21" spans="1:34">
      <c r="A21" s="1">
        <f>IF(Data!A21&gt;0,Data!A21-4,"")</f>
        <v>0</v>
      </c>
      <c r="B21" s="1">
        <f>IF(Data!B21&gt;0,Data!B21-4,"")</f>
        <v>3</v>
      </c>
      <c r="C21" s="1">
        <f>IF(Data!C21&gt;0,4-Data!C21,"")</f>
        <v>-2</v>
      </c>
      <c r="D21" s="1">
        <f>IF(Data!D21&gt;0,4-Data!D21,"")</f>
        <v>3</v>
      </c>
      <c r="E21" s="1">
        <f>IF(Data!E21&gt;0,4-Data!E21,"")</f>
        <v>0</v>
      </c>
      <c r="F21" s="1">
        <f>IF(Data!F21&gt;0,Data!F21-4,"")</f>
        <v>-1</v>
      </c>
      <c r="G21" s="1">
        <f>IF(Data!G21&gt;0,Data!G21-4,"")</f>
        <v>-1</v>
      </c>
      <c r="H21" s="1">
        <f>IF(Data!H21&gt;0,Data!H21-4,"")</f>
        <v>2</v>
      </c>
      <c r="I21" s="1">
        <f>IF(Data!I21&gt;0,4-Data!I21,"")</f>
        <v>1</v>
      </c>
      <c r="J21" s="1">
        <f>IF(Data!J21&gt;0,4-Data!J21,"")</f>
        <v>2</v>
      </c>
      <c r="K21" s="1">
        <f>IF(Data!K21&gt;0,Data!K21-4,"")</f>
        <v>0</v>
      </c>
      <c r="L21" s="1">
        <f>IF(Data!L21&gt;0,4-Data!L21,"")</f>
        <v>2</v>
      </c>
      <c r="M21" s="1">
        <f>IF(Data!M21&gt;0,Data!M21-4,"")</f>
        <v>3</v>
      </c>
      <c r="N21" s="1">
        <f>IF(Data!N21&gt;0,Data!N21-4,"")</f>
        <v>2</v>
      </c>
      <c r="O21" s="1">
        <f>IF(Data!O21&gt;0,Data!O21-4,"")</f>
        <v>1</v>
      </c>
      <c r="P21" s="1">
        <f>IF(Data!P21&gt;0,Data!P21-4,"")</f>
        <v>2</v>
      </c>
      <c r="Q21" s="1">
        <f>IF(Data!Q21&gt;0,4-Data!Q21,"")</f>
        <v>-1</v>
      </c>
      <c r="R21" s="1">
        <f>IF(Data!R21&gt;0,4-Data!R21,"")</f>
        <v>-1</v>
      </c>
      <c r="S21" s="1">
        <f>IF(Data!S21&gt;0,4-Data!S21,"")</f>
        <v>1</v>
      </c>
      <c r="T21" s="1">
        <f>IF(Data!T21&gt;0,Data!T21-4,"")</f>
        <v>-1</v>
      </c>
      <c r="U21" s="1">
        <f>IF(Data!U21&gt;0,4-Data!U21,"")</f>
        <v>2</v>
      </c>
      <c r="V21" s="1">
        <f>IF(Data!V21&gt;0,Data!V21-4,"")</f>
        <v>-1</v>
      </c>
      <c r="W21" s="1">
        <f>IF(Data!W21&gt;0,4-Data!W21,"")</f>
        <v>2</v>
      </c>
      <c r="X21" s="1">
        <f>IF(Data!X21&gt;0,4-Data!X21,"")</f>
        <v>2</v>
      </c>
      <c r="Y21" s="1">
        <f>IF(Data!Y21&gt;0,4-Data!Y21,"")</f>
        <v>3</v>
      </c>
      <c r="Z21" s="1">
        <f>IF(Data!Z21&gt;0,Data!Z21-4,"")</f>
        <v>1</v>
      </c>
      <c r="AC21" s="7">
        <f t="shared" si="0"/>
        <v>1.8333333333333333</v>
      </c>
      <c r="AD21" s="7">
        <f t="shared" si="1"/>
        <v>2.75</v>
      </c>
      <c r="AE21" s="7">
        <f t="shared" si="2"/>
        <v>0.25</v>
      </c>
      <c r="AF21" s="7">
        <f t="shared" si="3"/>
        <v>0.5</v>
      </c>
      <c r="AG21" s="7">
        <f t="shared" si="4"/>
        <v>-0.75</v>
      </c>
      <c r="AH21" s="7">
        <f t="shared" si="5"/>
        <v>0.5</v>
      </c>
    </row>
    <row r="22" spans="1:34">
      <c r="A22" s="1">
        <f>IF(Data!A22&gt;0,Data!A22-4,"")</f>
        <v>2</v>
      </c>
      <c r="B22" s="1">
        <f>IF(Data!B22&gt;0,Data!B22-4,"")</f>
        <v>2</v>
      </c>
      <c r="C22" s="1">
        <f>IF(Data!C22&gt;0,4-Data!C22,"")</f>
        <v>0</v>
      </c>
      <c r="D22" s="1">
        <f>IF(Data!D22&gt;0,4-Data!D22,"")</f>
        <v>2</v>
      </c>
      <c r="E22" s="1">
        <f>IF(Data!E22&gt;0,4-Data!E22,"")</f>
        <v>0</v>
      </c>
      <c r="F22" s="1">
        <f>IF(Data!F22&gt;0,Data!F22-4,"")</f>
        <v>-1</v>
      </c>
      <c r="G22" s="1">
        <f>IF(Data!G22&gt;0,Data!G22-4,"")</f>
        <v>0</v>
      </c>
      <c r="H22" s="1">
        <f>IF(Data!H22&gt;0,Data!H22-4,"")</f>
        <v>1</v>
      </c>
      <c r="I22" s="1">
        <f>IF(Data!I22&gt;0,4-Data!I22,"")</f>
        <v>1</v>
      </c>
      <c r="J22" s="1">
        <f>IF(Data!J22&gt;0,4-Data!J22,"")</f>
        <v>0</v>
      </c>
      <c r="K22" s="1">
        <f>IF(Data!K22&gt;0,Data!K22-4,"")</f>
        <v>0</v>
      </c>
      <c r="L22" s="1">
        <f>IF(Data!L22&gt;0,4-Data!L22,"")</f>
        <v>1</v>
      </c>
      <c r="M22" s="1">
        <f>IF(Data!M22&gt;0,Data!M22-4,"")</f>
        <v>3</v>
      </c>
      <c r="N22" s="1">
        <f>IF(Data!N22&gt;0,Data!N22-4,"")</f>
        <v>2</v>
      </c>
      <c r="O22" s="1">
        <f>IF(Data!O22&gt;0,Data!O22-4,"")</f>
        <v>-1</v>
      </c>
      <c r="P22" s="1">
        <f>IF(Data!P22&gt;0,Data!P22-4,"")</f>
        <v>2</v>
      </c>
      <c r="Q22" s="1">
        <f>IF(Data!Q22&gt;0,4-Data!Q22,"")</f>
        <v>0</v>
      </c>
      <c r="R22" s="1">
        <f>IF(Data!R22&gt;0,4-Data!R22,"")</f>
        <v>0</v>
      </c>
      <c r="S22" s="1">
        <f>IF(Data!S22&gt;0,4-Data!S22,"")</f>
        <v>1</v>
      </c>
      <c r="T22" s="1">
        <f>IF(Data!T22&gt;0,Data!T22-4,"")</f>
        <v>2</v>
      </c>
      <c r="U22" s="1">
        <f>IF(Data!U22&gt;0,4-Data!U22,"")</f>
        <v>2</v>
      </c>
      <c r="V22" s="1">
        <f>IF(Data!V22&gt;0,Data!V22-4,"")</f>
        <v>2</v>
      </c>
      <c r="W22" s="1">
        <f>IF(Data!W22&gt;0,4-Data!W22,"")</f>
        <v>0</v>
      </c>
      <c r="X22" s="1">
        <f>IF(Data!X22&gt;0,4-Data!X22,"")</f>
        <v>1</v>
      </c>
      <c r="Y22" s="1">
        <f>IF(Data!Y22&gt;0,4-Data!Y22,"")</f>
        <v>1</v>
      </c>
      <c r="Z22" s="1">
        <f>IF(Data!Z22&gt;0,Data!Z22-4,"")</f>
        <v>0</v>
      </c>
      <c r="AC22" s="7">
        <f t="shared" si="0"/>
        <v>1.5</v>
      </c>
      <c r="AD22" s="7">
        <f t="shared" si="1"/>
        <v>2.25</v>
      </c>
      <c r="AE22" s="7">
        <f t="shared" si="2"/>
        <v>1.25</v>
      </c>
      <c r="AF22" s="7">
        <f t="shared" si="3"/>
        <v>0.5</v>
      </c>
      <c r="AG22" s="7">
        <f t="shared" si="4"/>
        <v>-0.25</v>
      </c>
      <c r="AH22" s="7">
        <f t="shared" si="5"/>
        <v>-0.25</v>
      </c>
    </row>
    <row r="23" spans="1:34">
      <c r="A23" s="1">
        <f>IF(Data!A23&gt;0,Data!A23-4,"")</f>
        <v>1</v>
      </c>
      <c r="B23" s="1">
        <f>IF(Data!B23&gt;0,Data!B23-4,"")</f>
        <v>2</v>
      </c>
      <c r="C23" s="1">
        <f>IF(Data!C23&gt;0,4-Data!C23,"")</f>
        <v>1</v>
      </c>
      <c r="D23" s="1">
        <f>IF(Data!D23&gt;0,4-Data!D23,"")</f>
        <v>-1</v>
      </c>
      <c r="E23" s="1">
        <f>IF(Data!E23&gt;0,4-Data!E23,"")</f>
        <v>-1</v>
      </c>
      <c r="F23" s="1">
        <f>IF(Data!F23&gt;0,Data!F23-4,"")</f>
        <v>-1</v>
      </c>
      <c r="G23" s="1">
        <f>IF(Data!G23&gt;0,Data!G23-4,"")</f>
        <v>0</v>
      </c>
      <c r="H23" s="1">
        <f>IF(Data!H23&gt;0,Data!H23-4,"")</f>
        <v>1</v>
      </c>
      <c r="I23" s="1">
        <f>IF(Data!I23&gt;0,4-Data!I23,"")</f>
        <v>2</v>
      </c>
      <c r="J23" s="1">
        <f>IF(Data!J23&gt;0,4-Data!J23,"")</f>
        <v>0</v>
      </c>
      <c r="K23" s="1">
        <f>IF(Data!K23&gt;0,Data!K23-4,"")</f>
        <v>1</v>
      </c>
      <c r="L23" s="1">
        <f>IF(Data!L23&gt;0,4-Data!L23,"")</f>
        <v>2</v>
      </c>
      <c r="M23" s="1">
        <f>IF(Data!M23&gt;0,Data!M23-4,"")</f>
        <v>2</v>
      </c>
      <c r="N23" s="1">
        <f>IF(Data!N23&gt;0,Data!N23-4,"")</f>
        <v>1</v>
      </c>
      <c r="O23" s="1">
        <f>IF(Data!O23&gt;0,Data!O23-4,"")</f>
        <v>-1</v>
      </c>
      <c r="P23" s="1">
        <f>IF(Data!P23&gt;0,Data!P23-4,"")</f>
        <v>1</v>
      </c>
      <c r="Q23" s="1">
        <f>IF(Data!Q23&gt;0,4-Data!Q23,"")</f>
        <v>0</v>
      </c>
      <c r="R23" s="1">
        <f>IF(Data!R23&gt;0,4-Data!R23,"")</f>
        <v>2</v>
      </c>
      <c r="S23" s="1">
        <f>IF(Data!S23&gt;0,4-Data!S23,"")</f>
        <v>2</v>
      </c>
      <c r="T23" s="1">
        <f>IF(Data!T23&gt;0,Data!T23-4,"")</f>
        <v>1</v>
      </c>
      <c r="U23" s="1">
        <f>IF(Data!U23&gt;0,4-Data!U23,"")</f>
        <v>-1</v>
      </c>
      <c r="V23" s="1">
        <f>IF(Data!V23&gt;0,Data!V23-4,"")</f>
        <v>0</v>
      </c>
      <c r="W23" s="1">
        <f>IF(Data!W23&gt;0,4-Data!W23,"")</f>
        <v>0</v>
      </c>
      <c r="X23" s="1">
        <f>IF(Data!X23&gt;0,4-Data!X23,"")</f>
        <v>2</v>
      </c>
      <c r="Y23" s="1">
        <f>IF(Data!Y23&gt;0,4-Data!Y23,"")</f>
        <v>1</v>
      </c>
      <c r="Z23" s="1">
        <f>IF(Data!Z23&gt;0,Data!Z23-4,"")</f>
        <v>0</v>
      </c>
      <c r="AC23" s="7">
        <f t="shared" si="0"/>
        <v>1.3333333333333333</v>
      </c>
      <c r="AD23" s="7">
        <f t="shared" si="1"/>
        <v>0.5</v>
      </c>
      <c r="AE23" s="7">
        <f t="shared" si="2"/>
        <v>0.75</v>
      </c>
      <c r="AF23" s="7">
        <f t="shared" si="3"/>
        <v>1</v>
      </c>
      <c r="AG23" s="7">
        <f t="shared" si="4"/>
        <v>0</v>
      </c>
      <c r="AH23" s="7">
        <f t="shared" si="5"/>
        <v>0</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D18" zoomScale="75" workbookViewId="0">
      <selection activeCell="Q29" sqref="Q29"/>
    </sheetView>
  </sheetViews>
  <sheetFormatPr baseColWidth="10" defaultColWidth="9.1640625" defaultRowHeight="15"/>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83" customHeight="1">
      <c r="A1" s="168" t="s">
        <v>1537</v>
      </c>
      <c r="B1" s="169"/>
      <c r="C1" s="169"/>
      <c r="D1" s="169"/>
      <c r="E1" s="169"/>
      <c r="F1" s="169"/>
      <c r="G1" s="169"/>
      <c r="H1" s="169"/>
      <c r="I1" s="169"/>
      <c r="J1" s="169"/>
      <c r="K1" s="169"/>
      <c r="L1" s="169"/>
      <c r="M1" s="169"/>
      <c r="N1" s="169"/>
    </row>
    <row r="2" spans="1:18">
      <c r="A2" s="77" t="s">
        <v>2</v>
      </c>
      <c r="B2" s="78" t="s">
        <v>106</v>
      </c>
      <c r="C2" s="79" t="s">
        <v>107</v>
      </c>
      <c r="D2" s="80" t="s">
        <v>108</v>
      </c>
      <c r="E2" s="79" t="s">
        <v>109</v>
      </c>
      <c r="F2" s="81" t="s">
        <v>117</v>
      </c>
      <c r="G2" s="82" t="s">
        <v>118</v>
      </c>
      <c r="H2" s="79" t="s">
        <v>110</v>
      </c>
      <c r="I2" s="83"/>
      <c r="K2" s="167" t="s">
        <v>1279</v>
      </c>
      <c r="L2" s="167"/>
      <c r="M2" s="167"/>
    </row>
    <row r="3" spans="1:18">
      <c r="A3" s="71">
        <v>1</v>
      </c>
      <c r="B3" s="72">
        <f>AVERAGE(DT!A4:A1004)</f>
        <v>0.45</v>
      </c>
      <c r="C3" s="72">
        <f>VAR(DT!A4:A1004)</f>
        <v>2.2605263157894737</v>
      </c>
      <c r="D3" s="72">
        <f>SQRT(C3)</f>
        <v>1.5035046776746235</v>
      </c>
      <c r="E3" s="73">
        <f>COUNTA(Data!A4:A1000)</f>
        <v>20</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1.0916666666666663</v>
      </c>
      <c r="M3" s="7">
        <f>VAR(DT!AC4:AC1004)</f>
        <v>1.0306286549707606</v>
      </c>
      <c r="R3" s="5"/>
    </row>
    <row r="4" spans="1:18">
      <c r="A4" s="2">
        <v>2</v>
      </c>
      <c r="B4" s="3">
        <f>AVERAGE(DT!B4:B1004)</f>
        <v>1.9</v>
      </c>
      <c r="C4" s="3">
        <f>VAR(DT!B4:B1004)</f>
        <v>0.9368421052631577</v>
      </c>
      <c r="D4" s="3">
        <f t="shared" ref="D4:D28" si="0">SQRT(C4)</f>
        <v>0.96790604154698701</v>
      </c>
      <c r="E4" s="4">
        <f>COUNTA(Data!B4:B1000)</f>
        <v>20</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2.0874999999999999</v>
      </c>
      <c r="M4" s="7">
        <f>VAR(DT!AD4:AD1004)</f>
        <v>0.56101973684210515</v>
      </c>
    </row>
    <row r="5" spans="1:18">
      <c r="A5" s="2">
        <v>3</v>
      </c>
      <c r="B5" s="3">
        <f>AVERAGE(DT!C4:C1004)</f>
        <v>-0.2</v>
      </c>
      <c r="C5" s="3">
        <f>VAR(DT!C4:C1004)</f>
        <v>2.6947368421052631</v>
      </c>
      <c r="D5" s="3">
        <f t="shared" si="0"/>
        <v>1.6415653633362466</v>
      </c>
      <c r="E5" s="4">
        <f>COUNTA(Data!C4:C1000)</f>
        <v>20</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0.97499999999999998</v>
      </c>
      <c r="M5" s="7">
        <f>VAR(DT!AE4:AE1004)</f>
        <v>0.59802631578947374</v>
      </c>
    </row>
    <row r="6" spans="1:18">
      <c r="A6" s="2">
        <v>4</v>
      </c>
      <c r="B6" s="3">
        <f>AVERAGE(DT!D4:D1004)</f>
        <v>2.5</v>
      </c>
      <c r="C6" s="3">
        <f>VAR(DT!D4:D1004)</f>
        <v>1</v>
      </c>
      <c r="D6" s="3">
        <f t="shared" si="0"/>
        <v>1</v>
      </c>
      <c r="E6" s="4">
        <f>COUNTA(Data!D4:D1000)</f>
        <v>20</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0.73750000000000004</v>
      </c>
      <c r="M6" s="7">
        <f>VAR(DT!AF4:AF1004)</f>
        <v>0.70049342105263157</v>
      </c>
    </row>
    <row r="7" spans="1:18">
      <c r="A7" s="2">
        <v>5</v>
      </c>
      <c r="B7" s="3">
        <f>AVERAGE(DT!E4:E1004)</f>
        <v>0.65</v>
      </c>
      <c r="C7" s="3">
        <f>VAR(DT!E4:E1004)</f>
        <v>1.5026315789473685</v>
      </c>
      <c r="D7" s="3">
        <f t="shared" si="0"/>
        <v>1.2258187382102497</v>
      </c>
      <c r="E7" s="4">
        <f>COUNTA(Data!E4:E1000)</f>
        <v>20</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0.375</v>
      </c>
      <c r="M7" s="7">
        <f>VAR(DT!AG4:AG1004)</f>
        <v>0.66776315789473684</v>
      </c>
    </row>
    <row r="8" spans="1:18">
      <c r="A8" s="2">
        <v>6</v>
      </c>
      <c r="B8" s="3">
        <f>AVERAGE(DT!F4:F1004)</f>
        <v>-0.65</v>
      </c>
      <c r="C8" s="3">
        <f>VAR(DT!F4:F1004)</f>
        <v>0.87105263157894741</v>
      </c>
      <c r="D8" s="3">
        <f t="shared" si="0"/>
        <v>0.93330200448672962</v>
      </c>
      <c r="E8" s="4">
        <f>COUNTA(Data!F4:F1000)</f>
        <v>20</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0.71250000000000002</v>
      </c>
      <c r="M8" s="7">
        <f>VAR(DT!AH4:AH1004)</f>
        <v>0.77154605263157894</v>
      </c>
    </row>
    <row r="9" spans="1:18">
      <c r="A9" s="2">
        <v>7</v>
      </c>
      <c r="B9" s="3">
        <f>AVERAGE(DT!G4:G1004)</f>
        <v>0.7</v>
      </c>
      <c r="C9" s="3">
        <f>VAR(DT!G4:G1004)</f>
        <v>0.85263157894736841</v>
      </c>
      <c r="D9" s="3">
        <f t="shared" si="0"/>
        <v>0.92338051687663869</v>
      </c>
      <c r="E9" s="4">
        <f>COUNTA(Data!G4:G1000)</f>
        <v>20</v>
      </c>
      <c r="F9" s="22" t="str">
        <f>VLOOKUP(Read_First!B5,Items!A1:BA50,14,FALSE)</f>
        <v>not interesting</v>
      </c>
      <c r="G9" s="23" t="str">
        <f>VLOOKUP(Read_First!B5,Items!A1:BA50,15,FALSE)</f>
        <v>interesting</v>
      </c>
      <c r="H9" s="29" t="str">
        <f>VLOOKUP(Read_First!B5,Items!A1:BI50,58,FALSE)</f>
        <v>Stimulation</v>
      </c>
      <c r="I9" s="139"/>
    </row>
    <row r="10" spans="1:18">
      <c r="A10" s="2">
        <v>8</v>
      </c>
      <c r="B10" s="3">
        <f>AVERAGE(DT!H4:H1004)</f>
        <v>1.45</v>
      </c>
      <c r="C10" s="3">
        <f>VAR(DT!H4:H1004)</f>
        <v>1.7342105263157896</v>
      </c>
      <c r="D10" s="3">
        <f t="shared" si="0"/>
        <v>1.3168942730211068</v>
      </c>
      <c r="E10" s="4">
        <f>COUNTA(Data!H4:H1000)</f>
        <v>20</v>
      </c>
      <c r="F10" s="22" t="str">
        <f>VLOOKUP(Read_First!B5,Items!A1:BA50,16,FALSE)</f>
        <v>unpredictable</v>
      </c>
      <c r="G10" s="23" t="str">
        <f>VLOOKUP(Read_First!B5,Items!A1:BA50,17,FALSE)</f>
        <v>predictable</v>
      </c>
      <c r="H10" s="28" t="str">
        <f>VLOOKUP(Read_First!B5,Items!A1:BI50,57,FALSE)</f>
        <v>Dependability</v>
      </c>
      <c r="I10" s="141"/>
    </row>
    <row r="11" spans="1:18">
      <c r="A11" s="2">
        <v>9</v>
      </c>
      <c r="B11" s="3">
        <f>AVERAGE(DT!I4:I1004)</f>
        <v>1.05</v>
      </c>
      <c r="C11" s="3">
        <f>VAR(DT!I4:I1004)</f>
        <v>1.4184210526315788</v>
      </c>
      <c r="D11" s="3">
        <f t="shared" si="0"/>
        <v>1.190974832912761</v>
      </c>
      <c r="E11" s="4">
        <f>COUNTA(Data!I4:I1000)</f>
        <v>20</v>
      </c>
      <c r="F11" s="22" t="str">
        <f>VLOOKUP(Read_First!B5,Items!A1:BA50,18,FALSE)</f>
        <v>fast</v>
      </c>
      <c r="G11" s="23" t="str">
        <f>VLOOKUP(Read_First!B5,Items!A1:BA50,19,FALSE)</f>
        <v>slow</v>
      </c>
      <c r="H11" s="28" t="str">
        <f>VLOOKUP(Read_First!B5,Items!A1:BI50,56,FALSE)</f>
        <v>Efficiency</v>
      </c>
      <c r="I11" s="140"/>
    </row>
    <row r="12" spans="1:18">
      <c r="A12" s="2">
        <v>10</v>
      </c>
      <c r="B12" s="3">
        <f>AVERAGE(DT!J4:J1004)</f>
        <v>1.35</v>
      </c>
      <c r="C12" s="3">
        <f>VAR(DT!J4:J1004)</f>
        <v>1.9236842105263157</v>
      </c>
      <c r="D12" s="3">
        <f t="shared" si="0"/>
        <v>1.3869694338832113</v>
      </c>
      <c r="E12" s="4">
        <f>COUNTA(Data!J4:J1000)</f>
        <v>20</v>
      </c>
      <c r="F12" s="22" t="str">
        <f>VLOOKUP(Read_First!B5,Items!A1:BA50,20,FALSE)</f>
        <v>inventive</v>
      </c>
      <c r="G12" s="23" t="str">
        <f>VLOOKUP(Read_First!B5,Items!A1:BA50,21,FALSE)</f>
        <v>conventional</v>
      </c>
      <c r="H12" s="28" t="str">
        <f>VLOOKUP(Read_First!B5,Items!A1:BI50,59,FALSE)</f>
        <v>Novelty</v>
      </c>
      <c r="I12" s="138"/>
    </row>
    <row r="13" spans="1:18">
      <c r="A13" s="2">
        <v>11</v>
      </c>
      <c r="B13" s="3">
        <f>AVERAGE(DT!K4:K1004)</f>
        <v>0.4</v>
      </c>
      <c r="C13" s="3">
        <f>VAR(DT!K4:K1004)</f>
        <v>1.6210526315789473</v>
      </c>
      <c r="D13" s="3">
        <f t="shared" si="0"/>
        <v>1.2732056517228265</v>
      </c>
      <c r="E13" s="4">
        <f>COUNTA(Data!K4:K1000)</f>
        <v>20</v>
      </c>
      <c r="F13" s="22" t="str">
        <f>VLOOKUP(Read_First!B5,Items!A1:BA50,22,FALSE)</f>
        <v>obstructive</v>
      </c>
      <c r="G13" s="23" t="str">
        <f>VLOOKUP(Read_First!B5,Items!A1:BA50,23,FALSE)</f>
        <v>supportive</v>
      </c>
      <c r="H13" s="28" t="str">
        <f>VLOOKUP(Read_First!B5,Items!A1:BI50,57,FALSE)</f>
        <v>Dependability</v>
      </c>
      <c r="I13" s="141"/>
    </row>
    <row r="14" spans="1:18">
      <c r="A14" s="2">
        <v>12</v>
      </c>
      <c r="B14" s="3">
        <f>AVERAGE(DT!L4:L1004)</f>
        <v>1.25</v>
      </c>
      <c r="C14" s="3">
        <f>VAR(DT!L4:L1004)</f>
        <v>1.0394736842105263</v>
      </c>
      <c r="D14" s="3">
        <f t="shared" si="0"/>
        <v>1.019545822516343</v>
      </c>
      <c r="E14" s="4">
        <f>COUNTA(Data!L4:L1000)</f>
        <v>20</v>
      </c>
      <c r="F14" s="22" t="str">
        <f>VLOOKUP(Read_First!B5,Items!A1:BA50,24,FALSE)</f>
        <v>good</v>
      </c>
      <c r="G14" s="23" t="str">
        <f>VLOOKUP(Read_First!B5,Items!A1:BA50,25,FALSE)</f>
        <v>bad</v>
      </c>
      <c r="H14" s="28" t="str">
        <f>VLOOKUP(Read_First!B5,Items!A1:BI50,54,FALSE)</f>
        <v>Attractiveness</v>
      </c>
      <c r="I14" s="137"/>
    </row>
    <row r="15" spans="1:18">
      <c r="A15" s="2">
        <v>13</v>
      </c>
      <c r="B15" s="3">
        <f>AVERAGE(DT!M4:M1004)</f>
        <v>2.2999999999999998</v>
      </c>
      <c r="C15" s="3">
        <f>VAR(DT!M4:M1004)</f>
        <v>0.53684210526315801</v>
      </c>
      <c r="D15" s="3">
        <f t="shared" si="0"/>
        <v>0.73269509706504654</v>
      </c>
      <c r="E15" s="4">
        <f>COUNTA(Data!M4:M1000)</f>
        <v>20</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0.9</v>
      </c>
      <c r="C16" s="3">
        <f>VAR(DT!N4:N1004)</f>
        <v>2.094736842105263</v>
      </c>
      <c r="D16" s="3">
        <f t="shared" si="0"/>
        <v>1.4473205733717955</v>
      </c>
      <c r="E16" s="4">
        <f>COUNTA(Data!N4:N1000)</f>
        <v>20</v>
      </c>
      <c r="F16" s="22" t="str">
        <f>VLOOKUP(Read_First!B5,Items!A1:BA50,28,FALSE)</f>
        <v>unlikable</v>
      </c>
      <c r="G16" s="23" t="str">
        <f>VLOOKUP(Read_First!B5,Items!A1:BA50,29,FALSE)</f>
        <v>pleasing</v>
      </c>
      <c r="H16" s="28" t="str">
        <f>VLOOKUP(Read_First!B5,Items!A1:BI50,54,FALSE)</f>
        <v>Attractiveness</v>
      </c>
      <c r="I16" s="137"/>
    </row>
    <row r="17" spans="1:9">
      <c r="A17" s="2">
        <v>15</v>
      </c>
      <c r="B17" s="3">
        <f>AVERAGE(DT!O4:O1004)</f>
        <v>0.4</v>
      </c>
      <c r="C17" s="3">
        <f>VAR(DT!O4:O1004)</f>
        <v>1.4105263157894736</v>
      </c>
      <c r="D17" s="3">
        <f t="shared" si="0"/>
        <v>1.1876558069531229</v>
      </c>
      <c r="E17" s="4">
        <f>COUNTA(Data!O4:O1000)</f>
        <v>20</v>
      </c>
      <c r="F17" s="22" t="str">
        <f>VLOOKUP(Read_First!B5,Items!A1:BA50,30,FALSE)</f>
        <v>usual</v>
      </c>
      <c r="G17" s="23" t="str">
        <f>VLOOKUP(Read_First!B5,Items!A1:BA50,31,FALSE)</f>
        <v>leading edge</v>
      </c>
      <c r="H17" s="28" t="str">
        <f>VLOOKUP(Read_First!B5,Items!A1:BI50,59,FALSE)</f>
        <v>Novelty</v>
      </c>
      <c r="I17" s="138"/>
    </row>
    <row r="18" spans="1:9">
      <c r="A18" s="2">
        <v>16</v>
      </c>
      <c r="B18" s="3">
        <f>AVERAGE(DT!P4:P1004)</f>
        <v>1.2</v>
      </c>
      <c r="C18" s="3">
        <f>VAR(DT!P4:P1004)</f>
        <v>1.4315789473684211</v>
      </c>
      <c r="D18" s="3">
        <f t="shared" si="0"/>
        <v>1.1964860832322377</v>
      </c>
      <c r="E18" s="4">
        <f>COUNTA(Data!P4:P1000)</f>
        <v>20</v>
      </c>
      <c r="F18" s="22" t="str">
        <f>VLOOKUP(Read_First!B5,Items!A1:BA50,32,FALSE)</f>
        <v>unpleasant</v>
      </c>
      <c r="G18" s="23" t="str">
        <f>VLOOKUP(Read_First!B5,Items!A1:BA50,33,FALSE)</f>
        <v>pleasant</v>
      </c>
      <c r="H18" s="28" t="str">
        <f>VLOOKUP(Read_First!B5,Items!A1:BI50,54,FALSE)</f>
        <v>Attractiveness</v>
      </c>
      <c r="I18" s="137"/>
    </row>
    <row r="19" spans="1:9">
      <c r="A19" s="2">
        <v>17</v>
      </c>
      <c r="B19" s="3">
        <f>AVERAGE(DT!Q4:Q1004)</f>
        <v>0.55000000000000004</v>
      </c>
      <c r="C19" s="3">
        <f>VAR(DT!Q4:Q1004)</f>
        <v>2.3657894736842109</v>
      </c>
      <c r="D19" s="3">
        <f t="shared" si="0"/>
        <v>1.5381123085406381</v>
      </c>
      <c r="E19" s="4">
        <f>COUNTA(Data!Q4:Q1000)</f>
        <v>20</v>
      </c>
      <c r="F19" s="22" t="str">
        <f>VLOOKUP(Read_First!B5,Items!A1:BA50,34,FALSE)</f>
        <v>secure</v>
      </c>
      <c r="G19" s="23" t="str">
        <f>VLOOKUP(Read_First!B5,Items!A1:BA50,35,FALSE)</f>
        <v>not secure</v>
      </c>
      <c r="H19" s="28" t="str">
        <f>VLOOKUP(Read_First!B5,Items!A1:BI50,57,FALSE)</f>
        <v>Dependability</v>
      </c>
      <c r="I19" s="141"/>
    </row>
    <row r="20" spans="1:9">
      <c r="A20" s="2">
        <v>18</v>
      </c>
      <c r="B20" s="3">
        <f>AVERAGE(DT!R4:R1004)</f>
        <v>0.8</v>
      </c>
      <c r="C20" s="3">
        <f>VAR(DT!R4:R1004)</f>
        <v>1.7473684210526317</v>
      </c>
      <c r="D20" s="3">
        <f t="shared" si="0"/>
        <v>1.3218806379747876</v>
      </c>
      <c r="E20" s="4">
        <f>COUNTA(Data!R4:R1000)</f>
        <v>20</v>
      </c>
      <c r="F20" s="22" t="str">
        <f>VLOOKUP(Read_First!B5,Items!A1:BA50,36,FALSE)</f>
        <v>motivating</v>
      </c>
      <c r="G20" s="23" t="str">
        <f>VLOOKUP(Read_First!B5,Items!A1:BA50,37,FALSE)</f>
        <v>demotivating</v>
      </c>
      <c r="H20" s="29" t="str">
        <f>VLOOKUP(Read_First!B5,Items!A1:BI50,58,FALSE)</f>
        <v>Stimulation</v>
      </c>
      <c r="I20" s="139"/>
    </row>
    <row r="21" spans="1:9">
      <c r="A21" s="2">
        <v>19</v>
      </c>
      <c r="B21" s="3">
        <f>AVERAGE(DT!S4:S1004)</f>
        <v>0.55000000000000004</v>
      </c>
      <c r="C21" s="3">
        <f>VAR(DT!S4:S1004)</f>
        <v>2.892105263157895</v>
      </c>
      <c r="D21" s="3">
        <f t="shared" si="0"/>
        <v>1.7006190823220511</v>
      </c>
      <c r="E21" s="4">
        <f>COUNTA(Data!S4:S1000)</f>
        <v>20</v>
      </c>
      <c r="F21" s="22" t="str">
        <f>VLOOKUP(Read_First!B5,Items!A1:BA50,38,FALSE)</f>
        <v>meets expectations</v>
      </c>
      <c r="G21" s="23" t="str">
        <f>VLOOKUP(Read_First!B5,Items!A1:BA50,39,FALSE)</f>
        <v>does not meet expectations</v>
      </c>
      <c r="H21" s="28" t="str">
        <f>VLOOKUP(Read_First!B5,Items!A1:BI50,57,FALSE)</f>
        <v>Dependability</v>
      </c>
      <c r="I21" s="141"/>
    </row>
    <row r="22" spans="1:9">
      <c r="A22" s="2">
        <v>20</v>
      </c>
      <c r="B22" s="3">
        <f>AVERAGE(DT!T4:T1004)</f>
        <v>0.25</v>
      </c>
      <c r="C22" s="3">
        <f>VAR(DT!T4:T1004)</f>
        <v>1.5657894736842106</v>
      </c>
      <c r="D22" s="3">
        <f t="shared" si="0"/>
        <v>1.2513150976809202</v>
      </c>
      <c r="E22" s="4">
        <f>COUNTA(Data!T4:T1000)</f>
        <v>20</v>
      </c>
      <c r="F22" s="22" t="str">
        <f>VLOOKUP(Read_First!B5,Items!A1:BA50,40,FALSE)</f>
        <v>inefficient</v>
      </c>
      <c r="G22" s="23" t="str">
        <f>VLOOKUP(Read_First!B5,Items!A1:BA50,41,FALSE)</f>
        <v>efficient</v>
      </c>
      <c r="H22" s="28" t="str">
        <f>VLOOKUP(Read_First!B5,Items!A1:BI50,56,FALSE)</f>
        <v>Efficiency</v>
      </c>
      <c r="I22" s="140"/>
    </row>
    <row r="23" spans="1:9">
      <c r="A23" s="6">
        <v>21</v>
      </c>
      <c r="B23" s="3">
        <f>AVERAGE(DT!U4:U1004)</f>
        <v>1.65</v>
      </c>
      <c r="C23" s="3">
        <f>VAR(DT!U4:U1004)</f>
        <v>1.3973684210526314</v>
      </c>
      <c r="D23" s="3">
        <f t="shared" si="0"/>
        <v>1.1821033884786183</v>
      </c>
      <c r="E23" s="4">
        <f>COUNTA(Data!U4:U1000)</f>
        <v>20</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1</v>
      </c>
      <c r="C24" s="3">
        <f>VAR(DT!V4:V1004)</f>
        <v>1.7894736842105263</v>
      </c>
      <c r="D24" s="3">
        <f t="shared" si="0"/>
        <v>1.3377121081198773</v>
      </c>
      <c r="E24" s="4">
        <f>COUNTA(Data!V4:V1000)</f>
        <v>20</v>
      </c>
      <c r="F24" s="22" t="str">
        <f>VLOOKUP(Read_First!B5,Items!A1:BA50,44,FALSE)</f>
        <v>impractical</v>
      </c>
      <c r="G24" s="23" t="str">
        <f>VLOOKUP(Read_First!B5,Items!A1:BA50,45,FALSE)</f>
        <v>practical</v>
      </c>
      <c r="H24" s="28" t="str">
        <f>VLOOKUP(Read_First!B5,Items!A1:BI50,56,FALSE)</f>
        <v>Efficiency</v>
      </c>
      <c r="I24" s="140"/>
    </row>
    <row r="25" spans="1:9">
      <c r="A25" s="6">
        <v>23</v>
      </c>
      <c r="B25" s="3">
        <f>AVERAGE(DT!W4:W1004)</f>
        <v>1.6</v>
      </c>
      <c r="C25" s="3">
        <f>VAR(DT!W4:W1004)</f>
        <v>1.6210526315789473</v>
      </c>
      <c r="D25" s="3">
        <f t="shared" si="0"/>
        <v>1.2732056517228265</v>
      </c>
      <c r="E25" s="4">
        <f>COUNTA(Data!W4:W1000)</f>
        <v>20</v>
      </c>
      <c r="F25" s="22" t="str">
        <f>VLOOKUP(Read_First!B5,Items!A1:BA50,46,FALSE)</f>
        <v>organized</v>
      </c>
      <c r="G25" s="23" t="str">
        <f>VLOOKUP(Read_First!B5,Items!A1:BA50,47,FALSE)</f>
        <v>cluttered</v>
      </c>
      <c r="H25" s="28" t="str">
        <f>VLOOKUP(Read_First!B5,Items!A1:BI50,56,FALSE)</f>
        <v>Efficiency</v>
      </c>
      <c r="I25" s="140"/>
    </row>
    <row r="26" spans="1:9">
      <c r="A26" s="6">
        <v>24</v>
      </c>
      <c r="B26" s="3">
        <f>AVERAGE(DT!X4:X1004)</f>
        <v>0.85</v>
      </c>
      <c r="C26" s="3">
        <f>VAR(DT!X4:X1004)</f>
        <v>1.713157894736842</v>
      </c>
      <c r="D26" s="3">
        <f t="shared" si="0"/>
        <v>1.3088765773505315</v>
      </c>
      <c r="E26" s="4">
        <f>COUNTA(Data!X4:X1000)</f>
        <v>20</v>
      </c>
      <c r="F26" s="22" t="str">
        <f>VLOOKUP(Read_First!B5,Items!A1:BA50,48,FALSE)</f>
        <v>attractive</v>
      </c>
      <c r="G26" s="23" t="str">
        <f>VLOOKUP(Read_First!B5,Items!A1:BA50,49,FALSE)</f>
        <v>unattractive</v>
      </c>
      <c r="H26" s="28" t="str">
        <f>VLOOKUP(Read_First!B5,Items!A1:BI50,54,FALSE)</f>
        <v>Attractiveness</v>
      </c>
      <c r="I26" s="137"/>
    </row>
    <row r="27" spans="1:9">
      <c r="A27" s="6">
        <v>25</v>
      </c>
      <c r="B27" s="3">
        <f>AVERAGE(DT!Y4:Y1004)</f>
        <v>1.9</v>
      </c>
      <c r="C27" s="3">
        <f>VAR(DT!Y4:Y1004)</f>
        <v>1.0421052631578946</v>
      </c>
      <c r="D27" s="3">
        <f t="shared" si="0"/>
        <v>1.0208355710680808</v>
      </c>
      <c r="E27" s="4">
        <f>COUNTA(Data!Y4:Y1000)</f>
        <v>20</v>
      </c>
      <c r="F27" s="22" t="str">
        <f>VLOOKUP(Read_First!B5,Items!A1:BA50,50,FALSE)</f>
        <v>friendly</v>
      </c>
      <c r="G27" s="23" t="str">
        <f>VLOOKUP(Read_First!B5,Items!A1:BA50,51,FALSE)</f>
        <v>unfriendly</v>
      </c>
      <c r="H27" s="28" t="str">
        <f>VLOOKUP(Read_First!B5,Items!A1:BI50,54,FALSE)</f>
        <v>Attractiveness</v>
      </c>
      <c r="I27" s="137"/>
    </row>
    <row r="28" spans="1:9">
      <c r="A28" s="6">
        <v>26</v>
      </c>
      <c r="B28" s="3">
        <f>AVERAGE(DT!Z4:Z1004)</f>
        <v>1.3</v>
      </c>
      <c r="C28" s="3">
        <f>VAR(DT!Z4:Z1004)</f>
        <v>1.273684210526316</v>
      </c>
      <c r="D28" s="3">
        <f t="shared" si="0"/>
        <v>1.1285761872936695</v>
      </c>
      <c r="E28" s="4">
        <f>COUNTA(Data!Z4:Z1000)</f>
        <v>20</v>
      </c>
      <c r="F28" s="22" t="str">
        <f>VLOOKUP(Read_First!B5,Items!A1:BA50,52,FALSE)</f>
        <v>conservative</v>
      </c>
      <c r="G28" s="23" t="str">
        <f>VLOOKUP(Read_First!B5,Items!A1:BA50,53,FALSE)</f>
        <v>innovative</v>
      </c>
      <c r="H28" s="28" t="str">
        <f>VLOOKUP(Read_First!B5,Items!A1:BI50,59,FALSE)</f>
        <v>Novelty</v>
      </c>
      <c r="I28" s="138"/>
    </row>
    <row r="39" spans="11:15">
      <c r="K39" s="167" t="s">
        <v>822</v>
      </c>
      <c r="L39" s="167"/>
    </row>
    <row r="40" spans="11:15">
      <c r="K40" s="43" t="str">
        <f>VLOOKUP(Read_First!B5,Items!A1:BI50,54,FALSE)</f>
        <v>Attractiveness</v>
      </c>
      <c r="L40" s="44">
        <f>AVERAGE(DT!AC4:AC1004)</f>
        <v>1.0916666666666663</v>
      </c>
    </row>
    <row r="41" spans="11:15">
      <c r="K41" s="1" t="str">
        <f>VLOOKUP(Read_First!B5,Items!A1:BI50,60,FALSE)</f>
        <v>Pragmatic Quality</v>
      </c>
      <c r="L41" s="45">
        <f>(L4+L5+L6)/3</f>
        <v>1.2666666666666666</v>
      </c>
    </row>
    <row r="42" spans="11:15">
      <c r="K42" s="1" t="str">
        <f>VLOOKUP(Read_First!B5,Items!A1:BI50,61,FALSE)</f>
        <v>Hedonic Quality</v>
      </c>
      <c r="L42" s="45">
        <f>(L7+L8)/2</f>
        <v>0.54374999999999996</v>
      </c>
    </row>
    <row r="44" spans="11:15" ht="102.75" customHeight="1">
      <c r="K44" s="156" t="s">
        <v>823</v>
      </c>
      <c r="L44" s="156"/>
      <c r="M44" s="156"/>
      <c r="N44" s="156"/>
      <c r="O44" s="156"/>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J5" sqref="J5"/>
    </sheetView>
  </sheetViews>
  <sheetFormatPr baseColWidth="10" defaultColWidth="9.1640625" defaultRowHeight="15"/>
  <cols>
    <col min="5" max="5" width="12.6640625" customWidth="1"/>
    <col min="9" max="9" width="18.6640625" customWidth="1"/>
    <col min="13" max="13" width="11.83203125" customWidth="1"/>
    <col min="15" max="15" width="9.5" customWidth="1"/>
  </cols>
  <sheetData>
    <row r="1" spans="1:15" ht="100.75" customHeight="1">
      <c r="A1" s="173" t="s">
        <v>1288</v>
      </c>
      <c r="B1" s="174"/>
      <c r="C1" s="174"/>
      <c r="D1" s="174"/>
      <c r="E1" s="174"/>
      <c r="F1" s="174"/>
      <c r="G1" s="174"/>
      <c r="H1" s="174"/>
      <c r="I1" s="174"/>
      <c r="J1" s="174"/>
      <c r="K1" s="174"/>
      <c r="L1" s="174"/>
      <c r="M1" s="174"/>
      <c r="N1" s="174"/>
      <c r="O1" s="174"/>
    </row>
    <row r="3" spans="1:15">
      <c r="A3" s="170" t="s">
        <v>114</v>
      </c>
      <c r="B3" s="170"/>
      <c r="C3" s="170"/>
      <c r="D3" s="170"/>
      <c r="E3" s="170"/>
      <c r="F3" s="170"/>
      <c r="G3" s="170"/>
      <c r="I3" s="170" t="s">
        <v>111</v>
      </c>
      <c r="J3" s="170"/>
      <c r="K3" s="170"/>
      <c r="L3" s="170"/>
      <c r="M3" s="170"/>
      <c r="N3" s="170"/>
      <c r="O3" s="170"/>
    </row>
    <row r="4" spans="1:15">
      <c r="A4" s="116" t="s">
        <v>2</v>
      </c>
      <c r="B4" s="117" t="s">
        <v>106</v>
      </c>
      <c r="C4" s="117" t="s">
        <v>108</v>
      </c>
      <c r="D4" s="118" t="s">
        <v>3</v>
      </c>
      <c r="E4" s="117" t="s">
        <v>112</v>
      </c>
      <c r="F4" s="171" t="s">
        <v>113</v>
      </c>
      <c r="G4" s="172"/>
      <c r="I4" s="119" t="s">
        <v>110</v>
      </c>
      <c r="J4" s="118" t="s">
        <v>106</v>
      </c>
      <c r="K4" s="118" t="s">
        <v>108</v>
      </c>
      <c r="L4" s="118" t="s">
        <v>3</v>
      </c>
      <c r="M4" s="120" t="s">
        <v>112</v>
      </c>
      <c r="N4" s="171" t="s">
        <v>113</v>
      </c>
      <c r="O4" s="172"/>
    </row>
    <row r="5" spans="1:15">
      <c r="A5" s="86">
        <v>1</v>
      </c>
      <c r="B5" s="85">
        <f>Results!B3</f>
        <v>0.45</v>
      </c>
      <c r="C5" s="85">
        <f>Results!D3</f>
        <v>1.5035046776746235</v>
      </c>
      <c r="D5" s="73">
        <f>Results!E3</f>
        <v>20</v>
      </c>
      <c r="E5" s="85">
        <f t="shared" ref="E5:E24" si="0">CONFIDENCE(0.05, C5, D5)</f>
        <v>0.65892786992206742</v>
      </c>
      <c r="F5" s="85">
        <f t="shared" ref="F5:F24" si="1">B5-E5</f>
        <v>-0.20892786992206741</v>
      </c>
      <c r="G5" s="85">
        <f t="shared" ref="G5:G24" si="2">B5+E5</f>
        <v>1.1089278699220675</v>
      </c>
      <c r="I5" s="87" t="str">
        <f>VLOOKUP(Read_First!B5,Items!A1:BI50,54,FALSE)</f>
        <v>Attractiveness</v>
      </c>
      <c r="J5" s="85">
        <f>AVERAGE(DT!AC4:AC1004)</f>
        <v>1.0916666666666663</v>
      </c>
      <c r="K5" s="85">
        <f>STDEV(DT!AC4:AC1004)</f>
        <v>1.0151988253395297</v>
      </c>
      <c r="L5" s="73">
        <f>MAX(D5:D24)</f>
        <v>20</v>
      </c>
      <c r="M5" s="85">
        <f>CONFIDENCE(0.05, K5, L5)</f>
        <v>0.44492232678848276</v>
      </c>
      <c r="N5" s="85">
        <f t="shared" ref="N5:N10" si="3">J5-M5</f>
        <v>0.64674433987818358</v>
      </c>
      <c r="O5" s="85">
        <f t="shared" ref="O5:O10" si="4">J5+M5</f>
        <v>1.5365889934551491</v>
      </c>
    </row>
    <row r="6" spans="1:15">
      <c r="A6" s="13">
        <v>2</v>
      </c>
      <c r="B6" s="11">
        <f>Results!B4</f>
        <v>1.9</v>
      </c>
      <c r="C6" s="11">
        <f>Results!D4</f>
        <v>0.96790604154698701</v>
      </c>
      <c r="D6" s="4">
        <f>Results!E4</f>
        <v>20</v>
      </c>
      <c r="E6" s="11">
        <f t="shared" si="0"/>
        <v>0.42419573128809357</v>
      </c>
      <c r="F6" s="11">
        <f t="shared" si="1"/>
        <v>1.4758042687119064</v>
      </c>
      <c r="G6" s="11">
        <f t="shared" si="2"/>
        <v>2.3241957312880936</v>
      </c>
      <c r="I6" s="10" t="str">
        <f>VLOOKUP(Read_First!B5,Items!A1:BI50,55,FALSE)</f>
        <v>Perspicuity</v>
      </c>
      <c r="J6" s="11">
        <f>AVERAGE(DT!AD4:AD1004)</f>
        <v>2.0874999999999999</v>
      </c>
      <c r="K6" s="11">
        <f>STDEV(DT!AD4:AD1004)</f>
        <v>0.74901250780084117</v>
      </c>
      <c r="L6" s="4">
        <f>L5</f>
        <v>20</v>
      </c>
      <c r="M6" s="11">
        <f t="shared" ref="M6:M10" si="5">CONFIDENCE(0.05, K6, L6)</f>
        <v>0.32826317313061487</v>
      </c>
      <c r="N6" s="11">
        <f t="shared" si="3"/>
        <v>1.759236826869385</v>
      </c>
      <c r="O6" s="11">
        <f t="shared" si="4"/>
        <v>2.4157631731306148</v>
      </c>
    </row>
    <row r="7" spans="1:15">
      <c r="A7" s="13">
        <v>3</v>
      </c>
      <c r="B7" s="11">
        <f>Results!B5</f>
        <v>-0.2</v>
      </c>
      <c r="C7" s="11">
        <f>Results!D5</f>
        <v>1.6415653633362466</v>
      </c>
      <c r="D7" s="4">
        <f>Results!E5</f>
        <v>20</v>
      </c>
      <c r="E7" s="11">
        <f t="shared" si="0"/>
        <v>0.71943452139700281</v>
      </c>
      <c r="F7" s="11">
        <f t="shared" si="1"/>
        <v>-0.91943452139700277</v>
      </c>
      <c r="G7" s="11">
        <f t="shared" si="2"/>
        <v>0.51943452139700286</v>
      </c>
      <c r="I7" s="10" t="str">
        <f>VLOOKUP(Read_First!B5,Items!A1:BI50,56,FALSE)</f>
        <v>Efficiency</v>
      </c>
      <c r="J7" s="11">
        <f>AVERAGE(DT!AE4:AE1004)</f>
        <v>0.97499999999999998</v>
      </c>
      <c r="K7" s="11">
        <f>STDEV(DT!AE4:AE1004)</f>
        <v>0.77332161213137818</v>
      </c>
      <c r="L7" s="4">
        <f>L6</f>
        <v>20</v>
      </c>
      <c r="M7" s="11">
        <f t="shared" si="5"/>
        <v>0.33891691207408658</v>
      </c>
      <c r="N7" s="11">
        <f t="shared" si="3"/>
        <v>0.63608308792591339</v>
      </c>
      <c r="O7" s="11">
        <f t="shared" si="4"/>
        <v>1.3139169120740866</v>
      </c>
    </row>
    <row r="8" spans="1:15">
      <c r="A8" s="13">
        <v>4</v>
      </c>
      <c r="B8" s="11">
        <f>Results!B6</f>
        <v>2.5</v>
      </c>
      <c r="C8" s="11">
        <f>Results!D6</f>
        <v>1</v>
      </c>
      <c r="D8" s="4">
        <f>Results!E6</f>
        <v>20</v>
      </c>
      <c r="E8" s="11">
        <f t="shared" si="0"/>
        <v>0.43826127028829065</v>
      </c>
      <c r="F8" s="11">
        <f t="shared" si="1"/>
        <v>2.0617387297117094</v>
      </c>
      <c r="G8" s="11">
        <f t="shared" si="2"/>
        <v>2.9382612702882906</v>
      </c>
      <c r="I8" s="12" t="str">
        <f>VLOOKUP(Read_First!B5,Items!A1:BI50,57,FALSE)</f>
        <v>Dependability</v>
      </c>
      <c r="J8" s="11">
        <f>AVERAGE(DT!AF4:AF1004)</f>
        <v>0.73750000000000004</v>
      </c>
      <c r="K8" s="11">
        <f>STDEV(DT!AF4:AF1004)</f>
        <v>0.83695485006816916</v>
      </c>
      <c r="L8" s="4">
        <f>L7</f>
        <v>20</v>
      </c>
      <c r="M8" s="11">
        <f t="shared" si="5"/>
        <v>0.36680489576482167</v>
      </c>
      <c r="N8" s="11">
        <f t="shared" si="3"/>
        <v>0.37069510423517837</v>
      </c>
      <c r="O8" s="11">
        <f t="shared" si="4"/>
        <v>1.1043048957648218</v>
      </c>
    </row>
    <row r="9" spans="1:15">
      <c r="A9" s="13">
        <v>5</v>
      </c>
      <c r="B9" s="11">
        <f>Results!B7</f>
        <v>0.65</v>
      </c>
      <c r="C9" s="11">
        <f>Results!D7</f>
        <v>1.2258187382102497</v>
      </c>
      <c r="D9" s="4">
        <f>Results!E7</f>
        <v>20</v>
      </c>
      <c r="E9" s="11">
        <f t="shared" si="0"/>
        <v>0.53722887735121372</v>
      </c>
      <c r="F9" s="11">
        <f t="shared" si="1"/>
        <v>0.1127711226487863</v>
      </c>
      <c r="G9" s="11">
        <f t="shared" si="2"/>
        <v>1.1872288773512136</v>
      </c>
      <c r="I9" s="12" t="str">
        <f>VLOOKUP(Read_First!B5,Items!A1:BI50,58,FALSE)</f>
        <v>Stimulation</v>
      </c>
      <c r="J9" s="11">
        <f>AVERAGE(DT!AG4:AG1004)</f>
        <v>0.375</v>
      </c>
      <c r="K9" s="11">
        <f>STDEV(DT!AG4:AG1004)</f>
        <v>0.81716776606443353</v>
      </c>
      <c r="L9" s="4">
        <f>L8</f>
        <v>20</v>
      </c>
      <c r="M9" s="11">
        <f t="shared" si="5"/>
        <v>0.35813298319404341</v>
      </c>
      <c r="N9" s="11">
        <f t="shared" si="3"/>
        <v>1.6867016805956592E-2</v>
      </c>
      <c r="O9" s="11">
        <f t="shared" si="4"/>
        <v>0.73313298319404341</v>
      </c>
    </row>
    <row r="10" spans="1:15">
      <c r="A10" s="13">
        <v>6</v>
      </c>
      <c r="B10" s="11">
        <f>Results!B8</f>
        <v>-0.65</v>
      </c>
      <c r="C10" s="11">
        <f>Results!D8</f>
        <v>0.93330200448672962</v>
      </c>
      <c r="D10" s="4">
        <f>Results!E8</f>
        <v>20</v>
      </c>
      <c r="E10" s="11">
        <f t="shared" si="0"/>
        <v>0.40903012204896205</v>
      </c>
      <c r="F10" s="11">
        <f t="shared" si="1"/>
        <v>-1.059030122048962</v>
      </c>
      <c r="G10" s="11">
        <f t="shared" si="2"/>
        <v>-0.24096987795103797</v>
      </c>
      <c r="I10" s="10" t="str">
        <f>VLOOKUP(Read_First!B5,Items!A1:BI50,59,FALSE)</f>
        <v>Novelty</v>
      </c>
      <c r="J10" s="11">
        <f>AVERAGE(DT!AH4:AH1004)</f>
        <v>0.71250000000000002</v>
      </c>
      <c r="K10" s="11">
        <f>STDEV(DT!AH4:AH1004)</f>
        <v>0.8783769422244524</v>
      </c>
      <c r="L10" s="4">
        <f>L9</f>
        <v>20</v>
      </c>
      <c r="M10" s="11">
        <f t="shared" si="5"/>
        <v>0.38495859449123299</v>
      </c>
      <c r="N10" s="11">
        <f t="shared" si="3"/>
        <v>0.32754140550876704</v>
      </c>
      <c r="O10" s="11">
        <f t="shared" si="4"/>
        <v>1.097458594491233</v>
      </c>
    </row>
    <row r="11" spans="1:15">
      <c r="A11" s="13">
        <v>7</v>
      </c>
      <c r="B11" s="11">
        <f>Results!B9</f>
        <v>0.7</v>
      </c>
      <c r="C11" s="11">
        <f>Results!D9</f>
        <v>0.92338051687663869</v>
      </c>
      <c r="D11" s="4">
        <f>Results!E9</f>
        <v>20</v>
      </c>
      <c r="E11" s="11">
        <f t="shared" si="0"/>
        <v>0.40468191828581407</v>
      </c>
      <c r="F11" s="11">
        <f t="shared" si="1"/>
        <v>0.29531808171418589</v>
      </c>
      <c r="G11" s="11">
        <f t="shared" si="2"/>
        <v>1.1046819182858141</v>
      </c>
    </row>
    <row r="12" spans="1:15">
      <c r="A12" s="13">
        <v>8</v>
      </c>
      <c r="B12" s="11">
        <f>Results!B10</f>
        <v>1.45</v>
      </c>
      <c r="C12" s="11">
        <f>Results!D10</f>
        <v>1.3168942730211068</v>
      </c>
      <c r="D12" s="4">
        <f>Results!E10</f>
        <v>20</v>
      </c>
      <c r="E12" s="11">
        <f t="shared" si="0"/>
        <v>0.57714375692960529</v>
      </c>
      <c r="F12" s="11">
        <f t="shared" si="1"/>
        <v>0.87285624307039467</v>
      </c>
      <c r="G12" s="11">
        <f t="shared" si="2"/>
        <v>2.0271437569296054</v>
      </c>
    </row>
    <row r="13" spans="1:15">
      <c r="A13" s="13">
        <v>9</v>
      </c>
      <c r="B13" s="11">
        <f>Results!B11</f>
        <v>1.05</v>
      </c>
      <c r="C13" s="11">
        <f>Results!D11</f>
        <v>1.190974832912761</v>
      </c>
      <c r="D13" s="4">
        <f>Results!E11</f>
        <v>20</v>
      </c>
      <c r="E13" s="11">
        <f t="shared" si="0"/>
        <v>0.52195814315373124</v>
      </c>
      <c r="F13" s="11">
        <f t="shared" si="1"/>
        <v>0.52804185684626881</v>
      </c>
      <c r="G13" s="11">
        <f t="shared" si="2"/>
        <v>1.5719581431537313</v>
      </c>
      <c r="I13" s="15"/>
    </row>
    <row r="14" spans="1:15">
      <c r="A14" s="13">
        <v>10</v>
      </c>
      <c r="B14" s="11">
        <f>Results!B12</f>
        <v>1.35</v>
      </c>
      <c r="C14" s="11">
        <f>Results!D12</f>
        <v>1.3869694338832113</v>
      </c>
      <c r="D14" s="4">
        <f>Results!E12</f>
        <v>20</v>
      </c>
      <c r="E14" s="11">
        <f t="shared" si="0"/>
        <v>0.60785498594468756</v>
      </c>
      <c r="F14" s="11">
        <f t="shared" si="1"/>
        <v>0.74214501405531252</v>
      </c>
      <c r="G14" s="11">
        <f t="shared" si="2"/>
        <v>1.9578549859446877</v>
      </c>
    </row>
    <row r="15" spans="1:15">
      <c r="A15" s="13">
        <v>11</v>
      </c>
      <c r="B15" s="11">
        <f>Results!B13</f>
        <v>0.4</v>
      </c>
      <c r="C15" s="11">
        <f>Results!D13</f>
        <v>1.2732056517228265</v>
      </c>
      <c r="D15" s="4">
        <f>Results!E13</f>
        <v>20</v>
      </c>
      <c r="E15" s="11">
        <f t="shared" si="0"/>
        <v>0.55799672626227692</v>
      </c>
      <c r="F15" s="11">
        <f t="shared" si="1"/>
        <v>-0.1579967262622769</v>
      </c>
      <c r="G15" s="11">
        <f t="shared" si="2"/>
        <v>0.95799672626227694</v>
      </c>
      <c r="J15" s="84"/>
    </row>
    <row r="16" spans="1:15">
      <c r="A16" s="13">
        <v>12</v>
      </c>
      <c r="B16" s="11">
        <f>Results!B14</f>
        <v>1.25</v>
      </c>
      <c r="C16" s="11">
        <f>Results!D14</f>
        <v>1.019545822516343</v>
      </c>
      <c r="D16" s="4">
        <f>Results!E14</f>
        <v>20</v>
      </c>
      <c r="E16" s="11">
        <f t="shared" si="0"/>
        <v>0.44682744729313256</v>
      </c>
      <c r="F16" s="11">
        <f t="shared" si="1"/>
        <v>0.80317255270686738</v>
      </c>
      <c r="G16" s="11">
        <f t="shared" si="2"/>
        <v>1.6968274472931326</v>
      </c>
    </row>
    <row r="17" spans="1:7">
      <c r="A17" s="13">
        <v>13</v>
      </c>
      <c r="B17" s="11">
        <f>Results!B15</f>
        <v>2.2999999999999998</v>
      </c>
      <c r="C17" s="11">
        <f>Results!D15</f>
        <v>0.73269509706504654</v>
      </c>
      <c r="D17" s="4">
        <f>Results!E15</f>
        <v>20</v>
      </c>
      <c r="E17" s="11">
        <f t="shared" si="0"/>
        <v>0.32111188397372975</v>
      </c>
      <c r="F17" s="11">
        <f t="shared" si="1"/>
        <v>1.9788881160262701</v>
      </c>
      <c r="G17" s="11">
        <f t="shared" si="2"/>
        <v>2.6211118839737297</v>
      </c>
    </row>
    <row r="18" spans="1:7">
      <c r="A18" s="13">
        <v>14</v>
      </c>
      <c r="B18" s="11">
        <f>Results!B16</f>
        <v>0.9</v>
      </c>
      <c r="C18" s="11">
        <f>Results!D16</f>
        <v>1.4473205733717955</v>
      </c>
      <c r="D18" s="4">
        <f>Results!E16</f>
        <v>20</v>
      </c>
      <c r="E18" s="11">
        <f t="shared" si="0"/>
        <v>0.63430455300030031</v>
      </c>
      <c r="F18" s="11">
        <f t="shared" si="1"/>
        <v>0.26569544699969971</v>
      </c>
      <c r="G18" s="11">
        <f t="shared" si="2"/>
        <v>1.5343045530003003</v>
      </c>
    </row>
    <row r="19" spans="1:7">
      <c r="A19" s="13">
        <v>15</v>
      </c>
      <c r="B19" s="11">
        <f>Results!B17</f>
        <v>0.4</v>
      </c>
      <c r="C19" s="11">
        <f>Results!D17</f>
        <v>1.1876558069531229</v>
      </c>
      <c r="D19" s="4">
        <f>Results!E17</f>
        <v>20</v>
      </c>
      <c r="E19" s="11">
        <f t="shared" si="0"/>
        <v>0.52050354262054055</v>
      </c>
      <c r="F19" s="11">
        <f t="shared" si="1"/>
        <v>-0.12050354262054053</v>
      </c>
      <c r="G19" s="11">
        <f t="shared" si="2"/>
        <v>0.92050354262054057</v>
      </c>
    </row>
    <row r="20" spans="1:7">
      <c r="A20" s="13">
        <v>16</v>
      </c>
      <c r="B20" s="11">
        <f>Results!B18</f>
        <v>1.2</v>
      </c>
      <c r="C20" s="11">
        <f>Results!D18</f>
        <v>1.1964860832322377</v>
      </c>
      <c r="D20" s="4">
        <f>Results!E18</f>
        <v>20</v>
      </c>
      <c r="E20" s="11">
        <f t="shared" si="0"/>
        <v>0.5243735107196219</v>
      </c>
      <c r="F20" s="11">
        <f t="shared" si="1"/>
        <v>0.67562648928037805</v>
      </c>
      <c r="G20" s="11">
        <f t="shared" si="2"/>
        <v>1.7243735107196219</v>
      </c>
    </row>
    <row r="21" spans="1:7">
      <c r="A21" s="13">
        <v>17</v>
      </c>
      <c r="B21" s="11">
        <f>Results!B19</f>
        <v>0.55000000000000004</v>
      </c>
      <c r="C21" s="11">
        <f>Results!D19</f>
        <v>1.5381123085406381</v>
      </c>
      <c r="D21" s="4">
        <f>Results!E19</f>
        <v>20</v>
      </c>
      <c r="E21" s="11">
        <f t="shared" si="0"/>
        <v>0.67409505418707527</v>
      </c>
      <c r="F21" s="11">
        <f t="shared" si="1"/>
        <v>-0.12409505418707523</v>
      </c>
      <c r="G21" s="11">
        <f t="shared" si="2"/>
        <v>1.2240950541870754</v>
      </c>
    </row>
    <row r="22" spans="1:7">
      <c r="A22" s="13">
        <v>18</v>
      </c>
      <c r="B22" s="11">
        <f>Results!B20</f>
        <v>0.8</v>
      </c>
      <c r="C22" s="11">
        <f>Results!D20</f>
        <v>1.3218806379747876</v>
      </c>
      <c r="D22" s="4">
        <f>Results!E20</f>
        <v>20</v>
      </c>
      <c r="E22" s="11">
        <f t="shared" si="0"/>
        <v>0.57932908756832657</v>
      </c>
      <c r="F22" s="11">
        <f t="shared" si="1"/>
        <v>0.22067091243167347</v>
      </c>
      <c r="G22" s="11">
        <f t="shared" si="2"/>
        <v>1.3793290875683266</v>
      </c>
    </row>
    <row r="23" spans="1:7">
      <c r="A23" s="13">
        <v>19</v>
      </c>
      <c r="B23" s="11">
        <f>Results!B21</f>
        <v>0.55000000000000004</v>
      </c>
      <c r="C23" s="11">
        <f>Results!D21</f>
        <v>1.7006190823220511</v>
      </c>
      <c r="D23" s="4">
        <f>Results!E21</f>
        <v>20</v>
      </c>
      <c r="E23" s="11">
        <f t="shared" si="0"/>
        <v>0.74531547929496922</v>
      </c>
      <c r="F23" s="11">
        <f t="shared" si="1"/>
        <v>-0.19531547929496917</v>
      </c>
      <c r="G23" s="11">
        <f t="shared" si="2"/>
        <v>1.2953154792949693</v>
      </c>
    </row>
    <row r="24" spans="1:7">
      <c r="A24" s="13">
        <v>20</v>
      </c>
      <c r="B24" s="11">
        <f>Results!B22</f>
        <v>0.25</v>
      </c>
      <c r="C24" s="11">
        <f>Results!D22</f>
        <v>1.2513150976809202</v>
      </c>
      <c r="D24" s="4">
        <f>Results!E22</f>
        <v>20</v>
      </c>
      <c r="E24" s="11">
        <f t="shared" si="0"/>
        <v>0.54840294424055658</v>
      </c>
      <c r="F24" s="11">
        <f t="shared" si="1"/>
        <v>-0.29840294424055658</v>
      </c>
      <c r="G24" s="11">
        <f t="shared" si="2"/>
        <v>0.79840294424055658</v>
      </c>
    </row>
    <row r="25" spans="1:7">
      <c r="A25" s="14">
        <v>21</v>
      </c>
      <c r="B25" s="11">
        <f>Results!B23</f>
        <v>1.65</v>
      </c>
      <c r="C25" s="11">
        <f>Results!D23</f>
        <v>1.1821033884786183</v>
      </c>
      <c r="D25" s="4">
        <f>Results!E23</f>
        <v>20</v>
      </c>
      <c r="E25" s="11">
        <f t="shared" ref="E25:E30" si="6">CONFIDENCE(0.05, C25, D25)</f>
        <v>0.51807013264673196</v>
      </c>
      <c r="F25" s="11">
        <f t="shared" ref="F25:F30" si="7">B25-E25</f>
        <v>1.1319298673532678</v>
      </c>
      <c r="G25" s="11">
        <f t="shared" ref="G25:G30" si="8">B25+E25</f>
        <v>2.168070132646732</v>
      </c>
    </row>
    <row r="26" spans="1:7">
      <c r="A26" s="14">
        <v>22</v>
      </c>
      <c r="B26" s="11">
        <f>Results!B24</f>
        <v>1</v>
      </c>
      <c r="C26" s="11">
        <f>Results!D24</f>
        <v>1.3377121081198773</v>
      </c>
      <c r="D26" s="4">
        <f>Results!E24</f>
        <v>20</v>
      </c>
      <c r="E26" s="11">
        <f t="shared" si="6"/>
        <v>0.58626740778464459</v>
      </c>
      <c r="F26" s="11">
        <f t="shared" si="7"/>
        <v>0.41373259221535541</v>
      </c>
      <c r="G26" s="11">
        <f t="shared" si="8"/>
        <v>1.5862674077846446</v>
      </c>
    </row>
    <row r="27" spans="1:7">
      <c r="A27" s="14">
        <v>23</v>
      </c>
      <c r="B27" s="11">
        <f>Results!B25</f>
        <v>1.6</v>
      </c>
      <c r="C27" s="11">
        <f>Results!D25</f>
        <v>1.2732056517228265</v>
      </c>
      <c r="D27" s="4">
        <f>Results!E25</f>
        <v>20</v>
      </c>
      <c r="E27" s="11">
        <f t="shared" si="6"/>
        <v>0.55799672626227692</v>
      </c>
      <c r="F27" s="11">
        <f t="shared" si="7"/>
        <v>1.0420032737377232</v>
      </c>
      <c r="G27" s="11">
        <f t="shared" si="8"/>
        <v>2.1579967262622768</v>
      </c>
    </row>
    <row r="28" spans="1:7">
      <c r="A28" s="14">
        <v>24</v>
      </c>
      <c r="B28" s="11">
        <f>Results!B26</f>
        <v>0.85</v>
      </c>
      <c r="C28" s="11">
        <f>Results!D26</f>
        <v>1.3088765773505315</v>
      </c>
      <c r="D28" s="4">
        <f>Results!E26</f>
        <v>20</v>
      </c>
      <c r="E28" s="11">
        <f t="shared" si="6"/>
        <v>0.57362991144023412</v>
      </c>
      <c r="F28" s="11">
        <f t="shared" si="7"/>
        <v>0.27637008855976586</v>
      </c>
      <c r="G28" s="11">
        <f t="shared" si="8"/>
        <v>1.423629911440234</v>
      </c>
    </row>
    <row r="29" spans="1:7">
      <c r="A29" s="14">
        <v>25</v>
      </c>
      <c r="B29" s="11">
        <f>Results!B27</f>
        <v>1.9</v>
      </c>
      <c r="C29" s="11">
        <f>Results!D27</f>
        <v>1.0208355710680808</v>
      </c>
      <c r="D29" s="4">
        <f>Results!E27</f>
        <v>20</v>
      </c>
      <c r="E29" s="11">
        <f t="shared" si="6"/>
        <v>0.44739269413176969</v>
      </c>
      <c r="F29" s="11">
        <f t="shared" si="7"/>
        <v>1.4526073058682303</v>
      </c>
      <c r="G29" s="11">
        <f t="shared" si="8"/>
        <v>2.3473926941317695</v>
      </c>
    </row>
    <row r="30" spans="1:7">
      <c r="A30" s="14">
        <v>26</v>
      </c>
      <c r="B30" s="11">
        <f>Results!B28</f>
        <v>1.3</v>
      </c>
      <c r="C30" s="11">
        <f>Results!D28</f>
        <v>1.1285761872936695</v>
      </c>
      <c r="D30" s="4">
        <f>Results!E28</f>
        <v>20</v>
      </c>
      <c r="E30" s="11">
        <f t="shared" si="6"/>
        <v>0.49461123346043939</v>
      </c>
      <c r="F30" s="11">
        <f t="shared" si="7"/>
        <v>0.80538876653956071</v>
      </c>
      <c r="G30" s="11">
        <f t="shared" si="8"/>
        <v>1.7946112334604394</v>
      </c>
    </row>
  </sheetData>
  <mergeCells count="5">
    <mergeCell ref="A3:G3"/>
    <mergeCell ref="F4:G4"/>
    <mergeCell ref="I3:O3"/>
    <mergeCell ref="N4:O4"/>
    <mergeCell ref="A1:O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abSelected="1" topLeftCell="E44" zoomScale="94" zoomScaleNormal="69" workbookViewId="0">
      <selection activeCell="G62" sqref="G62"/>
    </sheetView>
  </sheetViews>
  <sheetFormatPr baseColWidth="10" defaultColWidth="8.83203125" defaultRowHeight="15"/>
  <cols>
    <col min="1" max="1" width="8.83203125" style="46"/>
    <col min="2" max="2" width="39.83203125" style="46" customWidth="1"/>
    <col min="3" max="3" width="8.83203125" style="46" customWidth="1"/>
    <col min="4" max="9" width="8.83203125" style="46"/>
    <col min="10" max="10" width="18" style="46" customWidth="1"/>
    <col min="11" max="11" width="5.33203125" style="46" customWidth="1"/>
    <col min="12" max="16384" width="8.83203125" style="46"/>
  </cols>
  <sheetData>
    <row r="1" spans="1:11" ht="82.25" customHeight="1">
      <c r="A1" s="175" t="s">
        <v>1289</v>
      </c>
      <c r="B1" s="169"/>
      <c r="C1" s="169"/>
      <c r="D1" s="169"/>
      <c r="E1" s="169"/>
      <c r="F1" s="169"/>
      <c r="G1" s="169"/>
      <c r="H1" s="169"/>
      <c r="I1" s="169"/>
      <c r="J1" s="169"/>
      <c r="K1" s="169"/>
    </row>
    <row r="2" spans="1:11">
      <c r="A2" s="88" t="s">
        <v>1295</v>
      </c>
      <c r="B2" s="89" t="s">
        <v>2</v>
      </c>
      <c r="C2" s="90">
        <v>1</v>
      </c>
      <c r="D2" s="92">
        <v>2</v>
      </c>
      <c r="E2" s="92">
        <v>3</v>
      </c>
      <c r="F2" s="92">
        <v>4</v>
      </c>
      <c r="G2" s="92">
        <v>5</v>
      </c>
      <c r="H2" s="92">
        <v>6</v>
      </c>
      <c r="I2" s="92">
        <v>7</v>
      </c>
      <c r="J2" s="70" t="s">
        <v>110</v>
      </c>
    </row>
    <row r="3" spans="1:11">
      <c r="A3" s="2">
        <v>1</v>
      </c>
      <c r="B3" s="1" t="str">
        <f>_xlfn.CONCAT(Results!F3,"/",Results!G3)</f>
        <v>annoying/enjoyable</v>
      </c>
      <c r="C3" s="1">
        <f>COUNTIF(DT!A4:A1004,"-3")</f>
        <v>0</v>
      </c>
      <c r="D3" s="1">
        <f>COUNTIF(DT!A4:A1004,"-2")</f>
        <v>4</v>
      </c>
      <c r="E3" s="1">
        <f>COUNTIF(DT!A4:A1004,"-1")</f>
        <v>1</v>
      </c>
      <c r="F3" s="1">
        <f>COUNTIF(DT!A4:A1004,"0")</f>
        <v>2</v>
      </c>
      <c r="G3" s="1">
        <f>COUNTIF(DT!A4:A1004,"1")</f>
        <v>9</v>
      </c>
      <c r="H3" s="1">
        <f>COUNTIF(DT!A4:A1004,"2")</f>
        <v>3</v>
      </c>
      <c r="I3" s="1">
        <f>COUNTIF(DT!A4:A1004,"3")</f>
        <v>1</v>
      </c>
      <c r="J3" s="28"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2</v>
      </c>
      <c r="G4" s="1">
        <f>COUNTIF(DT!B4:B1004,"1")</f>
        <v>4</v>
      </c>
      <c r="H4" s="1">
        <f>COUNTIF(DT!B4:B1004,"2")</f>
        <v>8</v>
      </c>
      <c r="I4" s="1">
        <f>COUNTIF(DT!B4:B1004,"3")</f>
        <v>6</v>
      </c>
      <c r="J4" s="28" t="str">
        <f>Results!H4</f>
        <v>Perspicuity</v>
      </c>
    </row>
    <row r="5" spans="1:11">
      <c r="A5" s="2">
        <v>3</v>
      </c>
      <c r="B5" s="1" t="str">
        <f>_xlfn.CONCAT(Results!G5,"/",Results!F5)</f>
        <v>dull/creative</v>
      </c>
      <c r="C5" s="1">
        <f>COUNTIF(DT!C4:C1004,"-3")</f>
        <v>1</v>
      </c>
      <c r="D5" s="1">
        <f>COUNTIF(DT!C4:C1004,"-2")</f>
        <v>5</v>
      </c>
      <c r="E5" s="1">
        <f>COUNTIF(DT!C4:C1004,"-1")</f>
        <v>2</v>
      </c>
      <c r="F5" s="1">
        <f>COUNTIF(DT!C4:C1004,"0")</f>
        <v>5</v>
      </c>
      <c r="G5" s="1">
        <f>COUNTIF(DT!C4:C1004,"1")</f>
        <v>4</v>
      </c>
      <c r="H5" s="1">
        <f>COUNTIF(DT!C4:C1004,"2")</f>
        <v>2</v>
      </c>
      <c r="I5" s="1">
        <f>COUNTIF(DT!C4:C1004,"3")</f>
        <v>1</v>
      </c>
      <c r="J5" s="28" t="str">
        <f>Results!H5</f>
        <v>Novelty</v>
      </c>
    </row>
    <row r="6" spans="1:11">
      <c r="A6" s="2">
        <v>4</v>
      </c>
      <c r="B6" s="1" t="str">
        <f>_xlfn.CONCAT(Results!G6,"/",Results!F6)</f>
        <v>difficult to learn/easy to learn</v>
      </c>
      <c r="C6" s="1">
        <f>COUNTIF(DT!D4:D1004,"-3")</f>
        <v>0</v>
      </c>
      <c r="D6" s="1">
        <f>COUNTIF(DT!D4:D1004,"-2")</f>
        <v>0</v>
      </c>
      <c r="E6" s="1">
        <f>COUNTIF(DT!D4:D1004,"-1")</f>
        <v>1</v>
      </c>
      <c r="F6" s="1">
        <f>COUNTIF(DT!D4:D1004,"0")</f>
        <v>0</v>
      </c>
      <c r="G6" s="1">
        <f>COUNTIF(DT!D4:D1004,"1")</f>
        <v>1</v>
      </c>
      <c r="H6" s="1">
        <f>COUNTIF(DT!D4:D1004,"2")</f>
        <v>4</v>
      </c>
      <c r="I6" s="1">
        <f>COUNTIF(DT!D4:D1004,"3")</f>
        <v>14</v>
      </c>
      <c r="J6" s="28" t="str">
        <f>Results!H6</f>
        <v>Perspicuity</v>
      </c>
    </row>
    <row r="7" spans="1:11">
      <c r="A7" s="2">
        <v>5</v>
      </c>
      <c r="B7" s="1" t="str">
        <f>_xlfn.CONCAT(Results!G7,"/",Results!F7)</f>
        <v>inferior/valuable</v>
      </c>
      <c r="C7" s="1">
        <f>COUNTIF(DT!E4:E1004,"-3")</f>
        <v>0</v>
      </c>
      <c r="D7" s="1">
        <f>COUNTIF(DT!E4:E1004,"-2")</f>
        <v>1</v>
      </c>
      <c r="E7" s="1">
        <f>COUNTIF(DT!E4:E1004,"-1")</f>
        <v>2</v>
      </c>
      <c r="F7" s="1">
        <f>COUNTIF(DT!E4:E1004,"0")</f>
        <v>6</v>
      </c>
      <c r="G7" s="1">
        <f>COUNTIF(DT!E4:E1004,"1")</f>
        <v>6</v>
      </c>
      <c r="H7" s="1">
        <f>COUNTIF(DT!E4:E1004,"2")</f>
        <v>4</v>
      </c>
      <c r="I7" s="1">
        <f>COUNTIF(DT!E4:E1004,"3")</f>
        <v>1</v>
      </c>
      <c r="J7" s="29" t="str">
        <f>Results!H7</f>
        <v>Stimulation</v>
      </c>
    </row>
    <row r="8" spans="1:11">
      <c r="A8" s="2">
        <v>6</v>
      </c>
      <c r="B8" s="1" t="str">
        <f>_xlfn.CONCAT(Results!F8,"/",Results!G8)</f>
        <v>boring/exciting</v>
      </c>
      <c r="C8" s="1">
        <f>COUNTIF(DT!F4:F1004,"-3")</f>
        <v>0</v>
      </c>
      <c r="D8" s="1">
        <f>COUNTIF(DT!F4:F1004,"-2")</f>
        <v>3</v>
      </c>
      <c r="E8" s="1">
        <f>COUNTIF(DT!F4:F1004,"-1")</f>
        <v>10</v>
      </c>
      <c r="F8" s="1">
        <f>COUNTIF(DT!F4:F1004,"0")</f>
        <v>4</v>
      </c>
      <c r="G8" s="1">
        <f>COUNTIF(DT!F4:F1004,"1")</f>
        <v>3</v>
      </c>
      <c r="H8" s="1">
        <f>COUNTIF(DT!F4:F1004,"2")</f>
        <v>0</v>
      </c>
      <c r="I8" s="1">
        <f>COUNTIF(DT!F4:F1004,"3")</f>
        <v>0</v>
      </c>
      <c r="J8" s="29" t="str">
        <f>Results!H8</f>
        <v>Stimulation</v>
      </c>
    </row>
    <row r="9" spans="1:11">
      <c r="A9" s="2">
        <v>7</v>
      </c>
      <c r="B9" s="1" t="str">
        <f>_xlfn.CONCAT(Results!F9,"/",Results!G9)</f>
        <v>not interesting/interesting</v>
      </c>
      <c r="C9" s="1">
        <f>COUNTIF(DT!G4:G1004,"-3")</f>
        <v>0</v>
      </c>
      <c r="D9" s="1">
        <f>COUNTIF(DT!G4:G1004,"-2")</f>
        <v>0</v>
      </c>
      <c r="E9" s="1">
        <f>COUNTIF(DT!G4:G1004,"-1")</f>
        <v>3</v>
      </c>
      <c r="F9" s="1">
        <f>COUNTIF(DT!G4:G1004,"0")</f>
        <v>3</v>
      </c>
      <c r="G9" s="1">
        <f>COUNTIF(DT!G4:G1004,"1")</f>
        <v>11</v>
      </c>
      <c r="H9" s="1">
        <f>COUNTIF(DT!G4:G1004,"2")</f>
        <v>3</v>
      </c>
      <c r="I9" s="1">
        <f>COUNTIF(DT!G4:G1004,"3")</f>
        <v>0</v>
      </c>
      <c r="J9" s="29" t="str">
        <f>Results!H9</f>
        <v>Stimulation</v>
      </c>
    </row>
    <row r="10" spans="1:11">
      <c r="A10" s="2">
        <v>8</v>
      </c>
      <c r="B10" s="1" t="str">
        <f>_xlfn.CONCAT(Results!F10,"/",Results!G10)</f>
        <v>unpredictable/predictable</v>
      </c>
      <c r="C10" s="1">
        <f>COUNTIF(DT!H4:H1004,"-3")</f>
        <v>0</v>
      </c>
      <c r="D10" s="1">
        <f>COUNTIF(DT!H4:H1004,"-2")</f>
        <v>0</v>
      </c>
      <c r="E10" s="1">
        <f>COUNTIF(DT!H4:H1004,"-1")</f>
        <v>1</v>
      </c>
      <c r="F10" s="1">
        <f>COUNTIF(DT!H4:H1004,"0")</f>
        <v>5</v>
      </c>
      <c r="G10" s="1">
        <f>COUNTIF(DT!H4:H1004,"1")</f>
        <v>4</v>
      </c>
      <c r="H10" s="1">
        <f>COUNTIF(DT!H4:H1004,"2")</f>
        <v>4</v>
      </c>
      <c r="I10" s="1">
        <f>COUNTIF(DT!H4:H1004,"3")</f>
        <v>6</v>
      </c>
      <c r="J10" s="28" t="str">
        <f>Results!H10</f>
        <v>Dependability</v>
      </c>
    </row>
    <row r="11" spans="1:11">
      <c r="A11" s="2">
        <v>9</v>
      </c>
      <c r="B11" s="1" t="str">
        <f>_xlfn.CONCAT(Results!G11,"/",Results!F11)</f>
        <v>slow/fast</v>
      </c>
      <c r="C11" s="1">
        <f>COUNTIF(DT!I4:I1004,"-3")</f>
        <v>0</v>
      </c>
      <c r="D11" s="1">
        <f>COUNTIF(DT!I4:I1004,"-2")</f>
        <v>0</v>
      </c>
      <c r="E11" s="1">
        <f>COUNTIF(DT!I4:I1004,"-1")</f>
        <v>3</v>
      </c>
      <c r="F11" s="1">
        <f>COUNTIF(DT!I4:I1004,"0")</f>
        <v>3</v>
      </c>
      <c r="G11" s="1">
        <f>COUNTIF(DT!I4:I1004,"1")</f>
        <v>5</v>
      </c>
      <c r="H11" s="1">
        <f>COUNTIF(DT!I4:I1004,"2")</f>
        <v>8</v>
      </c>
      <c r="I11" s="1">
        <f>COUNTIF(DT!I4:I1004,"3")</f>
        <v>1</v>
      </c>
      <c r="J11" s="28" t="str">
        <f>Results!H11</f>
        <v>Efficiency</v>
      </c>
    </row>
    <row r="12" spans="1:11">
      <c r="A12" s="2">
        <v>10</v>
      </c>
      <c r="B12" s="1" t="str">
        <f>_xlfn.CONCAT(Results!G12,"/",Results!F12)</f>
        <v>conventional/inventive</v>
      </c>
      <c r="C12" s="1">
        <f>COUNTIF(DT!J4:J1004,"-3")</f>
        <v>0</v>
      </c>
      <c r="D12" s="1">
        <f>COUNTIF(DT!J4:J1004,"-2")</f>
        <v>1</v>
      </c>
      <c r="E12" s="1">
        <f>COUNTIF(DT!J4:J1004,"-1")</f>
        <v>1</v>
      </c>
      <c r="F12" s="1">
        <f>COUNTIF(DT!J4:J1004,"0")</f>
        <v>3</v>
      </c>
      <c r="G12" s="1">
        <f>COUNTIF(DT!J4:J1004,"1")</f>
        <v>4</v>
      </c>
      <c r="H12" s="1">
        <f>COUNTIF(DT!J4:J1004,"2")</f>
        <v>7</v>
      </c>
      <c r="I12" s="1">
        <f>COUNTIF(DT!J4:J1004,"3")</f>
        <v>4</v>
      </c>
      <c r="J12" s="28" t="str">
        <f>Results!H12</f>
        <v>Novelty</v>
      </c>
    </row>
    <row r="13" spans="1:11">
      <c r="A13" s="2">
        <v>11</v>
      </c>
      <c r="B13" s="1" t="str">
        <f>_xlfn.CONCAT(Results!F13,"/",Results!G13)</f>
        <v>obstructive/supportive</v>
      </c>
      <c r="C13" s="1">
        <f>COUNTIF(DT!K4:K1004,"-3")</f>
        <v>1</v>
      </c>
      <c r="D13" s="1">
        <f>COUNTIF(DT!K4:K1004,"-2")</f>
        <v>1</v>
      </c>
      <c r="E13" s="1">
        <f>COUNTIF(DT!K4:K1004,"-1")</f>
        <v>0</v>
      </c>
      <c r="F13" s="1">
        <f>COUNTIF(DT!K4:K1004,"0")</f>
        <v>9</v>
      </c>
      <c r="G13" s="1">
        <f>COUNTIF(DT!K4:K1004,"1")</f>
        <v>5</v>
      </c>
      <c r="H13" s="1">
        <f>COUNTIF(DT!K4:K1004,"2")</f>
        <v>4</v>
      </c>
      <c r="I13" s="1">
        <f>COUNTIF(DT!K4:K1004,"3")</f>
        <v>0</v>
      </c>
      <c r="J13" s="28" t="str">
        <f>Results!H13</f>
        <v>Dependability</v>
      </c>
    </row>
    <row r="14" spans="1:11">
      <c r="A14" s="2">
        <v>12</v>
      </c>
      <c r="B14" s="1" t="str">
        <f>_xlfn.CONCAT(Results!G14,"/",Results!F14)</f>
        <v>bad/good</v>
      </c>
      <c r="C14" s="1">
        <f>COUNTIF(DT!L4:L1004,"-3")</f>
        <v>0</v>
      </c>
      <c r="D14" s="1">
        <f>COUNTIF(DT!L4:L1004,"-2")</f>
        <v>0</v>
      </c>
      <c r="E14" s="1">
        <f>COUNTIF(DT!L4:L1004,"-1")</f>
        <v>1</v>
      </c>
      <c r="F14" s="1">
        <f>COUNTIF(DT!L4:L1004,"0")</f>
        <v>3</v>
      </c>
      <c r="G14" s="1">
        <f>COUNTIF(DT!L4:L1004,"1")</f>
        <v>8</v>
      </c>
      <c r="H14" s="1">
        <f>COUNTIF(DT!L4:L1004,"2")</f>
        <v>6</v>
      </c>
      <c r="I14" s="1">
        <f>COUNTIF(DT!L4:L1004,"3")</f>
        <v>2</v>
      </c>
      <c r="J14" s="28"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3</v>
      </c>
      <c r="H15" s="1">
        <f>COUNTIF(DT!M4:M1004,"2")</f>
        <v>8</v>
      </c>
      <c r="I15" s="1">
        <f>COUNTIF(DT!M4:M1004,"3")</f>
        <v>9</v>
      </c>
      <c r="J15" s="28" t="str">
        <f>Results!H15</f>
        <v>Perspicuity</v>
      </c>
    </row>
    <row r="16" spans="1:11">
      <c r="A16" s="2">
        <v>14</v>
      </c>
      <c r="B16" s="1" t="str">
        <f>_xlfn.CONCAT(Results!F16,"/",Results!G16)</f>
        <v>unlikable/pleasing</v>
      </c>
      <c r="C16" s="1">
        <f>COUNTIF(DT!N4:N1004,"-3")</f>
        <v>0</v>
      </c>
      <c r="D16" s="1">
        <f>COUNTIF(DT!N4:N1004,"-2")</f>
        <v>1</v>
      </c>
      <c r="E16" s="1">
        <f>COUNTIF(DT!N4:N1004,"-1")</f>
        <v>4</v>
      </c>
      <c r="F16" s="1">
        <f>COUNTIF(DT!N4:N1004,"0")</f>
        <v>1</v>
      </c>
      <c r="G16" s="1">
        <f>COUNTIF(DT!N4:N1004,"1")</f>
        <v>6</v>
      </c>
      <c r="H16" s="1">
        <f>COUNTIF(DT!N4:N1004,"2")</f>
        <v>6</v>
      </c>
      <c r="I16" s="1">
        <f>COUNTIF(DT!N4:N1004,"3")</f>
        <v>2</v>
      </c>
      <c r="J16" s="28" t="str">
        <f>Results!H16</f>
        <v>Attractiveness</v>
      </c>
    </row>
    <row r="17" spans="1:10">
      <c r="A17" s="2">
        <v>15</v>
      </c>
      <c r="B17" s="1" t="str">
        <f>_xlfn.CONCAT(Results!F17,"/",Results!G17)</f>
        <v>usual/leading edge</v>
      </c>
      <c r="C17" s="1">
        <f>COUNTIF(DT!O4:O1004,"-3")</f>
        <v>0</v>
      </c>
      <c r="D17" s="1">
        <f>COUNTIF(DT!O4:O1004,"-2")</f>
        <v>1</v>
      </c>
      <c r="E17" s="1">
        <f>COUNTIF(DT!O4:O1004,"-1")</f>
        <v>3</v>
      </c>
      <c r="F17" s="1">
        <f>COUNTIF(DT!O4:O1004,"0")</f>
        <v>7</v>
      </c>
      <c r="G17" s="1">
        <f>COUNTIF(DT!O4:O1004,"1")</f>
        <v>6</v>
      </c>
      <c r="H17" s="1">
        <f>COUNTIF(DT!O4:O1004,"2")</f>
        <v>2</v>
      </c>
      <c r="I17" s="1">
        <f>COUNTIF(DT!O4:O1004,"3")</f>
        <v>1</v>
      </c>
      <c r="J17" s="28" t="str">
        <f>Results!H17</f>
        <v>Novelty</v>
      </c>
    </row>
    <row r="18" spans="1:10">
      <c r="A18" s="2">
        <v>16</v>
      </c>
      <c r="B18" s="1" t="str">
        <f>_xlfn.CONCAT(Results!F18,"/",Results!G18)</f>
        <v>unpleasant/pleasant</v>
      </c>
      <c r="C18" s="1">
        <f>COUNTIF(DT!P4:P1004,"-3")</f>
        <v>0</v>
      </c>
      <c r="D18" s="1">
        <f>COUNTIF(DT!P4:P1004,"-2")</f>
        <v>0</v>
      </c>
      <c r="E18" s="1">
        <f>COUNTIF(DT!P4:P1004,"-1")</f>
        <v>2</v>
      </c>
      <c r="F18" s="1">
        <f>COUNTIF(DT!P4:P1004,"0")</f>
        <v>4</v>
      </c>
      <c r="G18" s="1">
        <f>COUNTIF(DT!P4:P1004,"1")</f>
        <v>4</v>
      </c>
      <c r="H18" s="1">
        <f>COUNTIF(DT!P4:P1004,"2")</f>
        <v>8</v>
      </c>
      <c r="I18" s="1">
        <f>COUNTIF(DT!P4:P1004,"3")</f>
        <v>2</v>
      </c>
      <c r="J18" s="28" t="str">
        <f>Results!H18</f>
        <v>Attractiveness</v>
      </c>
    </row>
    <row r="19" spans="1:10">
      <c r="A19" s="2">
        <v>17</v>
      </c>
      <c r="B19" s="1" t="str">
        <f>_xlfn.CONCAT(Results!G19,"/",Results!F19)</f>
        <v>not secure/secure</v>
      </c>
      <c r="C19" s="1">
        <f>COUNTIF(DT!Q4:Q1004,"-3")</f>
        <v>1</v>
      </c>
      <c r="D19" s="1">
        <f>COUNTIF(DT!Q4:Q1004,"-2")</f>
        <v>0</v>
      </c>
      <c r="E19" s="1">
        <f>COUNTIF(DT!Q4:Q1004,"-1")</f>
        <v>3</v>
      </c>
      <c r="F19" s="1">
        <f>COUNTIF(DT!Q4:Q1004,"0")</f>
        <v>7</v>
      </c>
      <c r="G19" s="1">
        <f>COUNTIF(DT!Q4:Q1004,"1")</f>
        <v>4</v>
      </c>
      <c r="H19" s="1">
        <f>COUNTIF(DT!Q4:Q1004,"2")</f>
        <v>2</v>
      </c>
      <c r="I19" s="1">
        <f>COUNTIF(DT!Q4:Q1004,"3")</f>
        <v>3</v>
      </c>
      <c r="J19" s="28" t="str">
        <f>Results!H19</f>
        <v>Dependability</v>
      </c>
    </row>
    <row r="20" spans="1:10">
      <c r="A20" s="2">
        <v>18</v>
      </c>
      <c r="B20" s="1" t="str">
        <f>_xlfn.CONCAT(Results!G20,"/",Results!F20)</f>
        <v>demotivating/motivating</v>
      </c>
      <c r="C20" s="1">
        <f>COUNTIF(DT!R4:R1004,"-3")</f>
        <v>0</v>
      </c>
      <c r="D20" s="1">
        <f>COUNTIF(DT!R4:R1004,"-2")</f>
        <v>1</v>
      </c>
      <c r="E20" s="1">
        <f>COUNTIF(DT!R4:R1004,"-1")</f>
        <v>3</v>
      </c>
      <c r="F20" s="1">
        <f>COUNTIF(DT!R4:R1004,"0")</f>
        <v>3</v>
      </c>
      <c r="G20" s="1">
        <f>COUNTIF(DT!R4:R1004,"1")</f>
        <v>6</v>
      </c>
      <c r="H20" s="1">
        <f>COUNTIF(DT!R4:R1004,"2")</f>
        <v>6</v>
      </c>
      <c r="I20" s="1">
        <f>COUNTIF(DT!R4:R1004,"3")</f>
        <v>1</v>
      </c>
      <c r="J20" s="29" t="str">
        <f>Results!H20</f>
        <v>Stimulation</v>
      </c>
    </row>
    <row r="21" spans="1:10">
      <c r="A21" s="2">
        <v>19</v>
      </c>
      <c r="B21" s="1" t="str">
        <f>_xlfn.CONCAT(Results!G21,"/",Results!F21)</f>
        <v>does not meet expectations/meets expectations</v>
      </c>
      <c r="C21" s="1">
        <f>COUNTIF(DT!S4:S1004,"-3")</f>
        <v>0</v>
      </c>
      <c r="D21" s="1">
        <f>COUNTIF(DT!S4:S1004,"-2")</f>
        <v>3</v>
      </c>
      <c r="E21" s="1">
        <f>COUNTIF(DT!S4:S1004,"-1")</f>
        <v>4</v>
      </c>
      <c r="F21" s="1">
        <f>COUNTIF(DT!S4:S1004,"0")</f>
        <v>1</v>
      </c>
      <c r="G21" s="1">
        <f>COUNTIF(DT!S4:S1004,"1")</f>
        <v>6</v>
      </c>
      <c r="H21" s="1">
        <f>COUNTIF(DT!S4:S1004,"2")</f>
        <v>3</v>
      </c>
      <c r="I21" s="1">
        <f>COUNTIF(DT!S4:S1004,"3")</f>
        <v>3</v>
      </c>
      <c r="J21" s="28" t="str">
        <f>Results!H21</f>
        <v>Dependability</v>
      </c>
    </row>
    <row r="22" spans="1:10">
      <c r="A22" s="2">
        <v>20</v>
      </c>
      <c r="B22" s="1" t="str">
        <f>_xlfn.CONCAT(Results!F22,"/",Results!G22)</f>
        <v>inefficient/efficient</v>
      </c>
      <c r="C22" s="1">
        <f>COUNTIF(DT!T4:T1004,"-3")</f>
        <v>0</v>
      </c>
      <c r="D22" s="1">
        <f>COUNTIF(DT!T4:T1004,"-2")</f>
        <v>0</v>
      </c>
      <c r="E22" s="1">
        <f>COUNTIF(DT!T4:T1004,"-1")</f>
        <v>7</v>
      </c>
      <c r="F22" s="1">
        <f>COUNTIF(DT!T4:T1004,"0")</f>
        <v>6</v>
      </c>
      <c r="G22" s="1">
        <f>COUNTIF(DT!T4:T1004,"1")</f>
        <v>3</v>
      </c>
      <c r="H22" s="1">
        <f>COUNTIF(DT!T4:T1004,"2")</f>
        <v>3</v>
      </c>
      <c r="I22" s="1">
        <f>COUNTIF(DT!T4:T1004,"3")</f>
        <v>1</v>
      </c>
      <c r="J22" s="28" t="str">
        <f>Results!H22</f>
        <v>Efficiency</v>
      </c>
    </row>
    <row r="23" spans="1:10">
      <c r="A23" s="6">
        <v>21</v>
      </c>
      <c r="B23" s="1" t="str">
        <f>_xlfn.CONCAT(Results!G23,"/",Results!F23)</f>
        <v>confusing/clear</v>
      </c>
      <c r="C23" s="1">
        <f>COUNTIF(DT!U4:U1004,"-3")</f>
        <v>0</v>
      </c>
      <c r="D23" s="1">
        <f>COUNTIF(DT!U4:U1004,"-2")</f>
        <v>0</v>
      </c>
      <c r="E23" s="1">
        <f>COUNTIF(DT!U4:U1004,"-1")</f>
        <v>2</v>
      </c>
      <c r="F23" s="1">
        <f>COUNTIF(DT!U4:U1004,"0")</f>
        <v>1</v>
      </c>
      <c r="G23" s="1">
        <f>COUNTIF(DT!U4:U1004,"1")</f>
        <v>3</v>
      </c>
      <c r="H23" s="1">
        <f>COUNTIF(DT!U4:U1004,"2")</f>
        <v>10</v>
      </c>
      <c r="I23" s="1">
        <f>COUNTIF(DT!U4:U1004,"3")</f>
        <v>4</v>
      </c>
      <c r="J23" s="28" t="str">
        <f>Results!H23</f>
        <v>Perspicuity</v>
      </c>
    </row>
    <row r="24" spans="1:10">
      <c r="A24" s="6">
        <v>22</v>
      </c>
      <c r="B24" s="1" t="str">
        <f>_xlfn.CONCAT(Results!F24,"/",Results!G24)</f>
        <v>impractical/practical</v>
      </c>
      <c r="C24" s="1">
        <f>COUNTIF(DT!V4:V1004,"-3")</f>
        <v>0</v>
      </c>
      <c r="D24" s="1">
        <f>COUNTIF(DT!V4:V1004,"-2")</f>
        <v>0</v>
      </c>
      <c r="E24" s="1">
        <f>COUNTIF(DT!V4:V1004,"-1")</f>
        <v>4</v>
      </c>
      <c r="F24" s="1">
        <f>COUNTIF(DT!V4:V1004,"0")</f>
        <v>3</v>
      </c>
      <c r="G24" s="1">
        <f>COUNTIF(DT!V4:V1004,"1")</f>
        <v>4</v>
      </c>
      <c r="H24" s="1">
        <f>COUNTIF(DT!V4:V1004,"2")</f>
        <v>7</v>
      </c>
      <c r="I24" s="1">
        <f>COUNTIF(DT!V4:V1004,"3")</f>
        <v>2</v>
      </c>
      <c r="J24" s="28" t="str">
        <f>Results!H24</f>
        <v>Efficiency</v>
      </c>
    </row>
    <row r="25" spans="1:10">
      <c r="A25" s="6">
        <v>23</v>
      </c>
      <c r="B25" s="1" t="str">
        <f>_xlfn.CONCAT(Results!G25,"/",Results!F25)</f>
        <v>cluttered/organized</v>
      </c>
      <c r="C25" s="1">
        <f>COUNTIF(DT!W4:W1004,"-3")</f>
        <v>0</v>
      </c>
      <c r="D25" s="1">
        <f>COUNTIF(DT!W4:W1004,"-2")</f>
        <v>0</v>
      </c>
      <c r="E25" s="1">
        <f>COUNTIF(DT!W4:W1004,"-1")</f>
        <v>1</v>
      </c>
      <c r="F25" s="1">
        <f>COUNTIF(DT!W4:W1004,"0")</f>
        <v>3</v>
      </c>
      <c r="G25" s="1">
        <f>COUNTIF(DT!W4:W1004,"1")</f>
        <v>6</v>
      </c>
      <c r="H25" s="1">
        <f>COUNTIF(DT!W4:W1004,"2")</f>
        <v>3</v>
      </c>
      <c r="I25" s="1">
        <f>COUNTIF(DT!W4:W1004,"3")</f>
        <v>7</v>
      </c>
      <c r="J25" s="28" t="str">
        <f>Results!H25</f>
        <v>Efficiency</v>
      </c>
    </row>
    <row r="26" spans="1:10">
      <c r="A26" s="6">
        <v>24</v>
      </c>
      <c r="B26" s="1" t="str">
        <f>_xlfn.CONCAT(Results!G26,"/",Results!F26)</f>
        <v>unattractive/attractive</v>
      </c>
      <c r="C26" s="1">
        <f>COUNTIF(DT!X4:X1004,"-3")</f>
        <v>0</v>
      </c>
      <c r="D26" s="1">
        <f>COUNTIF(DT!X4:X1004,"-2")</f>
        <v>1</v>
      </c>
      <c r="E26" s="1">
        <f>COUNTIF(DT!X4:X1004,"-1")</f>
        <v>2</v>
      </c>
      <c r="F26" s="1">
        <f>COUNTIF(DT!X4:X1004,"0")</f>
        <v>4</v>
      </c>
      <c r="G26" s="1">
        <f>COUNTIF(DT!X4:X1004,"1")</f>
        <v>7</v>
      </c>
      <c r="H26" s="1">
        <f>COUNTIF(DT!X4:X1004,"2")</f>
        <v>4</v>
      </c>
      <c r="I26" s="1">
        <f>COUNTIF(DT!X4:X1004,"3")</f>
        <v>2</v>
      </c>
      <c r="J26" s="28" t="str">
        <f>Results!H26</f>
        <v>Attractiveness</v>
      </c>
    </row>
    <row r="27" spans="1:10">
      <c r="A27" s="6">
        <v>25</v>
      </c>
      <c r="B27" s="1" t="str">
        <f>_xlfn.CONCAT(Results!G27,"/",Results!F27)</f>
        <v>unfriendly/friendly</v>
      </c>
      <c r="C27" s="1">
        <f>COUNTIF(DT!Y4:Y1004,"-3")</f>
        <v>0</v>
      </c>
      <c r="D27" s="1">
        <f>COUNTIF(DT!Y4:Y1004,"-2")</f>
        <v>0</v>
      </c>
      <c r="E27" s="1">
        <f>COUNTIF(DT!Y4:Y1004,"-1")</f>
        <v>0</v>
      </c>
      <c r="F27" s="1">
        <f>COUNTIF(DT!Y4:Y1004,"0")</f>
        <v>2</v>
      </c>
      <c r="G27" s="1">
        <f>COUNTIF(DT!Y4:Y1004,"1")</f>
        <v>5</v>
      </c>
      <c r="H27" s="1">
        <f>COUNTIF(DT!Y4:Y1004,"2")</f>
        <v>6</v>
      </c>
      <c r="I27" s="1">
        <f>COUNTIF(DT!Y4:Y1004,"3")</f>
        <v>7</v>
      </c>
      <c r="J27" s="28" t="str">
        <f>Results!H27</f>
        <v>Attractiveness</v>
      </c>
    </row>
    <row r="28" spans="1:10">
      <c r="A28" s="6">
        <v>26</v>
      </c>
      <c r="B28" s="1" t="str">
        <f>_xlfn.CONCAT(Results!F28,"/",Results!G28)</f>
        <v>conservative/innovative</v>
      </c>
      <c r="C28" s="1">
        <f>COUNTIF(DT!Z4:Z1004,"-3")</f>
        <v>0</v>
      </c>
      <c r="D28" s="1">
        <f>COUNTIF(DT!Z4:Z1004,"-2")</f>
        <v>0</v>
      </c>
      <c r="E28" s="1">
        <f>COUNTIF(DT!Z4:Z1004,"-1")</f>
        <v>1</v>
      </c>
      <c r="F28" s="1">
        <f>COUNTIF(DT!Z4:Z1004,"0")</f>
        <v>3</v>
      </c>
      <c r="G28" s="1">
        <f>COUNTIF(DT!Z4:Z1004,"1")</f>
        <v>9</v>
      </c>
      <c r="H28" s="1">
        <f>COUNTIF(DT!Z4:Z1004,"2")</f>
        <v>3</v>
      </c>
      <c r="I28" s="1">
        <f>COUNTIF(DT!Z4:Z1004,"3")</f>
        <v>4</v>
      </c>
      <c r="J28" s="28" t="str">
        <f>Results!H28</f>
        <v>Novelty</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22" workbookViewId="0">
      <selection activeCell="A3" sqref="A3:Q3"/>
    </sheetView>
  </sheetViews>
  <sheetFormatPr baseColWidth="10" defaultColWidth="9.1640625" defaultRowHeight="15"/>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55.25" customHeight="1">
      <c r="A1" s="156" t="s">
        <v>1284</v>
      </c>
      <c r="B1" s="176"/>
      <c r="C1" s="176"/>
      <c r="D1" s="176"/>
      <c r="E1" s="176"/>
      <c r="F1" s="176"/>
      <c r="G1" s="176"/>
      <c r="H1" s="176"/>
      <c r="I1" s="176"/>
      <c r="J1" s="176"/>
      <c r="K1" s="176"/>
      <c r="L1" s="176"/>
      <c r="M1" s="176"/>
      <c r="N1" s="176"/>
      <c r="O1" s="176"/>
      <c r="P1" s="176"/>
      <c r="Q1" s="176"/>
      <c r="R1" s="176"/>
    </row>
    <row r="2" spans="1:18" s="46" customFormat="1" ht="18.5" customHeight="1">
      <c r="A2" s="55"/>
      <c r="B2" s="56"/>
      <c r="C2" s="56"/>
      <c r="D2" s="56"/>
      <c r="E2" s="56"/>
      <c r="F2" s="56"/>
      <c r="G2" s="56"/>
      <c r="H2" s="56"/>
      <c r="I2" s="56"/>
      <c r="J2" s="56"/>
      <c r="K2" s="56"/>
      <c r="L2" s="56"/>
      <c r="M2" s="56"/>
      <c r="N2" s="56"/>
      <c r="O2" s="56"/>
      <c r="P2" s="56"/>
      <c r="Q2" s="56"/>
      <c r="R2" s="56"/>
    </row>
    <row r="3" spans="1:18" s="46" customFormat="1" ht="173" customHeight="1">
      <c r="A3" s="177" t="s">
        <v>1470</v>
      </c>
      <c r="B3" s="175"/>
      <c r="C3" s="175"/>
      <c r="D3" s="175"/>
      <c r="E3" s="175"/>
      <c r="F3" s="175"/>
      <c r="G3" s="175"/>
      <c r="H3" s="175"/>
      <c r="I3" s="175"/>
      <c r="J3" s="175"/>
      <c r="K3" s="175"/>
      <c r="L3" s="175"/>
      <c r="M3" s="175"/>
      <c r="N3" s="175"/>
      <c r="O3" s="175"/>
      <c r="P3" s="175"/>
      <c r="Q3" s="175"/>
      <c r="R3" s="56"/>
    </row>
    <row r="5" spans="1:18">
      <c r="A5" s="160" t="str">
        <f>VLOOKUP(Read_First!B5,Items!A1:BI50,54,FALSE)</f>
        <v>Attractiveness</v>
      </c>
      <c r="B5" s="160"/>
      <c r="D5" s="164" t="str">
        <f>VLOOKUP(Read_First!B5,Items!A1:BI50,55,FALSE)</f>
        <v>Perspicuity</v>
      </c>
      <c r="E5" s="164"/>
      <c r="G5" s="164" t="str">
        <f>VLOOKUP(Read_First!B5,Items!A1:BI50,56,FALSE)</f>
        <v>Efficiency</v>
      </c>
      <c r="H5" s="164"/>
      <c r="J5" s="164" t="str">
        <f>VLOOKUP(Read_First!B5,Items!A1:BI50,57,FALSE)</f>
        <v>Dependability</v>
      </c>
      <c r="K5" s="164"/>
      <c r="M5" s="164" t="str">
        <f>VLOOKUP(Read_First!B5,Items!A1:BI50,58,FALSE)</f>
        <v>Stimulation</v>
      </c>
      <c r="N5" s="164"/>
      <c r="P5" s="164" t="str">
        <f>VLOOKUP(Read_First!B5,Items!A1:BI50,59,FALSE)</f>
        <v>Novelty</v>
      </c>
      <c r="Q5" s="164"/>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0.50643870109813671</v>
      </c>
      <c r="D7" s="94" t="s">
        <v>5</v>
      </c>
      <c r="E7" s="95">
        <f>CORREL(DT!B4:B1004,DT!D4:D1004)</f>
        <v>0.32626046344280452</v>
      </c>
      <c r="G7" s="94" t="s">
        <v>11</v>
      </c>
      <c r="H7" s="95">
        <f>CORREL(DT!I4:I1004,DT!T4:T1004)</f>
        <v>0.59155065773310855</v>
      </c>
      <c r="J7" s="94" t="s">
        <v>17</v>
      </c>
      <c r="K7" s="95">
        <f>CORREL(DT!H4:H1004,DT!K4:K1004)</f>
        <v>1.2556162383582425E-2</v>
      </c>
      <c r="M7" s="94" t="s">
        <v>24</v>
      </c>
      <c r="N7" s="95">
        <f>CORREL(DT!E4:E1004,DT!F4:F1004)</f>
        <v>0.11271040985062485</v>
      </c>
      <c r="P7" s="94" t="s">
        <v>34</v>
      </c>
      <c r="Q7" s="95">
        <f>CORREL(DT!C4:C1004,DT!J4:J1004)</f>
        <v>0.28664410456393236</v>
      </c>
    </row>
    <row r="8" spans="1:18">
      <c r="A8" s="40" t="s">
        <v>37</v>
      </c>
      <c r="B8" s="41">
        <f>CORREL(DT!A4:A1004,DT!N4:N1004)</f>
        <v>0.77155619549066556</v>
      </c>
      <c r="D8" s="40" t="s">
        <v>6</v>
      </c>
      <c r="E8" s="41">
        <f>CORREL(DT!B4:B1004,DT!M4:M1004)</f>
        <v>0.34138760171150806</v>
      </c>
      <c r="G8" s="40" t="s">
        <v>12</v>
      </c>
      <c r="H8" s="41">
        <f>CORREL(DT!I4:I1004,DT!V4:V1004)</f>
        <v>0.13214208287510873</v>
      </c>
      <c r="J8" s="40" t="s">
        <v>18</v>
      </c>
      <c r="K8" s="41">
        <f>CORREL(DT!H4:H1004,DT!Q4:Q1004)</f>
        <v>0.15720371941120315</v>
      </c>
      <c r="M8" s="40" t="s">
        <v>25</v>
      </c>
      <c r="N8" s="41">
        <f>CORREL(DT!E4:E1004,DT!G4:G1004)</f>
        <v>0.4138371200373685</v>
      </c>
      <c r="P8" s="40" t="s">
        <v>33</v>
      </c>
      <c r="Q8" s="41">
        <f>CORREL(DT!C4:C1004,DT!O4:O1004)</f>
        <v>0.12418108617732046</v>
      </c>
    </row>
    <row r="9" spans="1:18">
      <c r="A9" s="40" t="s">
        <v>38</v>
      </c>
      <c r="B9" s="41">
        <f>CORREL(DT!A4:A1004,DT!P4:P1004)</f>
        <v>0.73728348292336265</v>
      </c>
      <c r="D9" s="40" t="s">
        <v>7</v>
      </c>
      <c r="E9" s="41">
        <f>CORREL(DT!B4:B1004,DT!U4:U1004)</f>
        <v>0.427799905884031</v>
      </c>
      <c r="G9" s="40" t="s">
        <v>13</v>
      </c>
      <c r="H9" s="41">
        <f>CORREL(DT!I4:I1004,DT!W4:W1004)</f>
        <v>-0.33320882108561989</v>
      </c>
      <c r="J9" s="40" t="s">
        <v>19</v>
      </c>
      <c r="K9" s="41">
        <f>CORREL(DT!H4:H1004,DT!S4:S1004)</f>
        <v>0.11868062377751361</v>
      </c>
      <c r="M9" s="40" t="s">
        <v>26</v>
      </c>
      <c r="N9" s="41">
        <f>CORREL(DT!E4:E1004,DT!R4:R1004)</f>
        <v>0.31181653045905811</v>
      </c>
      <c r="P9" s="40" t="s">
        <v>32</v>
      </c>
      <c r="Q9" s="41">
        <f>CORREL(DT!C4:C1004,DT!Z4:Z1004)</f>
        <v>-2.272727272727269E-2</v>
      </c>
    </row>
    <row r="10" spans="1:18">
      <c r="A10" s="40" t="s">
        <v>39</v>
      </c>
      <c r="B10" s="41">
        <f>CORREL(DT!A4:A1004,DT!X4:X1004)</f>
        <v>0.5977511866310814</v>
      </c>
      <c r="D10" s="40" t="s">
        <v>8</v>
      </c>
      <c r="E10" s="41">
        <f>CORREL(DT!D4:D1004,DT!M4:M1004)</f>
        <v>0.35916426326717965</v>
      </c>
      <c r="G10" s="40" t="s">
        <v>14</v>
      </c>
      <c r="H10" s="41">
        <f>CORREL(DT!T4:T1004,DT!V4:V1004)</f>
        <v>0.37730998858224618</v>
      </c>
      <c r="J10" s="40" t="s">
        <v>20</v>
      </c>
      <c r="K10" s="41">
        <f>CORREL(DT!K4:K1004,DT!Q4:Q1004)</f>
        <v>-0.27950728584542178</v>
      </c>
      <c r="M10" s="40" t="s">
        <v>27</v>
      </c>
      <c r="N10" s="41">
        <f>CORREL(DT!F4:F1004,DT!G4:G1004)</f>
        <v>0.55575692892852724</v>
      </c>
      <c r="P10" s="40" t="s">
        <v>31</v>
      </c>
      <c r="Q10" s="41">
        <f>CORREL(DT!J4:J1004,DT!O4:O1004)</f>
        <v>0.23004956096066137</v>
      </c>
    </row>
    <row r="11" spans="1:18">
      <c r="A11" s="40" t="s">
        <v>40</v>
      </c>
      <c r="B11" s="41">
        <f>CORREL(DT!A4:A1004,DT!Y4:Y1004)</f>
        <v>0.33948533257872643</v>
      </c>
      <c r="D11" s="40" t="s">
        <v>9</v>
      </c>
      <c r="E11" s="41">
        <f>CORREL(DT!D4:D1004,DT!U4:U1004)</f>
        <v>0.6901168557973103</v>
      </c>
      <c r="G11" s="40" t="s">
        <v>15</v>
      </c>
      <c r="H11" s="41">
        <f>CORREL(DT!T4:T1004,DT!W4:W1004)</f>
        <v>-0.16517760359388586</v>
      </c>
      <c r="J11" s="40" t="s">
        <v>21</v>
      </c>
      <c r="K11" s="41">
        <f>CORREL(DT!K4:K1004,DT!S4:S1004)</f>
        <v>0.40350496357281979</v>
      </c>
      <c r="M11" s="40" t="s">
        <v>28</v>
      </c>
      <c r="N11" s="41">
        <f>CORREL(DT!F4:F1004,DT!R4:R1004)</f>
        <v>0.48633643890020534</v>
      </c>
      <c r="P11" s="40" t="s">
        <v>30</v>
      </c>
      <c r="Q11" s="41">
        <f>CORREL(DT!J4:J1004,DT!Z4:Z1004)</f>
        <v>0.40012490842355364</v>
      </c>
    </row>
    <row r="12" spans="1:18">
      <c r="A12" s="40" t="s">
        <v>41</v>
      </c>
      <c r="B12" s="41">
        <f>CORREL(DT!L4:L1004,DT!N4:N1004)</f>
        <v>0.73118752815065902</v>
      </c>
      <c r="D12" s="40" t="s">
        <v>10</v>
      </c>
      <c r="E12" s="41">
        <f>CORREL(DT!M4:M1004,DT!U4:U1004)</f>
        <v>0.49221253586090657</v>
      </c>
      <c r="G12" s="40" t="s">
        <v>16</v>
      </c>
      <c r="H12" s="41">
        <f>CORREL(DT!V4:V1004,DT!W4:W1004)</f>
        <v>0.37082280037000859</v>
      </c>
      <c r="J12" s="40" t="s">
        <v>22</v>
      </c>
      <c r="K12" s="41">
        <f>CORREL(DT!Q4:Q1004,DT!S4:S1004)</f>
        <v>0.13984151108675894</v>
      </c>
      <c r="M12" s="40" t="s">
        <v>23</v>
      </c>
      <c r="N12" s="41">
        <f>CORREL(DT!G4:G1004,DT!R4:R1004)</f>
        <v>0.55192926272450349</v>
      </c>
      <c r="P12" s="40" t="s">
        <v>29</v>
      </c>
      <c r="Q12" s="41">
        <f>CORREL(DT!O4:O1004,DT!Z4:Z1004)</f>
        <v>0.49476100737841527</v>
      </c>
    </row>
    <row r="13" spans="1:18">
      <c r="A13" s="40" t="s">
        <v>42</v>
      </c>
      <c r="B13" s="41">
        <f>CORREL(DT!L4:L1004,DT!P4:P1004)</f>
        <v>0.64717727203952968</v>
      </c>
      <c r="D13" s="42" t="s">
        <v>828</v>
      </c>
      <c r="E13" s="41">
        <f>AVERAGE(E7:E12)</f>
        <v>0.43949027099395671</v>
      </c>
      <c r="G13" s="42" t="s">
        <v>828</v>
      </c>
      <c r="H13" s="41">
        <f>AVERAGE(H7:H12)</f>
        <v>0.16223985081349437</v>
      </c>
      <c r="J13" s="42" t="s">
        <v>828</v>
      </c>
      <c r="K13" s="41">
        <f>AVERAGE(K7:K12)</f>
        <v>9.2046615731076017E-2</v>
      </c>
      <c r="M13" s="42" t="s">
        <v>828</v>
      </c>
      <c r="N13" s="41">
        <f>AVERAGE(N7:N12)</f>
        <v>0.40539778181671465</v>
      </c>
      <c r="P13" s="42" t="s">
        <v>828</v>
      </c>
      <c r="Q13" s="41">
        <f>AVERAGE(Q7:Q12)</f>
        <v>0.25217223246276838</v>
      </c>
    </row>
    <row r="14" spans="1:18">
      <c r="A14" s="40" t="s">
        <v>43</v>
      </c>
      <c r="B14" s="41">
        <f>CORREL(DT!L4:L1004,DT!X4:X1004)</f>
        <v>0.54230505385111483</v>
      </c>
      <c r="C14" s="8"/>
      <c r="D14" s="57" t="s">
        <v>4</v>
      </c>
      <c r="E14" s="58">
        <f>(4*E13)/(1+(3*E13))</f>
        <v>0.75824162811644324</v>
      </c>
      <c r="F14" s="60"/>
      <c r="G14" s="57" t="s">
        <v>4</v>
      </c>
      <c r="H14" s="58">
        <f>(4*H13)/(1+(3*H13))</f>
        <v>0.43650425003740367</v>
      </c>
      <c r="I14" s="60"/>
      <c r="J14" s="57" t="s">
        <v>4</v>
      </c>
      <c r="K14" s="58">
        <f>(4*K13)/(1+(3*K13))</f>
        <v>0.28851576395338019</v>
      </c>
      <c r="L14" s="60"/>
      <c r="M14" s="57" t="s">
        <v>4</v>
      </c>
      <c r="N14" s="58">
        <f>(4*N13)/(1+(3*N13))</f>
        <v>0.73170110838749403</v>
      </c>
      <c r="O14" s="59"/>
      <c r="P14" s="57" t="s">
        <v>4</v>
      </c>
      <c r="Q14" s="58">
        <f>(4*Q13)/(1+(3*Q13))</f>
        <v>0.57425524696170149</v>
      </c>
    </row>
    <row r="15" spans="1:18">
      <c r="A15" s="40" t="s">
        <v>44</v>
      </c>
      <c r="B15" s="41">
        <f>CORREL(DT!L4:L1004,DT!Y4:Y1004)</f>
        <v>7.5853410806338339E-2</v>
      </c>
      <c r="D15" s="181" t="s">
        <v>1469</v>
      </c>
      <c r="E15" s="146">
        <f>1-EXP(LN(1-E14)+1.96*SQRT(8/(3*(Results!E3-2))))</f>
        <v>0.48593839322579402</v>
      </c>
      <c r="F15" s="46"/>
      <c r="G15" s="181" t="s">
        <v>1469</v>
      </c>
      <c r="H15" s="146">
        <f>1-EXP(LN(1-H14)+1.96*SQRT(8/(3*(Results!E3-2))))</f>
        <v>-0.19818614089496411</v>
      </c>
      <c r="I15" s="46"/>
      <c r="J15" s="181" t="s">
        <v>1469</v>
      </c>
      <c r="K15" s="146">
        <f>1-EXP(LN(1-K14)+1.96*SQRT(8/(3*(Results!E3-2))))</f>
        <v>-0.5128606580491295</v>
      </c>
      <c r="L15" s="46"/>
      <c r="M15" s="181" t="s">
        <v>1469</v>
      </c>
      <c r="N15" s="146">
        <f>1-EXP(LN(1-N14)+1.96*SQRT(8/(3*(Results!E3-2))))</f>
        <v>0.42950410261492922</v>
      </c>
      <c r="O15" s="46"/>
      <c r="P15" s="181" t="s">
        <v>1469</v>
      </c>
      <c r="Q15" s="146">
        <f>1-EXP(LN(1-Q14)+1.96*SQRT(8/(3*(Results!E3-2))))</f>
        <v>9.4719946542455302E-2</v>
      </c>
    </row>
    <row r="16" spans="1:18">
      <c r="A16" s="40" t="s">
        <v>45</v>
      </c>
      <c r="B16" s="41">
        <f>CORREL(DT!N4:N1004,DT!P4:P1004)</f>
        <v>0.95434117099041393</v>
      </c>
      <c r="D16" s="182"/>
      <c r="E16" s="146">
        <f>1-EXP(LN(1-E14)-1.96*SQRT(8/(3*(Results!E3-2))))</f>
        <v>0.88630329593655077</v>
      </c>
      <c r="G16" s="182"/>
      <c r="H16" s="146">
        <f>1-EXP(LN(1-H14)-1.96*SQRT(8/(3*(Results!E3-2))))</f>
        <v>0.73499321233282067</v>
      </c>
      <c r="J16" s="182"/>
      <c r="K16" s="146">
        <f>1-EXP(LN(1-K14)-1.96*SQRT(8/(3*(Results!E3-2))))</f>
        <v>0.66539560966863132</v>
      </c>
      <c r="M16" s="182"/>
      <c r="N16" s="146">
        <f>1-EXP(LN(1-N14)-1.96*SQRT(8/(3*(Results!E3-2))))</f>
        <v>0.87382153741955548</v>
      </c>
      <c r="P16" s="182"/>
      <c r="Q16" s="146">
        <f>1-EXP(LN(1-Q14)-1.96*SQRT(8/(3*(Results!E3-2))))</f>
        <v>0.79977621947224053</v>
      </c>
    </row>
    <row r="17" spans="1:18">
      <c r="A17" s="40" t="s">
        <v>46</v>
      </c>
      <c r="B17" s="41">
        <f>CORREL(DT!N4:N1004,DT!X4:X1004)</f>
        <v>0.68624614968154374</v>
      </c>
    </row>
    <row r="18" spans="1:18">
      <c r="A18" s="40" t="s">
        <v>47</v>
      </c>
      <c r="B18" s="41">
        <f>CORREL(DT!N4:N1004,DT!Y4:Y1004)</f>
        <v>0.34910168460434887</v>
      </c>
    </row>
    <row r="19" spans="1:18">
      <c r="A19" s="40" t="s">
        <v>48</v>
      </c>
      <c r="B19" s="41">
        <f>CORREL(DT!P4:P1004,DT!X4:X1004)</f>
        <v>0.69232062815802853</v>
      </c>
    </row>
    <row r="20" spans="1:18">
      <c r="A20" s="40" t="s">
        <v>116</v>
      </c>
      <c r="B20" s="41">
        <f>CORREL(DT!P4:P1004,DT!Y4:Y1004)</f>
        <v>0.40505202382943167</v>
      </c>
    </row>
    <row r="21" spans="1:18">
      <c r="A21" s="40" t="s">
        <v>35</v>
      </c>
      <c r="B21" s="41">
        <f>CORREL(DT!X4:X1004,DT!Y4:Y1004)</f>
        <v>0.42147875264912416</v>
      </c>
    </row>
    <row r="22" spans="1:18">
      <c r="A22" s="42" t="s">
        <v>828</v>
      </c>
      <c r="B22" s="41">
        <f>AVERAGE(B7:B21)</f>
        <v>0.56383857156550043</v>
      </c>
    </row>
    <row r="23" spans="1:18">
      <c r="A23" s="57" t="s">
        <v>4</v>
      </c>
      <c r="B23" s="58">
        <f>(6*B22)/(1+(5*B22))</f>
        <v>0.88579748531405555</v>
      </c>
    </row>
    <row r="24" spans="1:18">
      <c r="A24" s="181" t="s">
        <v>1469</v>
      </c>
      <c r="B24" s="146">
        <f>1-EXP(LN(1-B23)+1.96*SQRT(12/(5*(Results!E3-2))))</f>
        <v>0.76638741457408499</v>
      </c>
    </row>
    <row r="25" spans="1:18" s="142" customFormat="1">
      <c r="A25" s="182"/>
      <c r="B25" s="146">
        <f>1-EXP(LN(1-B23)-1.96*SQRT(12/(5*(Results!E3-2))))</f>
        <v>0.94417161071688327</v>
      </c>
    </row>
    <row r="26" spans="1:18">
      <c r="A26" s="46"/>
      <c r="B26" s="46"/>
    </row>
    <row r="27" spans="1:18" ht="66.5" customHeight="1">
      <c r="A27" s="178" t="s">
        <v>1285</v>
      </c>
      <c r="B27" s="179"/>
      <c r="C27" s="179"/>
      <c r="D27" s="179"/>
      <c r="E27" s="179"/>
      <c r="F27" s="179"/>
      <c r="G27" s="179"/>
      <c r="H27" s="179"/>
      <c r="I27" s="179"/>
      <c r="J27" s="179"/>
      <c r="K27" s="179"/>
      <c r="L27" s="179"/>
      <c r="M27" s="179"/>
      <c r="N27" s="179"/>
      <c r="O27" s="179"/>
      <c r="P27" s="179"/>
      <c r="Q27" s="179"/>
      <c r="R27" s="179"/>
    </row>
    <row r="29" spans="1:18">
      <c r="A29" s="180" t="str">
        <f>VLOOKUP(Read_First!B5,Items!A1:BI50,54,FALSE)</f>
        <v>Attractiveness</v>
      </c>
      <c r="B29" s="180"/>
      <c r="C29" s="46"/>
      <c r="D29" s="180" t="str">
        <f>VLOOKUP(Read_First!B5,Items!A1:BI50,55,FALSE)</f>
        <v>Perspicuity</v>
      </c>
      <c r="E29" s="180"/>
      <c r="F29" s="46"/>
      <c r="G29" s="180" t="str">
        <f>VLOOKUP(Read_First!B5,Items!A1:BI50,56,FALSE)</f>
        <v>Efficiency</v>
      </c>
      <c r="H29" s="180"/>
      <c r="I29" s="46"/>
      <c r="J29" s="180" t="str">
        <f>VLOOKUP(Read_First!B5,Items!A1:BI50,57,FALSE)</f>
        <v>Dependability</v>
      </c>
      <c r="K29" s="180"/>
      <c r="L29" s="46"/>
      <c r="M29" s="180" t="str">
        <f>VLOOKUP(Read_First!B5,Items!A1:BI5,58,FALSE)</f>
        <v>Stimulation</v>
      </c>
      <c r="N29" s="180"/>
      <c r="O29" s="46"/>
      <c r="P29" s="180" t="str">
        <f>VLOOKUP(Read_First!B5,Items!A1:BI55,59,FALSE)</f>
        <v>Novelty</v>
      </c>
      <c r="Q29" s="180"/>
    </row>
    <row r="30" spans="1:18">
      <c r="A30" s="53" t="s">
        <v>1283</v>
      </c>
      <c r="B30" s="53">
        <f>1-((Results!C3+Results!C14+Results!C16+Results!C18+Results!C26+Results!C27)/(36*(Results!M3)))</f>
        <v>0.74175473437832484</v>
      </c>
      <c r="C30" s="46"/>
      <c r="D30" s="53" t="s">
        <v>1283</v>
      </c>
      <c r="E30" s="53">
        <f>1-((Results!C4+Results!C6+Results!C15+Results!C23)/(16*(Results!M4)))</f>
        <v>0.5687481676927586</v>
      </c>
      <c r="F30" s="46"/>
      <c r="G30" s="53" t="s">
        <v>1283</v>
      </c>
      <c r="H30" s="53">
        <f>1-((Results!C11+Results!C22+Results!C24+Results!C25)/(16*(Results!M5)))</f>
        <v>0.33168316831683176</v>
      </c>
      <c r="I30" s="46"/>
      <c r="J30" s="53" t="s">
        <v>1283</v>
      </c>
      <c r="K30" s="53">
        <f>1-((Results!C10+Results!C13+Results!C19+Results!C21)/(16*(Results!M6)))</f>
        <v>0.23150974407137825</v>
      </c>
      <c r="L30" s="46"/>
      <c r="M30" s="53" t="s">
        <v>1283</v>
      </c>
      <c r="N30" s="53">
        <f>1-((Results!C7+Results!C8+Results!C9+Results!C20)/(16*(Results!M7)))</f>
        <v>0.53448275862068961</v>
      </c>
      <c r="O30" s="46"/>
      <c r="P30" s="53" t="s">
        <v>1283</v>
      </c>
      <c r="Q30" s="53">
        <f>1-((Results!C5+Results!C12+Results!C17+Results!C28)/(16*(Results!M8)))</f>
        <v>0.4084416968663398</v>
      </c>
    </row>
    <row r="32" spans="1:18">
      <c r="A32" s="97" t="s">
        <v>0</v>
      </c>
      <c r="B32" s="70" t="s">
        <v>1280</v>
      </c>
      <c r="D32" s="97" t="s">
        <v>0</v>
      </c>
      <c r="E32" s="70" t="s">
        <v>1280</v>
      </c>
      <c r="G32" s="97" t="s">
        <v>0</v>
      </c>
      <c r="H32" s="70" t="s">
        <v>1280</v>
      </c>
      <c r="J32" s="97" t="s">
        <v>0</v>
      </c>
      <c r="K32" s="70" t="s">
        <v>1280</v>
      </c>
      <c r="M32" s="97" t="s">
        <v>0</v>
      </c>
      <c r="N32" s="70" t="s">
        <v>1280</v>
      </c>
      <c r="P32" s="93" t="s">
        <v>0</v>
      </c>
      <c r="Q32" s="96" t="s">
        <v>1280</v>
      </c>
    </row>
    <row r="33" spans="1:17">
      <c r="A33" s="40" t="s">
        <v>36</v>
      </c>
      <c r="B33" s="41">
        <f>COVAR(DT!A4:A1004,DT!L4:L1004)^2</f>
        <v>0.54390625000000004</v>
      </c>
      <c r="D33" s="40" t="s">
        <v>5</v>
      </c>
      <c r="E33" s="41">
        <f>_xlfn.COVARIANCE.S(DT!B4:B1004,DT!D4:D1004)^2</f>
        <v>9.9722991689750642E-2</v>
      </c>
      <c r="G33" s="40" t="s">
        <v>11</v>
      </c>
      <c r="H33" s="41">
        <f>COVAR(DT!I4:I1004,DT!T4:T1004)^2</f>
        <v>0.70140624999999968</v>
      </c>
      <c r="J33" s="40" t="s">
        <v>17</v>
      </c>
      <c r="K33" s="41">
        <f>COVAR(DT!H4:H1004,DT!K4:K1004)^2</f>
        <v>4.0000000000000305E-4</v>
      </c>
      <c r="M33" s="40" t="s">
        <v>24</v>
      </c>
      <c r="N33" s="41">
        <f>COVAR(DT!E4:E1004,DT!F4:F1004)^2</f>
        <v>1.5006249999999995E-2</v>
      </c>
      <c r="P33" s="40" t="s">
        <v>34</v>
      </c>
      <c r="Q33" s="41">
        <f>COVAR(DT!C4:C1004,DT!J4:J1004)^2</f>
        <v>0.38440000000000013</v>
      </c>
    </row>
    <row r="34" spans="1:17">
      <c r="A34" s="40" t="s">
        <v>37</v>
      </c>
      <c r="B34" s="41">
        <f>COVAR(DT!A4:A1004,DT!N4:N1004)^2</f>
        <v>2.5440250000000013</v>
      </c>
      <c r="D34" s="40" t="s">
        <v>6</v>
      </c>
      <c r="E34" s="41">
        <f>_xlfn.COVARIANCE.S(DT!B4:B1004,DT!M4:M1004)^2</f>
        <v>5.8614958448753453E-2</v>
      </c>
      <c r="G34" s="40" t="s">
        <v>12</v>
      </c>
      <c r="H34" s="41">
        <f>COVAR(DT!I4:I1004,DT!V4:V1004)^2</f>
        <v>4.0000000000000036E-2</v>
      </c>
      <c r="J34" s="40" t="s">
        <v>18</v>
      </c>
      <c r="K34" s="41">
        <f>COVAR(DT!H4:H1004,DT!Q4:Q1004)^2</f>
        <v>9.1506249999999997E-2</v>
      </c>
      <c r="M34" s="40" t="s">
        <v>25</v>
      </c>
      <c r="N34" s="41">
        <f>COVAR(DT!E4:E1004,DT!G4:G1004)^2</f>
        <v>0.19802500000000001</v>
      </c>
      <c r="P34" s="40" t="s">
        <v>33</v>
      </c>
      <c r="Q34" s="41">
        <f>COVAR(DT!C4:C1004,DT!O4:O1004)^2</f>
        <v>5.2899999999999968E-2</v>
      </c>
    </row>
    <row r="35" spans="1:17">
      <c r="A35" s="40" t="s">
        <v>38</v>
      </c>
      <c r="B35" s="41">
        <f>COVAR(DT!A4:A1004,DT!P4:P1004)^2</f>
        <v>1.5876000000000006</v>
      </c>
      <c r="D35" s="40" t="s">
        <v>7</v>
      </c>
      <c r="E35" s="41">
        <f>_xlfn.COVARIANCE.S(DT!B4:B1004,DT!U4:U1004)^2</f>
        <v>0.23958448753462605</v>
      </c>
      <c r="G35" s="40" t="s">
        <v>13</v>
      </c>
      <c r="H35" s="41">
        <f>COVAR(DT!I4:I1004,DT!W4:W1004)^2</f>
        <v>0.23039999999999988</v>
      </c>
      <c r="J35" s="40" t="s">
        <v>19</v>
      </c>
      <c r="K35" s="41">
        <f>COVAR(DT!H4:H1004,DT!S4:S1004)^2</f>
        <v>6.375625E-2</v>
      </c>
      <c r="M35" s="40" t="s">
        <v>26</v>
      </c>
      <c r="N35" s="41">
        <f>COVAR(DT!E4:E1004,DT!R4:R1004)^2</f>
        <v>0.23039999999999999</v>
      </c>
      <c r="P35" s="40" t="s">
        <v>32</v>
      </c>
      <c r="Q35" s="41">
        <f>COVAR(DT!C4:C1004,DT!Z4:Z1004)^2</f>
        <v>1.5999999999999951E-3</v>
      </c>
    </row>
    <row r="36" spans="1:17">
      <c r="A36" s="40" t="s">
        <v>39</v>
      </c>
      <c r="B36" s="41">
        <f>COVAR(DT!A4:A1004,DT!X4:X1004)^2</f>
        <v>1.2488062499999999</v>
      </c>
      <c r="D36" s="40" t="s">
        <v>8</v>
      </c>
      <c r="E36" s="41">
        <f>_xlfn.COVARIANCE.S(DT!D4:D1004,DT!M4:M1004)^2</f>
        <v>6.9252077562326861E-2</v>
      </c>
      <c r="G36" s="40" t="s">
        <v>14</v>
      </c>
      <c r="H36" s="41">
        <f>COVAR(DT!T4:T1004,DT!V4:V1004)^2</f>
        <v>0.36</v>
      </c>
      <c r="J36" s="40" t="s">
        <v>20</v>
      </c>
      <c r="K36" s="41">
        <f>COVAR(DT!K4:K1004,DT!Q4:Q1004)^2</f>
        <v>0.27039999999999992</v>
      </c>
      <c r="M36" s="40" t="s">
        <v>27</v>
      </c>
      <c r="N36" s="41">
        <f>COVAR(DT!F4:F1004,DT!G4:G1004)^2</f>
        <v>0.20702499999999982</v>
      </c>
      <c r="P36" s="40" t="s">
        <v>31</v>
      </c>
      <c r="Q36" s="41">
        <f>COVAR(DT!J4:J1004,DT!O4:O1004)^2</f>
        <v>0.12960000000000002</v>
      </c>
    </row>
    <row r="37" spans="1:17">
      <c r="A37" s="40" t="s">
        <v>40</v>
      </c>
      <c r="B37" s="41">
        <f>COVAR(DT!A4:A1004,DT!Y4:Y1004)^2</f>
        <v>0.24502500000000021</v>
      </c>
      <c r="D37" s="40" t="s">
        <v>9</v>
      </c>
      <c r="E37" s="41">
        <f>_xlfn.COVARIANCE.S(DT!D4:D1004,DT!U4:U1004)^2</f>
        <v>0.66551246537396114</v>
      </c>
      <c r="G37" s="40" t="s">
        <v>15</v>
      </c>
      <c r="H37" s="41">
        <f>COVAR(DT!T4:T1004,DT!W4:W1004)^2</f>
        <v>6.2500000000000056E-2</v>
      </c>
      <c r="J37" s="40" t="s">
        <v>21</v>
      </c>
      <c r="K37" s="41">
        <f>COVAR(DT!K4:K1004,DT!S4:S1004)^2</f>
        <v>0.68890000000000007</v>
      </c>
      <c r="M37" s="40" t="s">
        <v>28</v>
      </c>
      <c r="N37" s="41">
        <f>COVAR(DT!F4:F1004,DT!R4:R1004)^2</f>
        <v>0.32490000000000008</v>
      </c>
      <c r="P37" s="40" t="s">
        <v>30</v>
      </c>
      <c r="Q37" s="41">
        <f>COVAR(DT!J4:J1004,DT!Z4:Z1004)^2</f>
        <v>0.35402500000000009</v>
      </c>
    </row>
    <row r="38" spans="1:17">
      <c r="A38" s="40" t="s">
        <v>41</v>
      </c>
      <c r="B38" s="41">
        <f>COVAR(DT!L4:L1004,DT!N4:N1004)^2</f>
        <v>1.0506249999999999</v>
      </c>
      <c r="D38" s="40" t="s">
        <v>10</v>
      </c>
      <c r="E38" s="41">
        <f>_xlfn.COVARIANCE.S(DT!M4:M1004,DT!U4:U1004)^2</f>
        <v>0.18174515235457067</v>
      </c>
      <c r="G38" s="40" t="s">
        <v>16</v>
      </c>
      <c r="H38" s="41">
        <f>COVAR(DT!V4:V1004,DT!W4:W1004)^2</f>
        <v>0.36000000000000026</v>
      </c>
      <c r="J38" s="40" t="s">
        <v>22</v>
      </c>
      <c r="K38" s="41">
        <f>COVAR(DT!Q4:Q1004,DT!S4:S1004)^2</f>
        <v>0.12075625000000009</v>
      </c>
      <c r="M38" s="40" t="s">
        <v>23</v>
      </c>
      <c r="N38" s="41">
        <f>COVAR(DT!G4:G1004,DT!R4:R1004)^2</f>
        <v>0.40960000000000019</v>
      </c>
      <c r="P38" s="40" t="s">
        <v>29</v>
      </c>
      <c r="Q38" s="41">
        <f>COVAR(DT!O4:O1004,DT!Z4:Z1004)^2</f>
        <v>0.39690000000000003</v>
      </c>
    </row>
    <row r="39" spans="1:17">
      <c r="A39" s="40" t="s">
        <v>42</v>
      </c>
      <c r="B39" s="41">
        <f>COVAR(DT!L4:L1004,DT!P4:P1004)^2</f>
        <v>0.56250000000000022</v>
      </c>
      <c r="D39" s="40" t="s">
        <v>1281</v>
      </c>
      <c r="E39" s="54">
        <f>SUM(E33:E38)</f>
        <v>1.3144321329639888</v>
      </c>
      <c r="G39" s="40" t="s">
        <v>1281</v>
      </c>
      <c r="H39" s="54">
        <f>SUM(H33:H38)</f>
        <v>1.75430625</v>
      </c>
      <c r="J39" s="40" t="s">
        <v>1281</v>
      </c>
      <c r="K39" s="54">
        <f>SUM(K33:K38)</f>
        <v>1.23571875</v>
      </c>
      <c r="M39" s="40" t="s">
        <v>1281</v>
      </c>
      <c r="N39" s="54">
        <f>SUM(N33:N38)</f>
        <v>1.3849562500000001</v>
      </c>
      <c r="P39" s="40" t="s">
        <v>1281</v>
      </c>
      <c r="Q39" s="54">
        <f>SUM(Q33:Q38)</f>
        <v>1.3194250000000003</v>
      </c>
    </row>
    <row r="40" spans="1:17">
      <c r="A40" s="40" t="s">
        <v>43</v>
      </c>
      <c r="B40" s="41">
        <f>COVAR(DT!L4:L1004,DT!X4:X1004)^2</f>
        <v>0.47265625000000033</v>
      </c>
      <c r="D40" s="42" t="s">
        <v>1282</v>
      </c>
      <c r="E40" s="52">
        <f>E30+SQRT((4/3)*2*E39)/(16*(Results!M4))</f>
        <v>0.77731984181506375</v>
      </c>
      <c r="G40" s="42" t="s">
        <v>1282</v>
      </c>
      <c r="H40" s="52">
        <f>H30+SQRT((4/3)*2*H39)/(16*(Results!M5))</f>
        <v>0.55772915121369482</v>
      </c>
      <c r="J40" s="42" t="s">
        <v>1282</v>
      </c>
      <c r="K40" s="52">
        <f>K30+SQRT((4/3)*2*K39)/(16*(Results!M6))</f>
        <v>0.39347435828366861</v>
      </c>
      <c r="M40" s="42" t="s">
        <v>1282</v>
      </c>
      <c r="N40" s="52">
        <f>N30+SQRT((4/3)*2*N39)/(16*(Results!M7))</f>
        <v>0.71435326463512727</v>
      </c>
      <c r="P40" s="42" t="s">
        <v>1282</v>
      </c>
      <c r="Q40" s="52">
        <f>Q30+SQRT((4/3)*2*Q39)/(16*(Results!M8))</f>
        <v>0.5603896604968468</v>
      </c>
    </row>
    <row r="41" spans="1:17">
      <c r="A41" s="40" t="s">
        <v>44</v>
      </c>
      <c r="B41" s="41">
        <f>COVAR(DT!L4:L1004,DT!Y4:Y1004)^2</f>
        <v>5.6250000000000059E-3</v>
      </c>
    </row>
    <row r="42" spans="1:17">
      <c r="A42" s="40" t="s">
        <v>45</v>
      </c>
      <c r="B42" s="41">
        <f>COVAR(DT!N4:N1004,DT!P4:P1004)^2</f>
        <v>2.4648999999999996</v>
      </c>
    </row>
    <row r="43" spans="1:17">
      <c r="A43" s="40" t="s">
        <v>46</v>
      </c>
      <c r="B43" s="41">
        <f>COVAR(DT!N4:N1004,DT!X4:X1004)^2</f>
        <v>1.5252249999999996</v>
      </c>
    </row>
    <row r="44" spans="1:17">
      <c r="A44" s="40" t="s">
        <v>47</v>
      </c>
      <c r="B44" s="41">
        <f>COVAR(DT!N4:N1004,DT!Y4:Y1004)^2</f>
        <v>0.24010000000000009</v>
      </c>
    </row>
    <row r="45" spans="1:17">
      <c r="A45" s="40" t="s">
        <v>48</v>
      </c>
      <c r="B45" s="41">
        <f>COVAR(DT!P4:P1004,DT!X4:X1004)^2</f>
        <v>1.0608999999999995</v>
      </c>
    </row>
    <row r="46" spans="1:17">
      <c r="A46" s="40" t="s">
        <v>116</v>
      </c>
      <c r="B46" s="41">
        <f>COVAR(DT!P4:P1004,DT!Y4:Y1004)^2</f>
        <v>0.22089999999999993</v>
      </c>
    </row>
    <row r="47" spans="1:17">
      <c r="A47" s="40" t="s">
        <v>35</v>
      </c>
      <c r="B47" s="41">
        <f>COVAR(DT!X4:X1004,DT!Y4:Y1004)^2</f>
        <v>0.28622500000000001</v>
      </c>
    </row>
    <row r="48" spans="1:17">
      <c r="A48" s="40" t="s">
        <v>1281</v>
      </c>
      <c r="B48" s="54">
        <f>SUM(B33:B47)</f>
        <v>14.059018750000002</v>
      </c>
    </row>
    <row r="49" spans="1:2">
      <c r="A49" s="42" t="s">
        <v>1282</v>
      </c>
      <c r="B49" s="52">
        <f>B30+SQRT((6/5)*2*B48)/(36*(Results!M3))</f>
        <v>0.89831386896516496</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zoomScale="125" workbookViewId="0">
      <selection sqref="A1:H1"/>
    </sheetView>
  </sheetViews>
  <sheetFormatPr baseColWidth="10" defaultColWidth="9.1640625" defaultRowHeight="15"/>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8.5" customHeight="1">
      <c r="A1" s="177" t="s">
        <v>1536</v>
      </c>
      <c r="B1" s="183"/>
      <c r="C1" s="183"/>
      <c r="D1" s="183"/>
      <c r="E1" s="183"/>
      <c r="F1" s="183"/>
      <c r="G1" s="183"/>
      <c r="H1" s="183"/>
    </row>
    <row r="2" spans="1:8">
      <c r="A2" s="124" t="s">
        <v>110</v>
      </c>
      <c r="B2" s="125" t="s">
        <v>106</v>
      </c>
      <c r="C2" s="125" t="s">
        <v>120</v>
      </c>
      <c r="D2" s="125" t="s">
        <v>121</v>
      </c>
    </row>
    <row r="3" spans="1:8">
      <c r="A3" s="17" t="str">
        <f>VLOOKUP(Read_First!B5,Items!A1:BI50,54,FALSE)</f>
        <v>Attractiveness</v>
      </c>
      <c r="B3" s="63">
        <f>Results!L3</f>
        <v>1.0916666666666663</v>
      </c>
      <c r="C3" s="16" t="str">
        <f>IF(B3&gt;1.86,"Excellent",IF(B3&gt;1.6,"Good",IF(B3&gt;1.19,"Above average",IF(B3&gt;0.7,"Below average","Bad"))))</f>
        <v>Below average</v>
      </c>
      <c r="D3" s="15" t="str">
        <f>IF(B3&gt;1.83,"In the range of the 10% best results",IF(B3&gt;1.56,"10% of results better, 75% of results worse",IF(B3&gt;1.17,"25% of results better, 50% of results worse",IF(B3&gt;0.7,"50% of results better, 25% of results worse","In the range of the 25% worst results"))))</f>
        <v>50% of results better, 25% of results worse</v>
      </c>
    </row>
    <row r="4" spans="1:8">
      <c r="A4" s="17" t="str">
        <f>VLOOKUP(Read_First!B5,Items!A1:BI50,55,FALSE)</f>
        <v>Perspicuity</v>
      </c>
      <c r="B4" s="63">
        <f>Results!L4</f>
        <v>2.0874999999999999</v>
      </c>
      <c r="C4" s="16" t="str">
        <f>IF(B4&gt;2.03,"Excellent",IF(B4&gt;1.77,"Good",IF(B4&gt;1.25,"Above Average",IF(B4&gt;0.75,"Below Average","Bad"))))</f>
        <v>Excellent</v>
      </c>
      <c r="D4" s="15" t="str">
        <f>IF(B4&gt;2,"In the range of the 10% best results",IF(B4&gt;1.73,"10% of results better, 75% of results worse",IF(B4&gt;1.25,"25% of results better, 50% of results worse",IF(B4&gt;0.71,"50% of results better, 25% of results worse","In the range of the 25% worst results"))))</f>
        <v>In the range of the 10% best results</v>
      </c>
    </row>
    <row r="5" spans="1:8">
      <c r="A5" s="17" t="str">
        <f>VLOOKUP(Read_First!B5,Items!A1:BI50,56,FALSE)</f>
        <v>Efficiency</v>
      </c>
      <c r="B5" s="63">
        <f>Results!L5</f>
        <v>0.97499999999999998</v>
      </c>
      <c r="C5" s="16" t="str">
        <f>IF(B5&gt;1.9,"Excellent",IF(B5&gt;1.5,"Good",IF(B5&gt;1.06,"Above Average",IF(B5&gt;0.6,"Below Average","Bad"))))</f>
        <v>Below Average</v>
      </c>
      <c r="D5" s="15" t="str">
        <f>IF(B5&gt;1.8,"In the range of the 10% best results",IF(B5&gt;1.48,"10% of results better, 75% of results worse",IF(B5&gt;1.05,"25% of results better, 50% of results worse",IF(B5&gt;0.57,"50% of results better, 25% of results worse","In the range of the 25% worst results"))))</f>
        <v>50% of results better, 25% of results worse</v>
      </c>
    </row>
    <row r="6" spans="1:8">
      <c r="A6" s="18" t="str">
        <f>VLOOKUP(Read_First!B5,Items!A1:BI50,57,FALSE)</f>
        <v>Dependability</v>
      </c>
      <c r="B6" s="63">
        <f>Results!L6</f>
        <v>0.73750000000000004</v>
      </c>
      <c r="C6" s="16" t="str">
        <f>IF(B6&gt;1.7,"Excellent",IF(B6&gt;1.47,"Good",IF(B6&gt;1.15,"Above Average",IF(B6&gt;0.78,"Below Average","Bad"))))</f>
        <v>Bad</v>
      </c>
      <c r="D6" s="15" t="str">
        <f>IF(B6&gt;1.69,"In the range of the 10% best results",IF(B6&gt;1.46,"10% of results better, 75% of results worse",IF(B6&gt;1.13,"25% of results better, 50% of results worse",IF(B6&gt;0.77,"50% of results better, 25% of results worse","In the range of the 25% worst results"))))</f>
        <v>In the range of the 25% worst results</v>
      </c>
    </row>
    <row r="7" spans="1:8">
      <c r="A7" s="18" t="str">
        <f>VLOOKUP(Read_First!B5,Items!A1:BI50,58,FALSE)</f>
        <v>Stimulation</v>
      </c>
      <c r="B7" s="63">
        <f>Results!L7</f>
        <v>0.375</v>
      </c>
      <c r="C7" s="16" t="str">
        <f>IF(B7&gt;1.7,"Excellent",IF(B7&gt;1.35,"Good",IF(B7&gt;1,"Above Average",IF(B7&gt;0.5,"Below Average","Bad"))))</f>
        <v>Bad</v>
      </c>
      <c r="D7" s="15" t="str">
        <f>IF(B7&gt;1.7,"In the range of the 10% best results",IF(B7&gt;1.34,"10% of results better, 75% of results worse",IF(B7&gt;1,"25% of results better, 50% of results worse",IF(B7&gt;0.5,"50% of results better, 25% of results worse","In the range of the 25% worst results"))))</f>
        <v>In the range of the 25% worst results</v>
      </c>
    </row>
    <row r="8" spans="1:8">
      <c r="A8" s="17" t="str">
        <f>VLOOKUP(Read_First!B5,Items!A1:BI50,59,FALSE)</f>
        <v>Novelty</v>
      </c>
      <c r="B8" s="63">
        <f>Results!L8</f>
        <v>0.71250000000000002</v>
      </c>
      <c r="C8" s="16" t="str">
        <f>IF(B8&gt;1.61,"Excellent",IF(B8&gt;1.14,"Good",IF(B8&gt;0.75,"Above Average",IF(B8&gt;0.25,"Below Average","Bad"))))</f>
        <v>Below Average</v>
      </c>
      <c r="D8" s="15" t="str">
        <f>IF(B8&gt;1.61,"In the range of the 10% best results",IF(B8&gt;1.12,"10% of results better, 75% of results worse",IF(B8&gt;0.77,"25% of results better, 50% of results worse",IF(B8&gt;0.25,"50% of results better, 25% of results worse","In the range of the 25% worst results"))))</f>
        <v>50% of results better, 25% of results worse</v>
      </c>
    </row>
    <row r="26" spans="1:8">
      <c r="A26" s="184" t="s">
        <v>824</v>
      </c>
      <c r="B26" s="184"/>
      <c r="C26" s="184"/>
      <c r="D26" s="184"/>
      <c r="E26" s="184"/>
      <c r="F26" s="184"/>
      <c r="G26" s="184"/>
      <c r="H26" s="184"/>
    </row>
    <row r="27" spans="1:8" s="21" customFormat="1" ht="16">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v>0.7</v>
      </c>
      <c r="D28" s="36">
        <v>0.49</v>
      </c>
      <c r="E28" s="36">
        <v>0.41</v>
      </c>
      <c r="F28" s="36">
        <v>0.26</v>
      </c>
      <c r="G28" s="36">
        <v>0.64</v>
      </c>
      <c r="H28" s="64">
        <f>Results!L3</f>
        <v>1.0916666666666663</v>
      </c>
    </row>
    <row r="29" spans="1:8">
      <c r="A29" s="17" t="str">
        <f>VLOOKUP(Read_First!B5,Items!A1:BI50,55,FALSE)</f>
        <v>Perspicuity</v>
      </c>
      <c r="B29" s="35">
        <v>-1</v>
      </c>
      <c r="C29" s="36">
        <v>0.75</v>
      </c>
      <c r="D29" s="36">
        <v>0.5</v>
      </c>
      <c r="E29" s="36">
        <v>0.52</v>
      </c>
      <c r="F29" s="36">
        <v>0.26</v>
      </c>
      <c r="G29" s="36">
        <v>0.47</v>
      </c>
      <c r="H29" s="64">
        <f>Results!L4</f>
        <v>2.0874999999999999</v>
      </c>
    </row>
    <row r="30" spans="1:8">
      <c r="A30" s="17" t="str">
        <f>VLOOKUP(Read_First!B5,Items!A1:BI50,56,FALSE)</f>
        <v>Efficiency</v>
      </c>
      <c r="B30" s="35">
        <v>-1</v>
      </c>
      <c r="C30" s="36">
        <v>0.6</v>
      </c>
      <c r="D30" s="36">
        <v>0.44</v>
      </c>
      <c r="E30" s="36">
        <v>0.44</v>
      </c>
      <c r="F30" s="36">
        <v>0.4</v>
      </c>
      <c r="G30" s="36">
        <v>0.6</v>
      </c>
      <c r="H30" s="64">
        <f>Results!L5</f>
        <v>0.97499999999999998</v>
      </c>
    </row>
    <row r="31" spans="1:8">
      <c r="A31" s="18" t="str">
        <f>VLOOKUP(Read_First!B5,Items!A1:BI50,57,FALSE)</f>
        <v>Dependability</v>
      </c>
      <c r="B31" s="35">
        <v>-1</v>
      </c>
      <c r="C31" s="36">
        <v>0.78</v>
      </c>
      <c r="D31" s="36">
        <v>0.37</v>
      </c>
      <c r="E31" s="36">
        <v>0.33</v>
      </c>
      <c r="F31" s="36">
        <v>0.23</v>
      </c>
      <c r="G31" s="36">
        <v>0.8</v>
      </c>
      <c r="H31" s="64">
        <f>Results!L6</f>
        <v>0.73750000000000004</v>
      </c>
    </row>
    <row r="32" spans="1:8">
      <c r="A32" s="18" t="str">
        <f>VLOOKUP(Read_First!B5,Items!A1:BI50,58,FALSE)</f>
        <v>Stimulation</v>
      </c>
      <c r="B32" s="35">
        <v>-1</v>
      </c>
      <c r="C32" s="36">
        <v>0.5</v>
      </c>
      <c r="D32" s="36">
        <v>0.5</v>
      </c>
      <c r="E32" s="36">
        <v>0.35</v>
      </c>
      <c r="F32" s="36">
        <v>0.35</v>
      </c>
      <c r="G32" s="36">
        <v>0.8</v>
      </c>
      <c r="H32" s="64">
        <f>Results!L7</f>
        <v>0.375</v>
      </c>
    </row>
    <row r="33" spans="1:8">
      <c r="A33" s="17" t="str">
        <f>VLOOKUP(Read_First!B5,Items!A1:BI50,59,FALSE)</f>
        <v>Novelty</v>
      </c>
      <c r="B33" s="35">
        <v>-1</v>
      </c>
      <c r="C33" s="36">
        <v>0.25</v>
      </c>
      <c r="D33" s="36">
        <v>0.5</v>
      </c>
      <c r="E33" s="36">
        <v>0.39</v>
      </c>
      <c r="F33" s="36">
        <v>0.47</v>
      </c>
      <c r="G33" s="36">
        <v>0.89</v>
      </c>
      <c r="H33" s="64">
        <f>Results!L8</f>
        <v>0.71250000000000002</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zoomScale="150" workbookViewId="0">
      <selection activeCell="AB4" sqref="AB4"/>
    </sheetView>
  </sheetViews>
  <sheetFormatPr baseColWidth="10" defaultColWidth="9.1640625" defaultRowHeight="15"/>
  <cols>
    <col min="1" max="26" width="3.6640625" style="1" customWidth="1"/>
    <col min="29" max="35" width="13.83203125" style="1" customWidth="1"/>
  </cols>
  <sheetData>
    <row r="1" spans="1:35" ht="192.75" customHeight="1">
      <c r="A1" s="161" t="s">
        <v>1290</v>
      </c>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C1" s="37"/>
      <c r="AD1" s="38"/>
      <c r="AE1" s="38"/>
      <c r="AF1" s="38"/>
      <c r="AG1" s="38"/>
      <c r="AH1" s="39"/>
      <c r="AI1" s="1" t="s">
        <v>827</v>
      </c>
    </row>
    <row r="2" spans="1:35">
      <c r="A2" s="164" t="s">
        <v>0</v>
      </c>
      <c r="B2" s="164"/>
      <c r="C2" s="164"/>
      <c r="D2" s="164"/>
      <c r="E2" s="164"/>
      <c r="F2" s="164"/>
      <c r="G2" s="164"/>
      <c r="H2" s="164"/>
      <c r="I2" s="164"/>
      <c r="J2" s="164"/>
      <c r="K2" s="164"/>
      <c r="L2" s="164"/>
      <c r="M2" s="164"/>
      <c r="N2" s="164"/>
      <c r="O2" s="164"/>
      <c r="P2" s="164"/>
      <c r="Q2" s="164"/>
      <c r="R2" s="164"/>
      <c r="S2" s="164"/>
      <c r="T2" s="164"/>
      <c r="U2" s="164"/>
      <c r="V2" s="164"/>
      <c r="W2" s="164"/>
      <c r="X2" s="164"/>
      <c r="Y2" s="164"/>
      <c r="Z2" s="164"/>
      <c r="AC2" s="160" t="s">
        <v>825</v>
      </c>
      <c r="AD2" s="160"/>
      <c r="AE2" s="160"/>
      <c r="AF2" s="160"/>
      <c r="AG2" s="160"/>
      <c r="AH2" s="160"/>
      <c r="AI2" s="160"/>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826</v>
      </c>
    </row>
    <row r="4" spans="1:35">
      <c r="A4" s="68">
        <f>IF(Data!A4&gt;0,Data!A4-4,"")</f>
        <v>1</v>
      </c>
      <c r="B4" s="68">
        <f>IF(Data!B4&gt;0,Data!B4-4,"")</f>
        <v>1</v>
      </c>
      <c r="C4" s="68">
        <f>IF(Data!C4&gt;0,4-Data!C4,"")</f>
        <v>-2</v>
      </c>
      <c r="D4" s="68">
        <f>IF(Data!D4&gt;0,4-Data!D4,"")</f>
        <v>3</v>
      </c>
      <c r="E4" s="68">
        <f>IF(Data!E4&gt;0,4-Data!E4,"")</f>
        <v>-1</v>
      </c>
      <c r="F4" s="68">
        <f>IF(Data!F4&gt;0,Data!F4-4,"")</f>
        <v>-1</v>
      </c>
      <c r="G4" s="68">
        <f>IF(Data!G4&gt;0,Data!G4-4,"")</f>
        <v>-1</v>
      </c>
      <c r="H4" s="68">
        <f>IF(Data!H4&gt;0,Data!H4-4,"")</f>
        <v>0</v>
      </c>
      <c r="I4" s="68">
        <f>IF(Data!I4&gt;0,4-Data!I4,"")</f>
        <v>2</v>
      </c>
      <c r="J4" s="68">
        <f>IF(Data!J4&gt;0,4-Data!J4,"")</f>
        <v>-2</v>
      </c>
      <c r="K4" s="68">
        <f>IF(Data!K4&gt;0,Data!K4-4,"")</f>
        <v>0</v>
      </c>
      <c r="L4" s="68">
        <f>IF(Data!L4&gt;0,4-Data!L4,"")</f>
        <v>0</v>
      </c>
      <c r="M4" s="68">
        <f>IF(Data!M4&gt;0,Data!M4-4,"")</f>
        <v>3</v>
      </c>
      <c r="N4" s="68">
        <f>IF(Data!N4&gt;0,Data!N4-4,"")</f>
        <v>1</v>
      </c>
      <c r="O4" s="68">
        <f>IF(Data!O4&gt;0,Data!O4-4,"")</f>
        <v>0</v>
      </c>
      <c r="P4" s="68">
        <f>IF(Data!P4&gt;0,Data!P4-4,"")</f>
        <v>2</v>
      </c>
      <c r="Q4" s="68">
        <f>IF(Data!Q4&gt;0,4-Data!Q4,"")</f>
        <v>2</v>
      </c>
      <c r="R4" s="1">
        <f>IF(Data!R4&gt;0,4-Data!R4,"")</f>
        <v>1</v>
      </c>
      <c r="S4" s="68">
        <f>IF(Data!S4&gt;0,4-Data!S4,"")</f>
        <v>-2</v>
      </c>
      <c r="T4" s="68">
        <f>IF(Data!T4&gt;0,Data!T4-4,"")</f>
        <v>1</v>
      </c>
      <c r="U4" s="68">
        <f>IF(Data!U4&gt;0,4-Data!U4,"")</f>
        <v>2</v>
      </c>
      <c r="V4" s="68">
        <f>IF(Data!V4&gt;0,Data!V4-4,"")</f>
        <v>-1</v>
      </c>
      <c r="W4" s="68">
        <f>IF(Data!W4&gt;0,4-Data!W4,"")</f>
        <v>0</v>
      </c>
      <c r="X4" s="68">
        <f>IF(Data!X4&gt;0,4-Data!X4,"")</f>
        <v>1</v>
      </c>
      <c r="Y4" s="68">
        <f>IF(Data!Y4&gt;0,4-Data!Y4,"")</f>
        <v>2</v>
      </c>
      <c r="Z4" s="68">
        <f>IF(Data!Z4&gt;0,Data!Z4-4,"")</f>
        <v>1</v>
      </c>
      <c r="AC4" s="73" t="str">
        <f>IF((MAX(A4,L4,N4,P4,X4,Y4)-MIN(A4,L4,N4,P4,X4,Y4))&gt;3,1,"")</f>
        <v/>
      </c>
      <c r="AD4" s="73" t="str">
        <f t="shared" ref="AD4" si="0">IF((MAX(B4,D4,M4,U4)-MIN(B4,D4,M4,U4))&gt;3,1,"")</f>
        <v/>
      </c>
      <c r="AE4" s="73" t="str">
        <f t="shared" ref="AE4" si="1">IF((MAX(I4,T4,V4,W4)-MIN(I4,T4,V4,W4))&gt;3,1,"")</f>
        <v/>
      </c>
      <c r="AF4" s="73">
        <f t="shared" ref="AF4" si="2">IF((MAX(H4,K4,Q4,S4)-MIN(H4,K4,Q4,S4))&gt;3,1,"")</f>
        <v>1</v>
      </c>
      <c r="AG4" s="73" t="str">
        <f>IF((MAX(E4,F4,G4,R4)-MIN(E4,F4,G4,R4))&gt;3,1,"")</f>
        <v/>
      </c>
      <c r="AH4" s="73" t="str">
        <f t="shared" ref="AH4" si="3">IF((MAX(C4,J4,O4,Z4)-MIN(C4,J4,O4,Z4))&gt;3,1,"")</f>
        <v/>
      </c>
      <c r="AI4" s="71">
        <f>IF(COUNT(A4:Z4)&gt;0,IF(COUNT(AC4,AD4,AE4,AF4,AG4,AH4)&gt;0,SUM(AC4,AD4,AE4,AF4,AG4,AH4),0),"")</f>
        <v>1</v>
      </c>
    </row>
    <row r="5" spans="1:35">
      <c r="A5" s="1">
        <f>IF(Data!A5&gt;0,Data!A5-4,"")</f>
        <v>1</v>
      </c>
      <c r="B5" s="1">
        <f>IF(Data!B5&gt;0,Data!B5-4,"")</f>
        <v>2</v>
      </c>
      <c r="C5" s="1">
        <f>IF(Data!C5&gt;0,4-Data!C5,"")</f>
        <v>0</v>
      </c>
      <c r="D5" s="1">
        <f>IF(Data!D5&gt;0,4-Data!D5,"")</f>
        <v>3</v>
      </c>
      <c r="E5" s="1">
        <f>IF(Data!E5&gt;0,4-Data!E5,"")</f>
        <v>0</v>
      </c>
      <c r="F5" s="1">
        <f>IF(Data!F5&gt;0,Data!F5-4,"")</f>
        <v>-1</v>
      </c>
      <c r="G5" s="1">
        <f>IF(Data!G5&gt;0,Data!G5-4,"")</f>
        <v>1</v>
      </c>
      <c r="H5" s="1">
        <f>IF(Data!H5&gt;0,Data!H5-4,"")</f>
        <v>0</v>
      </c>
      <c r="I5" s="1">
        <f>IF(Data!I5&gt;0,4-Data!I5,"")</f>
        <v>-1</v>
      </c>
      <c r="J5" s="1">
        <f>IF(Data!J5&gt;0,4-Data!J5,"")</f>
        <v>1</v>
      </c>
      <c r="K5" s="1">
        <f>IF(Data!K5&gt;0,Data!K5-4,"")</f>
        <v>1</v>
      </c>
      <c r="L5" s="1">
        <f>IF(Data!L5&gt;0,4-Data!L5,"")</f>
        <v>1</v>
      </c>
      <c r="M5" s="1">
        <f>IF(Data!M5&gt;0,Data!M5-4,"")</f>
        <v>3</v>
      </c>
      <c r="N5" s="1">
        <f>IF(Data!N5&gt;0,Data!N5-4,"")</f>
        <v>1</v>
      </c>
      <c r="O5" s="1">
        <f>IF(Data!O5&gt;0,Data!O5-4,"")</f>
        <v>0</v>
      </c>
      <c r="P5" s="1">
        <f>IF(Data!P5&gt;0,Data!P5-4,"")</f>
        <v>2</v>
      </c>
      <c r="Q5" s="1">
        <f>IF(Data!Q5&gt;0,4-Data!Q5,"")</f>
        <v>1</v>
      </c>
      <c r="R5" s="1">
        <f>IF(Data!R5&gt;0,4-Data!R5,"")</f>
        <v>2</v>
      </c>
      <c r="S5" s="1">
        <f>IF(Data!S5&gt;0,4-Data!S5,"")</f>
        <v>2</v>
      </c>
      <c r="T5" s="1">
        <f>IF(Data!T5&gt;0,Data!T5-4,"")</f>
        <v>-1</v>
      </c>
      <c r="U5" s="1">
        <f>IF(Data!U5&gt;0,4-Data!U5,"")</f>
        <v>3</v>
      </c>
      <c r="V5" s="1">
        <f>IF(Data!V5&gt;0,Data!V5-4,"")</f>
        <v>1</v>
      </c>
      <c r="W5" s="1">
        <f>IF(Data!W5&gt;0,4-Data!W5,"")</f>
        <v>3</v>
      </c>
      <c r="X5" s="1">
        <f>IF(Data!X5&gt;0,4-Data!X5,"")</f>
        <v>1</v>
      </c>
      <c r="Y5" s="1">
        <f>IF(Data!Y5&gt;0,4-Data!Y5,"")</f>
        <v>3</v>
      </c>
      <c r="Z5" s="1">
        <f>IF(Data!Z5&gt;0,Data!Z5-4,"")</f>
        <v>1</v>
      </c>
      <c r="AC5" s="4" t="str">
        <f t="shared" ref="AC5:AC13" si="4">IF((MAX(A5,L5,N5,P5,X5,Y5)-MIN(A5,L5,N5,P5,X5,Y5))&gt;3,1,"")</f>
        <v/>
      </c>
      <c r="AD5" s="4" t="str">
        <f t="shared" ref="AD5:AD13" si="5">IF((MAX(B5,D5,M5,U5)-MIN(B5,D5,M5,U5))&gt;3,1,"")</f>
        <v/>
      </c>
      <c r="AE5" s="4">
        <f t="shared" ref="AE5:AE13" si="6">IF((MAX(I5,T5,V5,W5)-MIN(I5,T5,V5,W5))&gt;3,1,"")</f>
        <v>1</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1</v>
      </c>
    </row>
    <row r="6" spans="1:35">
      <c r="A6" s="1">
        <f>IF(Data!A6&gt;0,Data!A6-4,"")</f>
        <v>-2</v>
      </c>
      <c r="B6" s="1">
        <f>IF(Data!B6&gt;0,Data!B6-4,"")</f>
        <v>1</v>
      </c>
      <c r="C6" s="1">
        <f>IF(Data!C6&gt;0,4-Data!C6,"")</f>
        <v>0</v>
      </c>
      <c r="D6" s="1">
        <f>IF(Data!D6&gt;0,4-Data!D6,"")</f>
        <v>3</v>
      </c>
      <c r="E6" s="1">
        <f>IF(Data!E6&gt;0,4-Data!E6,"")</f>
        <v>1</v>
      </c>
      <c r="F6" s="1">
        <f>IF(Data!F6&gt;0,Data!F6-4,"")</f>
        <v>-1</v>
      </c>
      <c r="G6" s="1">
        <f>IF(Data!G6&gt;0,Data!G6-4,"")</f>
        <v>1</v>
      </c>
      <c r="H6" s="1">
        <f>IF(Data!H6&gt;0,Data!H6-4,"")</f>
        <v>-1</v>
      </c>
      <c r="I6" s="1">
        <f>IF(Data!I6&gt;0,4-Data!I6,"")</f>
        <v>-1</v>
      </c>
      <c r="J6" s="1">
        <f>IF(Data!J6&gt;0,4-Data!J6,"")</f>
        <v>2</v>
      </c>
      <c r="K6" s="1">
        <f>IF(Data!K6&gt;0,Data!K6-4,"")</f>
        <v>0</v>
      </c>
      <c r="L6" s="1">
        <f>IF(Data!L6&gt;0,4-Data!L6,"")</f>
        <v>0</v>
      </c>
      <c r="M6" s="1">
        <f>IF(Data!M6&gt;0,Data!M6-4,"")</f>
        <v>3</v>
      </c>
      <c r="N6" s="1">
        <f>IF(Data!N6&gt;0,Data!N6-4,"")</f>
        <v>-1</v>
      </c>
      <c r="O6" s="1">
        <f>IF(Data!O6&gt;0,Data!O6-4,"")</f>
        <v>1</v>
      </c>
      <c r="P6" s="1">
        <f>IF(Data!P6&gt;0,Data!P6-4,"")</f>
        <v>0</v>
      </c>
      <c r="Q6" s="1">
        <f>IF(Data!Q6&gt;0,4-Data!Q6,"")</f>
        <v>0</v>
      </c>
      <c r="R6" s="1">
        <f>IF(Data!R6&gt;0,4-Data!R6,"")</f>
        <v>-1</v>
      </c>
      <c r="S6" s="1">
        <f>IF(Data!S6&gt;0,4-Data!S6,"")</f>
        <v>-2</v>
      </c>
      <c r="T6" s="1">
        <f>IF(Data!T6&gt;0,Data!T6-4,"")</f>
        <v>-1</v>
      </c>
      <c r="U6" s="1">
        <f>IF(Data!U6&gt;0,4-Data!U6,"")</f>
        <v>2</v>
      </c>
      <c r="V6" s="1">
        <f>IF(Data!V6&gt;0,Data!V6-4,"")</f>
        <v>0</v>
      </c>
      <c r="W6" s="1">
        <f>IF(Data!W6&gt;0,4-Data!W6,"")</f>
        <v>2</v>
      </c>
      <c r="X6" s="1">
        <f>IF(Data!X6&gt;0,4-Data!X6,"")</f>
        <v>1</v>
      </c>
      <c r="Y6" s="1">
        <f>IF(Data!Y6&gt;0,4-Data!Y6,"")</f>
        <v>2</v>
      </c>
      <c r="Z6" s="1">
        <f>IF(Data!Z6&gt;0,Data!Z6-4,"")</f>
        <v>2</v>
      </c>
      <c r="AC6" s="4">
        <f t="shared" si="4"/>
        <v>1</v>
      </c>
      <c r="AD6" s="4" t="str">
        <f t="shared" si="5"/>
        <v/>
      </c>
      <c r="AE6" s="4" t="str">
        <f t="shared" si="6"/>
        <v/>
      </c>
      <c r="AF6" s="4" t="str">
        <f t="shared" si="7"/>
        <v/>
      </c>
      <c r="AG6" s="4" t="str">
        <f t="shared" si="8"/>
        <v/>
      </c>
      <c r="AH6" s="4" t="str">
        <f t="shared" si="9"/>
        <v/>
      </c>
      <c r="AI6" s="2">
        <f t="shared" si="10"/>
        <v>1</v>
      </c>
    </row>
    <row r="7" spans="1:35">
      <c r="A7" s="1">
        <f>IF(Data!A7&gt;0,Data!A7-4,"")</f>
        <v>-2</v>
      </c>
      <c r="B7" s="1">
        <f>IF(Data!B7&gt;0,Data!B7-4,"")</f>
        <v>2</v>
      </c>
      <c r="C7" s="1">
        <f>IF(Data!C7&gt;0,4-Data!C7,"")</f>
        <v>-2</v>
      </c>
      <c r="D7" s="1">
        <f>IF(Data!D7&gt;0,4-Data!D7,"")</f>
        <v>3</v>
      </c>
      <c r="E7" s="1">
        <f>IF(Data!E7&gt;0,4-Data!E7,"")</f>
        <v>1</v>
      </c>
      <c r="F7" s="1">
        <f>IF(Data!F7&gt;0,Data!F7-4,"")</f>
        <v>0</v>
      </c>
      <c r="G7" s="1">
        <f>IF(Data!G7&gt;0,Data!G7-4,"")</f>
        <v>1</v>
      </c>
      <c r="H7" s="1">
        <f>IF(Data!H7&gt;0,Data!H7-4,"")</f>
        <v>2</v>
      </c>
      <c r="I7" s="1">
        <f>IF(Data!I7&gt;0,4-Data!I7,"")</f>
        <v>2</v>
      </c>
      <c r="J7" s="1">
        <f>IF(Data!J7&gt;0,4-Data!J7,"")</f>
        <v>2</v>
      </c>
      <c r="K7" s="1">
        <f>IF(Data!K7&gt;0,Data!K7-4,"")</f>
        <v>0</v>
      </c>
      <c r="L7" s="1">
        <f>IF(Data!L7&gt;0,4-Data!L7,"")</f>
        <v>1</v>
      </c>
      <c r="M7" s="1">
        <f>IF(Data!M7&gt;0,Data!M7-4,"")</f>
        <v>2</v>
      </c>
      <c r="N7" s="1">
        <f>IF(Data!N7&gt;0,Data!N7-4,"")</f>
        <v>-1</v>
      </c>
      <c r="O7" s="1">
        <f>IF(Data!O7&gt;0,Data!O7-4,"")</f>
        <v>1</v>
      </c>
      <c r="P7" s="1">
        <f>IF(Data!P7&gt;0,Data!P7-4,"")</f>
        <v>0</v>
      </c>
      <c r="Q7" s="1">
        <f>IF(Data!Q7&gt;0,4-Data!Q7,"")</f>
        <v>1</v>
      </c>
      <c r="R7" s="1">
        <f>IF(Data!R7&gt;0,4-Data!R7,"")</f>
        <v>1</v>
      </c>
      <c r="S7" s="1">
        <f>IF(Data!S7&gt;0,4-Data!S7,"")</f>
        <v>-1</v>
      </c>
      <c r="T7" s="1">
        <f>IF(Data!T7&gt;0,Data!T7-4,"")</f>
        <v>0</v>
      </c>
      <c r="U7" s="1">
        <f>IF(Data!U7&gt;0,4-Data!U7,"")</f>
        <v>-1</v>
      </c>
      <c r="V7" s="1">
        <f>IF(Data!V7&gt;0,Data!V7-4,"")</f>
        <v>-1</v>
      </c>
      <c r="W7" s="1">
        <f>IF(Data!W7&gt;0,4-Data!W7,"")</f>
        <v>1</v>
      </c>
      <c r="X7" s="1">
        <f>IF(Data!X7&gt;0,4-Data!X7,"")</f>
        <v>-1</v>
      </c>
      <c r="Y7" s="1">
        <f>IF(Data!Y7&gt;0,4-Data!Y7,"")</f>
        <v>0</v>
      </c>
      <c r="Z7" s="1">
        <f>IF(Data!Z7&gt;0,Data!Z7-4,"")</f>
        <v>1</v>
      </c>
      <c r="AC7" s="4" t="str">
        <f t="shared" si="4"/>
        <v/>
      </c>
      <c r="AD7" s="4">
        <f t="shared" si="5"/>
        <v>1</v>
      </c>
      <c r="AE7" s="4" t="str">
        <f t="shared" si="6"/>
        <v/>
      </c>
      <c r="AF7" s="4" t="str">
        <f t="shared" si="7"/>
        <v/>
      </c>
      <c r="AG7" s="4" t="str">
        <f t="shared" si="8"/>
        <v/>
      </c>
      <c r="AH7" s="4">
        <f t="shared" si="9"/>
        <v>1</v>
      </c>
      <c r="AI7" s="2">
        <f t="shared" si="10"/>
        <v>2</v>
      </c>
    </row>
    <row r="8" spans="1:35">
      <c r="A8" s="1">
        <f>IF(Data!A8&gt;0,Data!A8-4,"")</f>
        <v>1</v>
      </c>
      <c r="B8" s="1">
        <f>IF(Data!B8&gt;0,Data!B8-4,"")</f>
        <v>3</v>
      </c>
      <c r="C8" s="1">
        <f>IF(Data!C8&gt;0,4-Data!C8,"")</f>
        <v>-3</v>
      </c>
      <c r="D8" s="1">
        <f>IF(Data!D8&gt;0,4-Data!D8,"")</f>
        <v>3</v>
      </c>
      <c r="E8" s="1">
        <f>IF(Data!E8&gt;0,4-Data!E8,"")</f>
        <v>0</v>
      </c>
      <c r="F8" s="1">
        <f>IF(Data!F8&gt;0,Data!F8-4,"")</f>
        <v>1</v>
      </c>
      <c r="G8" s="1">
        <f>IF(Data!G8&gt;0,Data!G8-4,"")</f>
        <v>1</v>
      </c>
      <c r="H8" s="1">
        <f>IF(Data!H8&gt;0,Data!H8-4,"")</f>
        <v>3</v>
      </c>
      <c r="I8" s="1">
        <f>IF(Data!I8&gt;0,4-Data!I8,"")</f>
        <v>0</v>
      </c>
      <c r="J8" s="1">
        <f>IF(Data!J8&gt;0,4-Data!J8,"")</f>
        <v>2</v>
      </c>
      <c r="K8" s="1">
        <f>IF(Data!K8&gt;0,Data!K8-4,"")</f>
        <v>0</v>
      </c>
      <c r="L8" s="1">
        <f>IF(Data!L8&gt;0,4-Data!L8,"")</f>
        <v>0</v>
      </c>
      <c r="M8" s="1">
        <f>IF(Data!M8&gt;0,Data!M8-4,"")</f>
        <v>3</v>
      </c>
      <c r="N8" s="1">
        <f>IF(Data!N8&gt;0,Data!N8-4,"")</f>
        <v>0</v>
      </c>
      <c r="O8" s="1">
        <f>IF(Data!O8&gt;0,Data!O8-4,"")</f>
        <v>0</v>
      </c>
      <c r="P8" s="1">
        <f>IF(Data!P8&gt;0,Data!P8-4,"")</f>
        <v>0</v>
      </c>
      <c r="Q8" s="1">
        <f>IF(Data!Q8&gt;0,4-Data!Q8,"")</f>
        <v>3</v>
      </c>
      <c r="R8" s="1">
        <f>IF(Data!R8&gt;0,4-Data!R8,"")</f>
        <v>0</v>
      </c>
      <c r="S8" s="1">
        <f>IF(Data!S8&gt;0,4-Data!S8,"")</f>
        <v>3</v>
      </c>
      <c r="T8" s="1">
        <f>IF(Data!T8&gt;0,Data!T8-4,"")</f>
        <v>0</v>
      </c>
      <c r="U8" s="1">
        <f>IF(Data!U8&gt;0,4-Data!U8,"")</f>
        <v>3</v>
      </c>
      <c r="V8" s="1">
        <f>IF(Data!V8&gt;0,Data!V8-4,"")</f>
        <v>0</v>
      </c>
      <c r="W8" s="1">
        <f>IF(Data!W8&gt;0,4-Data!W8,"")</f>
        <v>3</v>
      </c>
      <c r="X8" s="1">
        <f>IF(Data!X8&gt;0,4-Data!X8,"")</f>
        <v>0</v>
      </c>
      <c r="Y8" s="1">
        <f>IF(Data!Y8&gt;0,4-Data!Y8,"")</f>
        <v>3</v>
      </c>
      <c r="Z8" s="1">
        <f>IF(Data!Z8&gt;0,Data!Z8-4,"")</f>
        <v>0</v>
      </c>
      <c r="AC8" s="4" t="str">
        <f t="shared" si="4"/>
        <v/>
      </c>
      <c r="AD8" s="4" t="str">
        <f t="shared" si="5"/>
        <v/>
      </c>
      <c r="AE8" s="4" t="str">
        <f t="shared" si="6"/>
        <v/>
      </c>
      <c r="AF8" s="4" t="str">
        <f t="shared" si="7"/>
        <v/>
      </c>
      <c r="AG8" s="4" t="str">
        <f t="shared" si="8"/>
        <v/>
      </c>
      <c r="AH8" s="4">
        <f t="shared" si="9"/>
        <v>1</v>
      </c>
      <c r="AI8" s="2">
        <f t="shared" si="10"/>
        <v>1</v>
      </c>
    </row>
    <row r="9" spans="1:35">
      <c r="A9" s="1">
        <f>IF(Data!A9&gt;0,Data!A9-4,"")</f>
        <v>2</v>
      </c>
      <c r="B9" s="1">
        <f>IF(Data!B9&gt;0,Data!B9-4,"")</f>
        <v>3</v>
      </c>
      <c r="C9" s="1">
        <f>IF(Data!C9&gt;0,4-Data!C9,"")</f>
        <v>0</v>
      </c>
      <c r="D9" s="1">
        <f>IF(Data!D9&gt;0,4-Data!D9,"")</f>
        <v>3</v>
      </c>
      <c r="E9" s="1">
        <f>IF(Data!E9&gt;0,4-Data!E9,"")</f>
        <v>2</v>
      </c>
      <c r="F9" s="1">
        <f>IF(Data!F9&gt;0,Data!F9-4,"")</f>
        <v>-2</v>
      </c>
      <c r="G9" s="1">
        <f>IF(Data!G9&gt;0,Data!G9-4,"")</f>
        <v>0</v>
      </c>
      <c r="H9" s="1">
        <f>IF(Data!H9&gt;0,Data!H9-4,"")</f>
        <v>2</v>
      </c>
      <c r="I9" s="1">
        <f>IF(Data!I9&gt;0,4-Data!I9,"")</f>
        <v>2</v>
      </c>
      <c r="J9" s="1">
        <f>IF(Data!J9&gt;0,4-Data!J9,"")</f>
        <v>2</v>
      </c>
      <c r="K9" s="1">
        <f>IF(Data!K9&gt;0,Data!K9-4,"")</f>
        <v>2</v>
      </c>
      <c r="L9" s="1">
        <f>IF(Data!L9&gt;0,4-Data!L9,"")</f>
        <v>1</v>
      </c>
      <c r="M9" s="1">
        <f>IF(Data!M9&gt;0,Data!M9-4,"")</f>
        <v>3</v>
      </c>
      <c r="N9" s="1">
        <f>IF(Data!N9&gt;0,Data!N9-4,"")</f>
        <v>2</v>
      </c>
      <c r="O9" s="1">
        <f>IF(Data!O9&gt;0,Data!O9-4,"")</f>
        <v>0</v>
      </c>
      <c r="P9" s="1">
        <f>IF(Data!P9&gt;0,Data!P9-4,"")</f>
        <v>2</v>
      </c>
      <c r="Q9" s="1">
        <f>IF(Data!Q9&gt;0,4-Data!Q9,"")</f>
        <v>0</v>
      </c>
      <c r="R9" s="1">
        <f>IF(Data!R9&gt;0,4-Data!R9,"")</f>
        <v>1</v>
      </c>
      <c r="S9" s="1">
        <f>IF(Data!S9&gt;0,4-Data!S9,"")</f>
        <v>0</v>
      </c>
      <c r="T9" s="1">
        <f>IF(Data!T9&gt;0,Data!T9-4,"")</f>
        <v>2</v>
      </c>
      <c r="U9" s="1">
        <f>IF(Data!U9&gt;0,4-Data!U9,"")</f>
        <v>2</v>
      </c>
      <c r="V9" s="1">
        <f>IF(Data!V9&gt;0,Data!V9-4,"")</f>
        <v>2</v>
      </c>
      <c r="W9" s="1">
        <f>IF(Data!W9&gt;0,4-Data!W9,"")</f>
        <v>2</v>
      </c>
      <c r="X9" s="1">
        <f>IF(Data!X9&gt;0,4-Data!X9,"")</f>
        <v>2</v>
      </c>
      <c r="Y9" s="1">
        <f>IF(Data!Y9&gt;0,4-Data!Y9,"")</f>
        <v>3</v>
      </c>
      <c r="Z9" s="1">
        <f>IF(Data!Z9&gt;0,Data!Z9-4,"")</f>
        <v>1</v>
      </c>
      <c r="AC9" s="4" t="str">
        <f t="shared" si="4"/>
        <v/>
      </c>
      <c r="AD9" s="4" t="str">
        <f t="shared" si="5"/>
        <v/>
      </c>
      <c r="AE9" s="4" t="str">
        <f t="shared" si="6"/>
        <v/>
      </c>
      <c r="AF9" s="4" t="str">
        <f t="shared" si="7"/>
        <v/>
      </c>
      <c r="AG9" s="4">
        <f t="shared" si="8"/>
        <v>1</v>
      </c>
      <c r="AH9" s="4" t="str">
        <f t="shared" si="9"/>
        <v/>
      </c>
      <c r="AI9" s="2">
        <f t="shared" si="10"/>
        <v>1</v>
      </c>
    </row>
    <row r="10" spans="1:35">
      <c r="A10" s="1">
        <f>IF(Data!A10&gt;0,Data!A10-4,"")</f>
        <v>3</v>
      </c>
      <c r="B10" s="1">
        <f>IF(Data!B10&gt;0,Data!B10-4,"")</f>
        <v>3</v>
      </c>
      <c r="C10" s="1">
        <f>IF(Data!C10&gt;0,4-Data!C10,"")</f>
        <v>1</v>
      </c>
      <c r="D10" s="1">
        <f>IF(Data!D10&gt;0,4-Data!D10,"")</f>
        <v>3</v>
      </c>
      <c r="E10" s="1">
        <f>IF(Data!E10&gt;0,4-Data!E10,"")</f>
        <v>3</v>
      </c>
      <c r="F10" s="1">
        <f>IF(Data!F10&gt;0,Data!F10-4,"")</f>
        <v>0</v>
      </c>
      <c r="G10" s="1">
        <f>IF(Data!G10&gt;0,Data!G10-4,"")</f>
        <v>2</v>
      </c>
      <c r="H10" s="1">
        <f>IF(Data!H10&gt;0,Data!H10-4,"")</f>
        <v>0</v>
      </c>
      <c r="I10" s="1">
        <f>IF(Data!I10&gt;0,4-Data!I10,"")</f>
        <v>3</v>
      </c>
      <c r="J10" s="1">
        <f>IF(Data!J10&gt;0,4-Data!J10,"")</f>
        <v>3</v>
      </c>
      <c r="K10" s="1">
        <f>IF(Data!K10&gt;0,Data!K10-4,"")</f>
        <v>1</v>
      </c>
      <c r="L10" s="1">
        <f>IF(Data!L10&gt;0,4-Data!L10,"")</f>
        <v>3</v>
      </c>
      <c r="M10" s="1">
        <f>IF(Data!M10&gt;0,Data!M10-4,"")</f>
        <v>2</v>
      </c>
      <c r="N10" s="1">
        <f>IF(Data!N10&gt;0,Data!N10-4,"")</f>
        <v>3</v>
      </c>
      <c r="O10" s="1">
        <f>IF(Data!O10&gt;0,Data!O10-4,"")</f>
        <v>3</v>
      </c>
      <c r="P10" s="1">
        <f>IF(Data!P10&gt;0,Data!P10-4,"")</f>
        <v>3</v>
      </c>
      <c r="Q10" s="1">
        <f>IF(Data!Q10&gt;0,4-Data!Q10,"")</f>
        <v>3</v>
      </c>
      <c r="R10" s="1">
        <f>IF(Data!R10&gt;0,4-Data!R10,"")</f>
        <v>3</v>
      </c>
      <c r="S10" s="1">
        <f>IF(Data!S10&gt;0,4-Data!S10,"")</f>
        <v>3</v>
      </c>
      <c r="T10" s="1">
        <f>IF(Data!T10&gt;0,Data!T10-4,"")</f>
        <v>3</v>
      </c>
      <c r="U10" s="1">
        <f>IF(Data!U10&gt;0,4-Data!U10,"")</f>
        <v>3</v>
      </c>
      <c r="V10" s="1">
        <f>IF(Data!V10&gt;0,Data!V10-4,"")</f>
        <v>3</v>
      </c>
      <c r="W10" s="1">
        <f>IF(Data!W10&gt;0,4-Data!W10,"")</f>
        <v>3</v>
      </c>
      <c r="X10" s="1">
        <f>IF(Data!X10&gt;0,4-Data!X10,"")</f>
        <v>3</v>
      </c>
      <c r="Y10" s="1">
        <f>IF(Data!Y10&gt;0,4-Data!Y10,"")</f>
        <v>3</v>
      </c>
      <c r="Z10" s="1">
        <f>IF(Data!Z10&gt;0,Data!Z10-4,"")</f>
        <v>3</v>
      </c>
      <c r="AC10" s="4" t="str">
        <f t="shared" si="4"/>
        <v/>
      </c>
      <c r="AD10" s="4" t="str">
        <f t="shared" si="5"/>
        <v/>
      </c>
      <c r="AE10" s="4" t="str">
        <f t="shared" si="6"/>
        <v/>
      </c>
      <c r="AF10" s="4" t="str">
        <f t="shared" si="7"/>
        <v/>
      </c>
      <c r="AG10" s="4" t="str">
        <f t="shared" si="8"/>
        <v/>
      </c>
      <c r="AH10" s="4" t="str">
        <f t="shared" si="9"/>
        <v/>
      </c>
      <c r="AI10" s="2">
        <f t="shared" si="10"/>
        <v>0</v>
      </c>
    </row>
    <row r="11" spans="1:35">
      <c r="A11" s="1">
        <f>IF(Data!A11&gt;0,Data!A11-4,"")</f>
        <v>-2</v>
      </c>
      <c r="B11" s="1">
        <f>IF(Data!B11&gt;0,Data!B11-4,"")</f>
        <v>2</v>
      </c>
      <c r="C11" s="1">
        <f>IF(Data!C11&gt;0,4-Data!C11,"")</f>
        <v>-2</v>
      </c>
      <c r="D11" s="1">
        <f>IF(Data!D11&gt;0,4-Data!D11,"")</f>
        <v>3</v>
      </c>
      <c r="E11" s="1">
        <f>IF(Data!E11&gt;0,4-Data!E11,"")</f>
        <v>0</v>
      </c>
      <c r="F11" s="1">
        <f>IF(Data!F11&gt;0,Data!F11-4,"")</f>
        <v>-2</v>
      </c>
      <c r="G11" s="1">
        <f>IF(Data!G11&gt;0,Data!G11-4,"")</f>
        <v>1</v>
      </c>
      <c r="H11" s="1">
        <f>IF(Data!H11&gt;0,Data!H11-4,"")</f>
        <v>3</v>
      </c>
      <c r="I11" s="1">
        <f>IF(Data!I11&gt;0,4-Data!I11,"")</f>
        <v>2</v>
      </c>
      <c r="J11" s="1">
        <f>IF(Data!J11&gt;0,4-Data!J11,"")</f>
        <v>-1</v>
      </c>
      <c r="K11" s="1">
        <f>IF(Data!K11&gt;0,Data!K11-4,"")</f>
        <v>-3</v>
      </c>
      <c r="L11" s="1">
        <f>IF(Data!L11&gt;0,4-Data!L11,"")</f>
        <v>-1</v>
      </c>
      <c r="M11" s="1">
        <f>IF(Data!M11&gt;0,Data!M11-4,"")</f>
        <v>1</v>
      </c>
      <c r="N11" s="1">
        <f>IF(Data!N11&gt;0,Data!N11-4,"")</f>
        <v>-2</v>
      </c>
      <c r="O11" s="1">
        <f>IF(Data!O11&gt;0,Data!O11-4,"")</f>
        <v>0</v>
      </c>
      <c r="P11" s="1">
        <f>IF(Data!P11&gt;0,Data!P11-4,"")</f>
        <v>-1</v>
      </c>
      <c r="Q11" s="1">
        <f>IF(Data!Q11&gt;0,4-Data!Q11,"")</f>
        <v>3</v>
      </c>
      <c r="R11" s="1">
        <f>IF(Data!R11&gt;0,4-Data!R11,"")</f>
        <v>-1</v>
      </c>
      <c r="S11" s="1">
        <f>IF(Data!S11&gt;0,4-Data!S11,"")</f>
        <v>-1</v>
      </c>
      <c r="T11" s="1">
        <f>IF(Data!T11&gt;0,Data!T11-4,"")</f>
        <v>-1</v>
      </c>
      <c r="U11" s="1">
        <f>IF(Data!U11&gt;0,4-Data!U11,"")</f>
        <v>2</v>
      </c>
      <c r="V11" s="1">
        <f>IF(Data!V11&gt;0,Data!V11-4,"")</f>
        <v>1</v>
      </c>
      <c r="W11" s="1">
        <f>IF(Data!W11&gt;0,4-Data!W11,"")</f>
        <v>-1</v>
      </c>
      <c r="X11" s="1">
        <f>IF(Data!X11&gt;0,4-Data!X11,"")</f>
        <v>0</v>
      </c>
      <c r="Y11" s="1">
        <f>IF(Data!Y11&gt;0,4-Data!Y11,"")</f>
        <v>2</v>
      </c>
      <c r="Z11" s="1">
        <f>IF(Data!Z11&gt;0,Data!Z11-4,"")</f>
        <v>1</v>
      </c>
      <c r="AC11" s="4">
        <f t="shared" si="4"/>
        <v>1</v>
      </c>
      <c r="AD11" s="4" t="str">
        <f t="shared" si="5"/>
        <v/>
      </c>
      <c r="AE11" s="4" t="str">
        <f t="shared" si="6"/>
        <v/>
      </c>
      <c r="AF11" s="4">
        <f t="shared" si="7"/>
        <v>1</v>
      </c>
      <c r="AG11" s="4" t="str">
        <f t="shared" si="8"/>
        <v/>
      </c>
      <c r="AH11" s="4" t="str">
        <f t="shared" si="9"/>
        <v/>
      </c>
      <c r="AI11" s="2">
        <f t="shared" si="10"/>
        <v>2</v>
      </c>
    </row>
    <row r="12" spans="1:35">
      <c r="A12" s="1">
        <f>IF(Data!A12&gt;0,Data!A12-4,"")</f>
        <v>-2</v>
      </c>
      <c r="B12" s="1">
        <f>IF(Data!B12&gt;0,Data!B12-4,"")</f>
        <v>0</v>
      </c>
      <c r="C12" s="1">
        <f>IF(Data!C12&gt;0,4-Data!C12,"")</f>
        <v>3</v>
      </c>
      <c r="D12" s="1">
        <f>IF(Data!D12&gt;0,4-Data!D12,"")</f>
        <v>1</v>
      </c>
      <c r="E12" s="1">
        <f>IF(Data!E12&gt;0,4-Data!E12,"")</f>
        <v>1</v>
      </c>
      <c r="F12" s="1">
        <f>IF(Data!F12&gt;0,Data!F12-4,"")</f>
        <v>-2</v>
      </c>
      <c r="G12" s="1">
        <f>IF(Data!G12&gt;0,Data!G12-4,"")</f>
        <v>-1</v>
      </c>
      <c r="H12" s="1">
        <f>IF(Data!H12&gt;0,Data!H12-4,"")</f>
        <v>0</v>
      </c>
      <c r="I12" s="1">
        <f>IF(Data!I12&gt;0,4-Data!I12,"")</f>
        <v>1</v>
      </c>
      <c r="J12" s="1">
        <f>IF(Data!J12&gt;0,4-Data!J12,"")</f>
        <v>2</v>
      </c>
      <c r="K12" s="1">
        <f>IF(Data!K12&gt;0,Data!K12-4,"")</f>
        <v>-2</v>
      </c>
      <c r="L12" s="1">
        <f>IF(Data!L12&gt;0,4-Data!L12,"")</f>
        <v>1</v>
      </c>
      <c r="M12" s="1">
        <f>IF(Data!M12&gt;0,Data!M12-4,"")</f>
        <v>1</v>
      </c>
      <c r="N12" s="1">
        <f>IF(Data!N12&gt;0,Data!N12-4,"")</f>
        <v>-1</v>
      </c>
      <c r="O12" s="1">
        <f>IF(Data!O12&gt;0,Data!O12-4,"")</f>
        <v>-1</v>
      </c>
      <c r="P12" s="1">
        <f>IF(Data!P12&gt;0,Data!P12-4,"")</f>
        <v>-1</v>
      </c>
      <c r="Q12" s="1">
        <f>IF(Data!Q12&gt;0,4-Data!Q12,"")</f>
        <v>-1</v>
      </c>
      <c r="R12" s="1">
        <f>IF(Data!R12&gt;0,4-Data!R12,"")</f>
        <v>-2</v>
      </c>
      <c r="S12" s="1">
        <f>IF(Data!S12&gt;0,4-Data!S12,"")</f>
        <v>-1</v>
      </c>
      <c r="T12" s="1">
        <f>IF(Data!T12&gt;0,Data!T12-4,"")</f>
        <v>-1</v>
      </c>
      <c r="U12" s="1">
        <f>IF(Data!U12&gt;0,4-Data!U12,"")</f>
        <v>0</v>
      </c>
      <c r="V12" s="1">
        <f>IF(Data!V12&gt;0,Data!V12-4,"")</f>
        <v>-1</v>
      </c>
      <c r="W12" s="1">
        <f>IF(Data!W12&gt;0,4-Data!W12,"")</f>
        <v>1</v>
      </c>
      <c r="X12" s="1">
        <f>IF(Data!X12&gt;0,4-Data!X12,"")</f>
        <v>-2</v>
      </c>
      <c r="Y12" s="1">
        <f>IF(Data!Y12&gt;0,4-Data!Y12,"")</f>
        <v>1</v>
      </c>
      <c r="Z12" s="1">
        <f>IF(Data!Z12&gt;0,Data!Z12-4,"")</f>
        <v>-1</v>
      </c>
      <c r="AC12" s="4" t="str">
        <f t="shared" si="4"/>
        <v/>
      </c>
      <c r="AD12" s="4" t="str">
        <f t="shared" si="5"/>
        <v/>
      </c>
      <c r="AE12" s="4" t="str">
        <f t="shared" si="6"/>
        <v/>
      </c>
      <c r="AF12" s="4" t="str">
        <f t="shared" si="7"/>
        <v/>
      </c>
      <c r="AG12" s="4" t="str">
        <f t="shared" si="8"/>
        <v/>
      </c>
      <c r="AH12" s="4">
        <f t="shared" si="9"/>
        <v>1</v>
      </c>
      <c r="AI12" s="2">
        <f t="shared" si="10"/>
        <v>1</v>
      </c>
    </row>
    <row r="13" spans="1:35">
      <c r="A13" s="1">
        <f>IF(Data!A13&gt;0,Data!A13-4,"")</f>
        <v>2</v>
      </c>
      <c r="B13" s="1">
        <f>IF(Data!B13&gt;0,Data!B13-4,"")</f>
        <v>3</v>
      </c>
      <c r="C13" s="1">
        <f>IF(Data!C13&gt;0,4-Data!C13,"")</f>
        <v>2</v>
      </c>
      <c r="D13" s="1">
        <f>IF(Data!D13&gt;0,4-Data!D13,"")</f>
        <v>3</v>
      </c>
      <c r="E13" s="1">
        <f>IF(Data!E13&gt;0,4-Data!E13,"")</f>
        <v>1</v>
      </c>
      <c r="F13" s="1">
        <f>IF(Data!F13&gt;0,Data!F13-4,"")</f>
        <v>0</v>
      </c>
      <c r="G13" s="1">
        <f>IF(Data!G13&gt;0,Data!G13-4,"")</f>
        <v>2</v>
      </c>
      <c r="H13" s="1">
        <f>IF(Data!H13&gt;0,Data!H13-4,"")</f>
        <v>3</v>
      </c>
      <c r="I13" s="1">
        <f>IF(Data!I13&gt;0,4-Data!I13,"")</f>
        <v>0</v>
      </c>
      <c r="J13" s="1">
        <f>IF(Data!J13&gt;0,4-Data!J13,"")</f>
        <v>3</v>
      </c>
      <c r="K13" s="1">
        <f>IF(Data!K13&gt;0,Data!K13-4,"")</f>
        <v>2</v>
      </c>
      <c r="L13" s="1">
        <f>IF(Data!L13&gt;0,4-Data!L13,"")</f>
        <v>3</v>
      </c>
      <c r="M13" s="1">
        <f>IF(Data!M13&gt;0,Data!M13-4,"")</f>
        <v>2</v>
      </c>
      <c r="N13" s="1">
        <f>IF(Data!N13&gt;0,Data!N13-4,"")</f>
        <v>2</v>
      </c>
      <c r="O13" s="1">
        <f>IF(Data!O13&gt;0,Data!O13-4,"")</f>
        <v>2</v>
      </c>
      <c r="P13" s="1">
        <f>IF(Data!P13&gt;0,Data!P13-4,"")</f>
        <v>2</v>
      </c>
      <c r="Q13" s="1">
        <f>IF(Data!Q13&gt;0,4-Data!Q13,"")</f>
        <v>0</v>
      </c>
      <c r="R13" s="1">
        <f>IF(Data!R13&gt;0,4-Data!R13,"")</f>
        <v>2</v>
      </c>
      <c r="S13" s="1">
        <f>IF(Data!S13&gt;0,4-Data!S13,"")</f>
        <v>3</v>
      </c>
      <c r="T13" s="1">
        <f>IF(Data!T13&gt;0,Data!T13-4,"")</f>
        <v>0</v>
      </c>
      <c r="U13" s="1">
        <f>IF(Data!U13&gt;0,4-Data!U13,"")</f>
        <v>2</v>
      </c>
      <c r="V13" s="1">
        <f>IF(Data!V13&gt;0,Data!V13-4,"")</f>
        <v>2</v>
      </c>
      <c r="W13" s="1">
        <f>IF(Data!W13&gt;0,4-Data!W13,"")</f>
        <v>3</v>
      </c>
      <c r="X13" s="1">
        <f>IF(Data!X13&gt;0,4-Data!X13,"")</f>
        <v>3</v>
      </c>
      <c r="Y13" s="1">
        <f>IF(Data!Y13&gt;0,4-Data!Y13,"")</f>
        <v>3</v>
      </c>
      <c r="Z13" s="1">
        <f>IF(Data!Z13&gt;0,Data!Z13-4,"")</f>
        <v>3</v>
      </c>
      <c r="AC13" s="4" t="str">
        <f t="shared" si="4"/>
        <v/>
      </c>
      <c r="AD13" s="4" t="str">
        <f t="shared" si="5"/>
        <v/>
      </c>
      <c r="AE13" s="4" t="str">
        <f t="shared" si="6"/>
        <v/>
      </c>
      <c r="AF13" s="4" t="str">
        <f t="shared" si="7"/>
        <v/>
      </c>
      <c r="AG13" s="4" t="str">
        <f t="shared" si="8"/>
        <v/>
      </c>
      <c r="AH13" s="4" t="str">
        <f t="shared" si="9"/>
        <v/>
      </c>
      <c r="AI13" s="2">
        <f t="shared" si="10"/>
        <v>0</v>
      </c>
    </row>
    <row r="14" spans="1:35">
      <c r="A14" s="1">
        <f>IF(Data!A14&gt;0,Data!A14-4,"")</f>
        <v>1</v>
      </c>
      <c r="B14" s="1">
        <f>IF(Data!B14&gt;0,Data!B14-4,"")</f>
        <v>1</v>
      </c>
      <c r="C14" s="1">
        <f>IF(Data!C14&gt;0,4-Data!C14,"")</f>
        <v>1</v>
      </c>
      <c r="D14" s="1">
        <f>IF(Data!D14&gt;0,4-Data!D14,"")</f>
        <v>2</v>
      </c>
      <c r="E14" s="1">
        <f>IF(Data!E14&gt;0,4-Data!E14,"")</f>
        <v>2</v>
      </c>
      <c r="F14" s="1">
        <f>IF(Data!F14&gt;0,Data!F14-4,"")</f>
        <v>1</v>
      </c>
      <c r="G14" s="1">
        <f>IF(Data!G14&gt;0,Data!G14-4,"")</f>
        <v>2</v>
      </c>
      <c r="H14" s="1">
        <f>IF(Data!H14&gt;0,Data!H14-4,"")</f>
        <v>0</v>
      </c>
      <c r="I14" s="1">
        <f>IF(Data!I14&gt;0,4-Data!I14,"")</f>
        <v>2</v>
      </c>
      <c r="J14" s="1">
        <f>IF(Data!J14&gt;0,4-Data!J14,"")</f>
        <v>2</v>
      </c>
      <c r="K14" s="1">
        <f>IF(Data!K14&gt;0,Data!K14-4,"")</f>
        <v>2</v>
      </c>
      <c r="L14" s="1">
        <f>IF(Data!L14&gt;0,4-Data!L14,"")</f>
        <v>2</v>
      </c>
      <c r="M14" s="1">
        <f>IF(Data!M14&gt;0,Data!M14-4,"")</f>
        <v>2</v>
      </c>
      <c r="N14" s="1">
        <f>IF(Data!N14&gt;0,Data!N14-4,"")</f>
        <v>1</v>
      </c>
      <c r="O14" s="1">
        <f>IF(Data!O14&gt;0,Data!O14-4,"")</f>
        <v>1</v>
      </c>
      <c r="P14" s="1">
        <f>IF(Data!P14&gt;0,Data!P14-4,"")</f>
        <v>1</v>
      </c>
      <c r="Q14" s="1">
        <f>IF(Data!Q14&gt;0,4-Data!Q14,"")</f>
        <v>0</v>
      </c>
      <c r="R14" s="1">
        <f>IF(Data!R14&gt;0,4-Data!R14,"")</f>
        <v>2</v>
      </c>
      <c r="S14" s="1">
        <f>IF(Data!S14&gt;0,4-Data!S14,"")</f>
        <v>1</v>
      </c>
      <c r="T14" s="1">
        <f>IF(Data!T14&gt;0,Data!T14-4,"")</f>
        <v>1</v>
      </c>
      <c r="U14" s="1">
        <f>IF(Data!U14&gt;0,4-Data!U14,"")</f>
        <v>1</v>
      </c>
      <c r="V14" s="1">
        <f>IF(Data!V14&gt;0,Data!V14-4,"")</f>
        <v>2</v>
      </c>
      <c r="W14" s="1">
        <f>IF(Data!W14&gt;0,4-Data!W14,"")</f>
        <v>1</v>
      </c>
      <c r="X14" s="1">
        <f>IF(Data!X14&gt;0,4-Data!X14,"")</f>
        <v>1</v>
      </c>
      <c r="Y14" s="1">
        <f>IF(Data!Y14&gt;0,4-Data!Y14,"")</f>
        <v>0</v>
      </c>
      <c r="Z14" s="1">
        <f>IF(Data!Z14&gt;0,Data!Z14-4,"")</f>
        <v>1</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c r="A15" s="1">
        <f>IF(Data!A15&gt;0,Data!A15-4,"")</f>
        <v>1</v>
      </c>
      <c r="B15" s="1">
        <f>IF(Data!B15&gt;0,Data!B15-4,"")</f>
        <v>2</v>
      </c>
      <c r="C15" s="1">
        <f>IF(Data!C15&gt;0,4-Data!C15,"")</f>
        <v>1</v>
      </c>
      <c r="D15" s="1">
        <f>IF(Data!D15&gt;0,4-Data!D15,"")</f>
        <v>2</v>
      </c>
      <c r="E15" s="1">
        <f>IF(Data!E15&gt;0,4-Data!E15,"")</f>
        <v>1</v>
      </c>
      <c r="F15" s="1">
        <f>IF(Data!F15&gt;0,Data!F15-4,"")</f>
        <v>0</v>
      </c>
      <c r="G15" s="1">
        <f>IF(Data!G15&gt;0,Data!G15-4,"")</f>
        <v>1</v>
      </c>
      <c r="H15" s="1">
        <f>IF(Data!H15&gt;0,Data!H15-4,"")</f>
        <v>1</v>
      </c>
      <c r="I15" s="1">
        <f>IF(Data!I15&gt;0,4-Data!I15,"")</f>
        <v>-1</v>
      </c>
      <c r="J15" s="1">
        <f>IF(Data!J15&gt;0,4-Data!J15,"")</f>
        <v>1</v>
      </c>
      <c r="K15" s="1">
        <f>IF(Data!K15&gt;0,Data!K15-4,"")</f>
        <v>0</v>
      </c>
      <c r="L15" s="1">
        <f>IF(Data!L15&gt;0,4-Data!L15,"")</f>
        <v>1</v>
      </c>
      <c r="M15" s="1">
        <f>IF(Data!M15&gt;0,Data!M15-4,"")</f>
        <v>1</v>
      </c>
      <c r="N15" s="1">
        <f>IF(Data!N15&gt;0,Data!N15-4,"")</f>
        <v>1</v>
      </c>
      <c r="O15" s="1">
        <f>IF(Data!O15&gt;0,Data!O15-4,"")</f>
        <v>0</v>
      </c>
      <c r="P15" s="1">
        <f>IF(Data!P15&gt;0,Data!P15-4,"")</f>
        <v>1</v>
      </c>
      <c r="Q15" s="1">
        <f>IF(Data!Q15&gt;0,4-Data!Q15,"")</f>
        <v>1</v>
      </c>
      <c r="R15" s="1">
        <f>IF(Data!R15&gt;0,4-Data!R15,"")</f>
        <v>1</v>
      </c>
      <c r="S15" s="1">
        <f>IF(Data!S15&gt;0,4-Data!S15,"")</f>
        <v>1</v>
      </c>
      <c r="T15" s="1">
        <f>IF(Data!T15&gt;0,Data!T15-4,"")</f>
        <v>0</v>
      </c>
      <c r="U15" s="1">
        <f>IF(Data!U15&gt;0,4-Data!U15,"")</f>
        <v>1</v>
      </c>
      <c r="V15" s="1">
        <f>IF(Data!V15&gt;0,Data!V15-4,"")</f>
        <v>1</v>
      </c>
      <c r="W15" s="1">
        <f>IF(Data!W15&gt;0,4-Data!W15,"")</f>
        <v>1</v>
      </c>
      <c r="X15" s="1">
        <f>IF(Data!X15&gt;0,4-Data!X15,"")</f>
        <v>1</v>
      </c>
      <c r="Y15" s="1">
        <f>IF(Data!Y15&gt;0,4-Data!Y15,"")</f>
        <v>2</v>
      </c>
      <c r="Z15" s="1">
        <f>IF(Data!Z15&gt;0,Data!Z15-4,"")</f>
        <v>1</v>
      </c>
      <c r="AC15" s="4" t="str">
        <f t="shared" si="11"/>
        <v/>
      </c>
      <c r="AD15" s="4" t="str">
        <f t="shared" si="12"/>
        <v/>
      </c>
      <c r="AE15" s="4" t="str">
        <f t="shared" si="13"/>
        <v/>
      </c>
      <c r="AF15" s="4" t="str">
        <f t="shared" si="14"/>
        <v/>
      </c>
      <c r="AG15" s="4" t="str">
        <f t="shared" si="8"/>
        <v/>
      </c>
      <c r="AH15" s="4" t="str">
        <f t="shared" si="15"/>
        <v/>
      </c>
      <c r="AI15" s="2">
        <f t="shared" si="10"/>
        <v>0</v>
      </c>
    </row>
    <row r="16" spans="1:35">
      <c r="A16" s="1">
        <f>IF(Data!A16&gt;0,Data!A16-4,"")</f>
        <v>1</v>
      </c>
      <c r="B16" s="1">
        <f>IF(Data!B16&gt;0,Data!B16-4,"")</f>
        <v>3</v>
      </c>
      <c r="C16" s="1">
        <f>IF(Data!C16&gt;0,4-Data!C16,"")</f>
        <v>-2</v>
      </c>
      <c r="D16" s="1">
        <f>IF(Data!D16&gt;0,4-Data!D16,"")</f>
        <v>3</v>
      </c>
      <c r="E16" s="1">
        <f>IF(Data!E16&gt;0,4-Data!E16,"")</f>
        <v>2</v>
      </c>
      <c r="F16" s="1">
        <f>IF(Data!F16&gt;0,Data!F16-4,"")</f>
        <v>-1</v>
      </c>
      <c r="G16" s="1">
        <f>IF(Data!G16&gt;0,Data!G16-4,"")</f>
        <v>1</v>
      </c>
      <c r="H16" s="1">
        <f>IF(Data!H16&gt;0,Data!H16-4,"")</f>
        <v>3</v>
      </c>
      <c r="I16" s="1">
        <f>IF(Data!I16&gt;0,4-Data!I16,"")</f>
        <v>1</v>
      </c>
      <c r="J16" s="1">
        <f>IF(Data!J16&gt;0,4-Data!J16,"")</f>
        <v>1</v>
      </c>
      <c r="K16" s="1">
        <f>IF(Data!K16&gt;0,Data!K16-4,"")</f>
        <v>2</v>
      </c>
      <c r="L16" s="1">
        <f>IF(Data!L16&gt;0,4-Data!L16,"")</f>
        <v>2</v>
      </c>
      <c r="M16" s="1">
        <f>IF(Data!M16&gt;0,Data!M16-4,"")</f>
        <v>3</v>
      </c>
      <c r="N16" s="1">
        <f>IF(Data!N16&gt;0,Data!N16-4,"")</f>
        <v>3</v>
      </c>
      <c r="O16" s="1">
        <f>IF(Data!O16&gt;0,Data!O16-4,"")</f>
        <v>1</v>
      </c>
      <c r="P16" s="1">
        <f>IF(Data!P16&gt;0,Data!P16-4,"")</f>
        <v>3</v>
      </c>
      <c r="Q16" s="1">
        <f>IF(Data!Q16&gt;0,4-Data!Q16,"")</f>
        <v>-1</v>
      </c>
      <c r="R16" s="1">
        <f>IF(Data!R16&gt;0,4-Data!R16,"")</f>
        <v>2</v>
      </c>
      <c r="S16" s="1">
        <f>IF(Data!S16&gt;0,4-Data!S16,"")</f>
        <v>-1</v>
      </c>
      <c r="T16" s="1">
        <f>IF(Data!T16&gt;0,Data!T16-4,"")</f>
        <v>-1</v>
      </c>
      <c r="U16" s="1">
        <f>IF(Data!U16&gt;0,4-Data!U16,"")</f>
        <v>3</v>
      </c>
      <c r="V16" s="1">
        <f>IF(Data!V16&gt;0,Data!V16-4,"")</f>
        <v>3</v>
      </c>
      <c r="W16" s="1">
        <f>IF(Data!W16&gt;0,4-Data!W16,"")</f>
        <v>3</v>
      </c>
      <c r="X16" s="1">
        <f>IF(Data!X16&gt;0,4-Data!X16,"")</f>
        <v>0</v>
      </c>
      <c r="Y16" s="1">
        <f>IF(Data!Y16&gt;0,4-Data!Y16,"")</f>
        <v>3</v>
      </c>
      <c r="Z16" s="1">
        <f>IF(Data!Z16&gt;0,Data!Z16-4,"")</f>
        <v>3</v>
      </c>
      <c r="AC16" s="4" t="str">
        <f t="shared" si="11"/>
        <v/>
      </c>
      <c r="AD16" s="4" t="str">
        <f t="shared" si="12"/>
        <v/>
      </c>
      <c r="AE16" s="4">
        <f t="shared" si="13"/>
        <v>1</v>
      </c>
      <c r="AF16" s="4">
        <f t="shared" si="14"/>
        <v>1</v>
      </c>
      <c r="AG16" s="4" t="str">
        <f t="shared" si="8"/>
        <v/>
      </c>
      <c r="AH16" s="4">
        <f t="shared" si="15"/>
        <v>1</v>
      </c>
      <c r="AI16" s="2">
        <f t="shared" si="10"/>
        <v>3</v>
      </c>
    </row>
    <row r="17" spans="1:35">
      <c r="A17" s="1">
        <f>IF(Data!A17&gt;0,Data!A17-4,"")</f>
        <v>-1</v>
      </c>
      <c r="B17" s="1">
        <f>IF(Data!B17&gt;0,Data!B17-4,"")</f>
        <v>2</v>
      </c>
      <c r="C17" s="1">
        <f>IF(Data!C17&gt;0,4-Data!C17,"")</f>
        <v>-1</v>
      </c>
      <c r="D17" s="1">
        <f>IF(Data!D17&gt;0,4-Data!D17,"")</f>
        <v>3</v>
      </c>
      <c r="E17" s="1">
        <f>IF(Data!E17&gt;0,4-Data!E17,"")</f>
        <v>2</v>
      </c>
      <c r="F17" s="1">
        <f>IF(Data!F17&gt;0,Data!F17-4,"")</f>
        <v>-1</v>
      </c>
      <c r="G17" s="1">
        <f>IF(Data!G17&gt;0,Data!G17-4,"")</f>
        <v>1</v>
      </c>
      <c r="H17" s="1">
        <f>IF(Data!H17&gt;0,Data!H17-4,"")</f>
        <v>1</v>
      </c>
      <c r="I17" s="1">
        <f>IF(Data!I17&gt;0,4-Data!I17,"")</f>
        <v>2</v>
      </c>
      <c r="J17" s="1">
        <f>IF(Data!J17&gt;0,4-Data!J17,"")</f>
        <v>3</v>
      </c>
      <c r="K17" s="1">
        <f>IF(Data!K17&gt;0,Data!K17-4,"")</f>
        <v>1</v>
      </c>
      <c r="L17" s="1">
        <f>IF(Data!L17&gt;0,4-Data!L17,"")</f>
        <v>2</v>
      </c>
      <c r="M17" s="1">
        <f>IF(Data!M17&gt;0,Data!M17-4,"")</f>
        <v>3</v>
      </c>
      <c r="N17" s="1">
        <f>IF(Data!N17&gt;0,Data!N17-4,"")</f>
        <v>2</v>
      </c>
      <c r="O17" s="1">
        <f>IF(Data!O17&gt;0,Data!O17-4,"")</f>
        <v>-2</v>
      </c>
      <c r="P17" s="1">
        <f>IF(Data!P17&gt;0,Data!P17-4,"")</f>
        <v>2</v>
      </c>
      <c r="Q17" s="1">
        <f>IF(Data!Q17&gt;0,4-Data!Q17,"")</f>
        <v>-3</v>
      </c>
      <c r="R17" s="1">
        <f>IF(Data!R17&gt;0,4-Data!R17,"")</f>
        <v>1</v>
      </c>
      <c r="S17" s="1">
        <f>IF(Data!S17&gt;0,4-Data!S17,"")</f>
        <v>1</v>
      </c>
      <c r="T17" s="1">
        <f>IF(Data!T17&gt;0,Data!T17-4,"")</f>
        <v>2</v>
      </c>
      <c r="U17" s="1">
        <f>IF(Data!U17&gt;0,4-Data!U17,"")</f>
        <v>2</v>
      </c>
      <c r="V17" s="1">
        <f>IF(Data!V17&gt;0,Data!V17-4,"")</f>
        <v>2</v>
      </c>
      <c r="W17" s="1">
        <f>IF(Data!W17&gt;0,4-Data!W17,"")</f>
        <v>1</v>
      </c>
      <c r="X17" s="1">
        <f>IF(Data!X17&gt;0,4-Data!X17,"")</f>
        <v>2</v>
      </c>
      <c r="Y17" s="1">
        <f>IF(Data!Y17&gt;0,4-Data!Y17,"")</f>
        <v>2</v>
      </c>
      <c r="Z17" s="1">
        <f>IF(Data!Z17&gt;0,Data!Z17-4,"")</f>
        <v>3</v>
      </c>
      <c r="AC17" s="4" t="str">
        <f t="shared" si="11"/>
        <v/>
      </c>
      <c r="AD17" s="4" t="str">
        <f t="shared" si="12"/>
        <v/>
      </c>
      <c r="AE17" s="4" t="str">
        <f t="shared" si="13"/>
        <v/>
      </c>
      <c r="AF17" s="4">
        <f t="shared" si="14"/>
        <v>1</v>
      </c>
      <c r="AG17" s="4" t="str">
        <f t="shared" si="8"/>
        <v/>
      </c>
      <c r="AH17" s="4">
        <f t="shared" si="15"/>
        <v>1</v>
      </c>
      <c r="AI17" s="2">
        <f t="shared" si="10"/>
        <v>2</v>
      </c>
    </row>
    <row r="18" spans="1:35">
      <c r="A18" s="1">
        <f>IF(Data!A18&gt;0,Data!A18-4,"")</f>
        <v>1</v>
      </c>
      <c r="B18" s="1">
        <f>IF(Data!B18&gt;0,Data!B18-4,"")</f>
        <v>1</v>
      </c>
      <c r="C18" s="1">
        <f>IF(Data!C18&gt;0,4-Data!C18,"")</f>
        <v>2</v>
      </c>
      <c r="D18" s="1">
        <f>IF(Data!D18&gt;0,4-Data!D18,"")</f>
        <v>3</v>
      </c>
      <c r="E18" s="1">
        <f>IF(Data!E18&gt;0,4-Data!E18,"")</f>
        <v>0</v>
      </c>
      <c r="F18" s="1">
        <f>IF(Data!F18&gt;0,Data!F18-4,"")</f>
        <v>1</v>
      </c>
      <c r="G18" s="1">
        <f>IF(Data!G18&gt;0,Data!G18-4,"")</f>
        <v>1</v>
      </c>
      <c r="H18" s="1">
        <f>IF(Data!H18&gt;0,Data!H18-4,"")</f>
        <v>3</v>
      </c>
      <c r="I18" s="1">
        <f>IF(Data!I18&gt;0,4-Data!I18,"")</f>
        <v>2</v>
      </c>
      <c r="J18" s="1">
        <f>IF(Data!J18&gt;0,4-Data!J18,"")</f>
        <v>1</v>
      </c>
      <c r="K18" s="1">
        <f>IF(Data!K18&gt;0,Data!K18-4,"")</f>
        <v>1</v>
      </c>
      <c r="L18" s="1">
        <f>IF(Data!L18&gt;0,4-Data!L18,"")</f>
        <v>2</v>
      </c>
      <c r="M18" s="1">
        <f>IF(Data!M18&gt;0,Data!M18-4,"")</f>
        <v>2</v>
      </c>
      <c r="N18" s="1">
        <f>IF(Data!N18&gt;0,Data!N18-4,"")</f>
        <v>2</v>
      </c>
      <c r="O18" s="1">
        <f>IF(Data!O18&gt;0,Data!O18-4,"")</f>
        <v>2</v>
      </c>
      <c r="P18" s="1">
        <f>IF(Data!P18&gt;0,Data!P18-4,"")</f>
        <v>2</v>
      </c>
      <c r="Q18" s="1">
        <f>IF(Data!Q18&gt;0,4-Data!Q18,"")</f>
        <v>2</v>
      </c>
      <c r="R18" s="1">
        <f>IF(Data!R18&gt;0,4-Data!R18,"")</f>
        <v>2</v>
      </c>
      <c r="S18" s="1">
        <f>IF(Data!S18&gt;0,4-Data!S18,"")</f>
        <v>2</v>
      </c>
      <c r="T18" s="1">
        <f>IF(Data!T18&gt;0,Data!T18-4,"")</f>
        <v>0</v>
      </c>
      <c r="U18" s="1">
        <f>IF(Data!U18&gt;0,4-Data!U18,"")</f>
        <v>2</v>
      </c>
      <c r="V18" s="1">
        <f>IF(Data!V18&gt;0,Data!V18-4,"")</f>
        <v>2</v>
      </c>
      <c r="W18" s="1">
        <f>IF(Data!W18&gt;0,4-Data!W18,"")</f>
        <v>3</v>
      </c>
      <c r="X18" s="1">
        <f>IF(Data!X18&gt;0,4-Data!X18,"")</f>
        <v>1</v>
      </c>
      <c r="Y18" s="1">
        <f>IF(Data!Y18&gt;0,4-Data!Y18,"")</f>
        <v>1</v>
      </c>
      <c r="Z18" s="1">
        <f>IF(Data!Z18&gt;0,Data!Z18-4,"")</f>
        <v>2</v>
      </c>
      <c r="AC18" s="4" t="str">
        <f t="shared" si="11"/>
        <v/>
      </c>
      <c r="AD18" s="4" t="str">
        <f t="shared" si="12"/>
        <v/>
      </c>
      <c r="AE18" s="4" t="str">
        <f t="shared" si="13"/>
        <v/>
      </c>
      <c r="AF18" s="4" t="str">
        <f t="shared" si="14"/>
        <v/>
      </c>
      <c r="AG18" s="4" t="str">
        <f t="shared" si="8"/>
        <v/>
      </c>
      <c r="AH18" s="4" t="str">
        <f t="shared" si="15"/>
        <v/>
      </c>
      <c r="AI18" s="2">
        <f t="shared" si="10"/>
        <v>0</v>
      </c>
    </row>
    <row r="19" spans="1:35">
      <c r="A19" s="1">
        <f>IF(Data!A19&gt;0,Data!A19-4,"")</f>
        <v>1</v>
      </c>
      <c r="B19" s="1">
        <f>IF(Data!B19&gt;0,Data!B19-4,"")</f>
        <v>0</v>
      </c>
      <c r="C19" s="1">
        <f>IF(Data!C19&gt;0,4-Data!C19,"")</f>
        <v>-1</v>
      </c>
      <c r="D19" s="1">
        <f>IF(Data!D19&gt;0,4-Data!D19,"")</f>
        <v>2</v>
      </c>
      <c r="E19" s="1">
        <f>IF(Data!E19&gt;0,4-Data!E19,"")</f>
        <v>1</v>
      </c>
      <c r="F19" s="1">
        <f>IF(Data!F19&gt;0,Data!F19-4,"")</f>
        <v>-1</v>
      </c>
      <c r="G19" s="1">
        <f>IF(Data!G19&gt;0,Data!G19-4,"")</f>
        <v>1</v>
      </c>
      <c r="H19" s="1">
        <f>IF(Data!H19&gt;0,Data!H19-4,"")</f>
        <v>2</v>
      </c>
      <c r="I19" s="1">
        <f>IF(Data!I19&gt;0,4-Data!I19,"")</f>
        <v>1</v>
      </c>
      <c r="J19" s="1">
        <f>IF(Data!J19&gt;0,4-Data!J19,"")</f>
        <v>0</v>
      </c>
      <c r="K19" s="1">
        <f>IF(Data!K19&gt;0,Data!K19-4,"")</f>
        <v>0</v>
      </c>
      <c r="L19" s="1">
        <f>IF(Data!L19&gt;0,4-Data!L19,"")</f>
        <v>1</v>
      </c>
      <c r="M19" s="1">
        <f>IF(Data!M19&gt;0,Data!M19-4,"")</f>
        <v>2</v>
      </c>
      <c r="N19" s="1">
        <f>IF(Data!N19&gt;0,Data!N19-4,"")</f>
        <v>1</v>
      </c>
      <c r="O19" s="1">
        <f>IF(Data!O19&gt;0,Data!O19-4,"")</f>
        <v>1</v>
      </c>
      <c r="P19" s="1">
        <f>IF(Data!P19&gt;0,Data!P19-4,"")</f>
        <v>1</v>
      </c>
      <c r="Q19" s="1">
        <f>IF(Data!Q19&gt;0,4-Data!Q19,"")</f>
        <v>0</v>
      </c>
      <c r="R19" s="1">
        <f>IF(Data!R19&gt;0,4-Data!R19,"")</f>
        <v>1</v>
      </c>
      <c r="S19" s="1">
        <f>IF(Data!S19&gt;0,4-Data!S19,"")</f>
        <v>1</v>
      </c>
      <c r="T19" s="1">
        <f>IF(Data!T19&gt;0,Data!T19-4,"")</f>
        <v>0</v>
      </c>
      <c r="U19" s="1">
        <f>IF(Data!U19&gt;0,4-Data!U19,"")</f>
        <v>1</v>
      </c>
      <c r="V19" s="1">
        <f>IF(Data!V19&gt;0,Data!V19-4,"")</f>
        <v>1</v>
      </c>
      <c r="W19" s="1">
        <f>IF(Data!W19&gt;0,4-Data!W19,"")</f>
        <v>1</v>
      </c>
      <c r="X19" s="1">
        <f>IF(Data!X19&gt;0,4-Data!X19,"")</f>
        <v>0</v>
      </c>
      <c r="Y19" s="1">
        <f>IF(Data!Y19&gt;0,4-Data!Y19,"")</f>
        <v>1</v>
      </c>
      <c r="Z19" s="1">
        <f>IF(Data!Z19&gt;0,Data!Z19-4,"")</f>
        <v>1</v>
      </c>
      <c r="AC19" s="4" t="str">
        <f t="shared" si="11"/>
        <v/>
      </c>
      <c r="AD19" s="4" t="str">
        <f t="shared" si="12"/>
        <v/>
      </c>
      <c r="AE19" s="4" t="str">
        <f t="shared" si="13"/>
        <v/>
      </c>
      <c r="AF19" s="4" t="str">
        <f t="shared" si="14"/>
        <v/>
      </c>
      <c r="AG19" s="4" t="str">
        <f t="shared" si="8"/>
        <v/>
      </c>
      <c r="AH19" s="4" t="str">
        <f t="shared" si="15"/>
        <v/>
      </c>
      <c r="AI19" s="2">
        <f t="shared" si="10"/>
        <v>0</v>
      </c>
    </row>
    <row r="20" spans="1:35">
      <c r="A20" s="1">
        <f>IF(Data!A20&gt;0,Data!A20-4,"")</f>
        <v>0</v>
      </c>
      <c r="B20" s="1">
        <f>IF(Data!B20&gt;0,Data!B20-4,"")</f>
        <v>2</v>
      </c>
      <c r="C20" s="1">
        <f>IF(Data!C20&gt;0,4-Data!C20,"")</f>
        <v>0</v>
      </c>
      <c r="D20" s="1">
        <f>IF(Data!D20&gt;0,4-Data!D20,"")</f>
        <v>3</v>
      </c>
      <c r="E20" s="1">
        <f>IF(Data!E20&gt;0,4-Data!E20,"")</f>
        <v>-2</v>
      </c>
      <c r="F20" s="1">
        <f>IF(Data!F20&gt;0,Data!F20-4,"")</f>
        <v>-1</v>
      </c>
      <c r="G20" s="1">
        <f>IF(Data!G20&gt;0,Data!G20-4,"")</f>
        <v>1</v>
      </c>
      <c r="H20" s="1">
        <f>IF(Data!H20&gt;0,Data!H20-4,"")</f>
        <v>3</v>
      </c>
      <c r="I20" s="1">
        <f>IF(Data!I20&gt;0,4-Data!I20,"")</f>
        <v>0</v>
      </c>
      <c r="J20" s="1">
        <f>IF(Data!J20&gt;0,4-Data!J20,"")</f>
        <v>3</v>
      </c>
      <c r="K20" s="1">
        <f>IF(Data!K20&gt;0,Data!K20-4,"")</f>
        <v>0</v>
      </c>
      <c r="L20" s="1">
        <f>IF(Data!L20&gt;0,4-Data!L20,"")</f>
        <v>1</v>
      </c>
      <c r="M20" s="1">
        <f>IF(Data!M20&gt;0,Data!M20-4,"")</f>
        <v>2</v>
      </c>
      <c r="N20" s="1">
        <f>IF(Data!N20&gt;0,Data!N20-4,"")</f>
        <v>-1</v>
      </c>
      <c r="O20" s="1">
        <f>IF(Data!O20&gt;0,Data!O20-4,"")</f>
        <v>0</v>
      </c>
      <c r="P20" s="1">
        <f>IF(Data!P20&gt;0,Data!P20-4,"")</f>
        <v>0</v>
      </c>
      <c r="Q20" s="1">
        <f>IF(Data!Q20&gt;0,4-Data!Q20,"")</f>
        <v>1</v>
      </c>
      <c r="R20" s="1">
        <f>IF(Data!R20&gt;0,4-Data!R20,"")</f>
        <v>0</v>
      </c>
      <c r="S20" s="1">
        <f>IF(Data!S20&gt;0,4-Data!S20,"")</f>
        <v>-2</v>
      </c>
      <c r="T20" s="1">
        <f>IF(Data!T20&gt;0,Data!T20-4,"")</f>
        <v>-1</v>
      </c>
      <c r="U20" s="1">
        <f>IF(Data!U20&gt;0,4-Data!U20,"")</f>
        <v>2</v>
      </c>
      <c r="V20" s="1">
        <f>IF(Data!V20&gt;0,Data!V20-4,"")</f>
        <v>2</v>
      </c>
      <c r="W20" s="1">
        <f>IF(Data!W20&gt;0,4-Data!W20,"")</f>
        <v>3</v>
      </c>
      <c r="X20" s="1">
        <f>IF(Data!X20&gt;0,4-Data!X20,"")</f>
        <v>-1</v>
      </c>
      <c r="Y20" s="1">
        <f>IF(Data!Y20&gt;0,4-Data!Y20,"")</f>
        <v>2</v>
      </c>
      <c r="Z20" s="1">
        <f>IF(Data!Z20&gt;0,Data!Z20-4,"")</f>
        <v>2</v>
      </c>
      <c r="AC20" s="4" t="str">
        <f t="shared" si="11"/>
        <v/>
      </c>
      <c r="AD20" s="4" t="str">
        <f t="shared" si="12"/>
        <v/>
      </c>
      <c r="AE20" s="4">
        <f t="shared" si="13"/>
        <v>1</v>
      </c>
      <c r="AF20" s="4">
        <f t="shared" si="14"/>
        <v>1</v>
      </c>
      <c r="AG20" s="4" t="str">
        <f t="shared" si="8"/>
        <v/>
      </c>
      <c r="AH20" s="4" t="str">
        <f t="shared" si="15"/>
        <v/>
      </c>
      <c r="AI20" s="2">
        <f t="shared" si="10"/>
        <v>2</v>
      </c>
    </row>
    <row r="21" spans="1:35">
      <c r="A21" s="1">
        <f>IF(Data!A21&gt;0,Data!A21-4,"")</f>
        <v>0</v>
      </c>
      <c r="B21" s="1">
        <f>IF(Data!B21&gt;0,Data!B21-4,"")</f>
        <v>3</v>
      </c>
      <c r="C21" s="1">
        <f>IF(Data!C21&gt;0,4-Data!C21,"")</f>
        <v>-2</v>
      </c>
      <c r="D21" s="1">
        <f>IF(Data!D21&gt;0,4-Data!D21,"")</f>
        <v>3</v>
      </c>
      <c r="E21" s="1">
        <f>IF(Data!E21&gt;0,4-Data!E21,"")</f>
        <v>0</v>
      </c>
      <c r="F21" s="1">
        <f>IF(Data!F21&gt;0,Data!F21-4,"")</f>
        <v>-1</v>
      </c>
      <c r="G21" s="1">
        <f>IF(Data!G21&gt;0,Data!G21-4,"")</f>
        <v>-1</v>
      </c>
      <c r="H21" s="1">
        <f>IF(Data!H21&gt;0,Data!H21-4,"")</f>
        <v>2</v>
      </c>
      <c r="I21" s="1">
        <f>IF(Data!I21&gt;0,4-Data!I21,"")</f>
        <v>1</v>
      </c>
      <c r="J21" s="1">
        <f>IF(Data!J21&gt;0,4-Data!J21,"")</f>
        <v>2</v>
      </c>
      <c r="K21" s="1">
        <f>IF(Data!K21&gt;0,Data!K21-4,"")</f>
        <v>0</v>
      </c>
      <c r="L21" s="1">
        <f>IF(Data!L21&gt;0,4-Data!L21,"")</f>
        <v>2</v>
      </c>
      <c r="M21" s="1">
        <f>IF(Data!M21&gt;0,Data!M21-4,"")</f>
        <v>3</v>
      </c>
      <c r="N21" s="1">
        <f>IF(Data!N21&gt;0,Data!N21-4,"")</f>
        <v>2</v>
      </c>
      <c r="O21" s="1">
        <f>IF(Data!O21&gt;0,Data!O21-4,"")</f>
        <v>1</v>
      </c>
      <c r="P21" s="1">
        <f>IF(Data!P21&gt;0,Data!P21-4,"")</f>
        <v>2</v>
      </c>
      <c r="Q21" s="1">
        <f>IF(Data!Q21&gt;0,4-Data!Q21,"")</f>
        <v>-1</v>
      </c>
      <c r="R21" s="1">
        <f>IF(Data!R21&gt;0,4-Data!R21,"")</f>
        <v>-1</v>
      </c>
      <c r="S21" s="1">
        <f>IF(Data!S21&gt;0,4-Data!S21,"")</f>
        <v>1</v>
      </c>
      <c r="T21" s="1">
        <f>IF(Data!T21&gt;0,Data!T21-4,"")</f>
        <v>-1</v>
      </c>
      <c r="U21" s="1">
        <f>IF(Data!U21&gt;0,4-Data!U21,"")</f>
        <v>2</v>
      </c>
      <c r="V21" s="1">
        <f>IF(Data!V21&gt;0,Data!V21-4,"")</f>
        <v>-1</v>
      </c>
      <c r="W21" s="1">
        <f>IF(Data!W21&gt;0,4-Data!W21,"")</f>
        <v>2</v>
      </c>
      <c r="X21" s="1">
        <f>IF(Data!X21&gt;0,4-Data!X21,"")</f>
        <v>2</v>
      </c>
      <c r="Y21" s="1">
        <f>IF(Data!Y21&gt;0,4-Data!Y21,"")</f>
        <v>3</v>
      </c>
      <c r="Z21" s="1">
        <f>IF(Data!Z21&gt;0,Data!Z21-4,"")</f>
        <v>1</v>
      </c>
      <c r="AC21" s="4" t="str">
        <f t="shared" si="11"/>
        <v/>
      </c>
      <c r="AD21" s="4" t="str">
        <f t="shared" si="12"/>
        <v/>
      </c>
      <c r="AE21" s="4" t="str">
        <f t="shared" si="13"/>
        <v/>
      </c>
      <c r="AF21" s="4" t="str">
        <f t="shared" si="14"/>
        <v/>
      </c>
      <c r="AG21" s="4" t="str">
        <f t="shared" si="8"/>
        <v/>
      </c>
      <c r="AH21" s="4">
        <f t="shared" si="15"/>
        <v>1</v>
      </c>
      <c r="AI21" s="2">
        <f t="shared" si="10"/>
        <v>1</v>
      </c>
    </row>
    <row r="22" spans="1:35">
      <c r="A22" s="1">
        <f>IF(Data!A22&gt;0,Data!A22-4,"")</f>
        <v>2</v>
      </c>
      <c r="B22" s="1">
        <f>IF(Data!B22&gt;0,Data!B22-4,"")</f>
        <v>2</v>
      </c>
      <c r="C22" s="1">
        <f>IF(Data!C22&gt;0,4-Data!C22,"")</f>
        <v>0</v>
      </c>
      <c r="D22" s="1">
        <f>IF(Data!D22&gt;0,4-Data!D22,"")</f>
        <v>2</v>
      </c>
      <c r="E22" s="1">
        <f>IF(Data!E22&gt;0,4-Data!E22,"")</f>
        <v>0</v>
      </c>
      <c r="F22" s="1">
        <f>IF(Data!F22&gt;0,Data!F22-4,"")</f>
        <v>-1</v>
      </c>
      <c r="G22" s="1">
        <f>IF(Data!G22&gt;0,Data!G22-4,"")</f>
        <v>0</v>
      </c>
      <c r="H22" s="1">
        <f>IF(Data!H22&gt;0,Data!H22-4,"")</f>
        <v>1</v>
      </c>
      <c r="I22" s="1">
        <f>IF(Data!I22&gt;0,4-Data!I22,"")</f>
        <v>1</v>
      </c>
      <c r="J22" s="1">
        <f>IF(Data!J22&gt;0,4-Data!J22,"")</f>
        <v>0</v>
      </c>
      <c r="K22" s="1">
        <f>IF(Data!K22&gt;0,Data!K22-4,"")</f>
        <v>0</v>
      </c>
      <c r="L22" s="1">
        <f>IF(Data!L22&gt;0,4-Data!L22,"")</f>
        <v>1</v>
      </c>
      <c r="M22" s="1">
        <f>IF(Data!M22&gt;0,Data!M22-4,"")</f>
        <v>3</v>
      </c>
      <c r="N22" s="1">
        <f>IF(Data!N22&gt;0,Data!N22-4,"")</f>
        <v>2</v>
      </c>
      <c r="O22" s="1">
        <f>IF(Data!O22&gt;0,Data!O22-4,"")</f>
        <v>-1</v>
      </c>
      <c r="P22" s="1">
        <f>IF(Data!P22&gt;0,Data!P22-4,"")</f>
        <v>2</v>
      </c>
      <c r="Q22" s="1">
        <f>IF(Data!Q22&gt;0,4-Data!Q22,"")</f>
        <v>0</v>
      </c>
      <c r="R22" s="1">
        <f>IF(Data!R22&gt;0,4-Data!R22,"")</f>
        <v>0</v>
      </c>
      <c r="S22" s="1">
        <f>IF(Data!S22&gt;0,4-Data!S22,"")</f>
        <v>1</v>
      </c>
      <c r="T22" s="1">
        <f>IF(Data!T22&gt;0,Data!T22-4,"")</f>
        <v>2</v>
      </c>
      <c r="U22" s="1">
        <f>IF(Data!U22&gt;0,4-Data!U22,"")</f>
        <v>2</v>
      </c>
      <c r="V22" s="1">
        <f>IF(Data!V22&gt;0,Data!V22-4,"")</f>
        <v>2</v>
      </c>
      <c r="W22" s="1">
        <f>IF(Data!W22&gt;0,4-Data!W22,"")</f>
        <v>0</v>
      </c>
      <c r="X22" s="1">
        <f>IF(Data!X22&gt;0,4-Data!X22,"")</f>
        <v>1</v>
      </c>
      <c r="Y22" s="1">
        <f>IF(Data!Y22&gt;0,4-Data!Y22,"")</f>
        <v>1</v>
      </c>
      <c r="Z22" s="1">
        <f>IF(Data!Z22&gt;0,Data!Z22-4,"")</f>
        <v>0</v>
      </c>
      <c r="AC22" s="4" t="str">
        <f t="shared" si="11"/>
        <v/>
      </c>
      <c r="AD22" s="4" t="str">
        <f t="shared" si="12"/>
        <v/>
      </c>
      <c r="AE22" s="4" t="str">
        <f t="shared" si="13"/>
        <v/>
      </c>
      <c r="AF22" s="4" t="str">
        <f t="shared" si="14"/>
        <v/>
      </c>
      <c r="AG22" s="4" t="str">
        <f t="shared" si="8"/>
        <v/>
      </c>
      <c r="AH22" s="4" t="str">
        <f t="shared" si="15"/>
        <v/>
      </c>
      <c r="AI22" s="2">
        <f t="shared" si="10"/>
        <v>0</v>
      </c>
    </row>
    <row r="23" spans="1:35">
      <c r="A23" s="1">
        <f>IF(Data!A23&gt;0,Data!A23-4,"")</f>
        <v>1</v>
      </c>
      <c r="B23" s="1">
        <f>IF(Data!B23&gt;0,Data!B23-4,"")</f>
        <v>2</v>
      </c>
      <c r="C23" s="1">
        <f>IF(Data!C23&gt;0,4-Data!C23,"")</f>
        <v>1</v>
      </c>
      <c r="D23" s="1">
        <f>IF(Data!D23&gt;0,4-Data!D23,"")</f>
        <v>-1</v>
      </c>
      <c r="E23" s="1">
        <f>IF(Data!E23&gt;0,4-Data!E23,"")</f>
        <v>-1</v>
      </c>
      <c r="F23" s="1">
        <f>IF(Data!F23&gt;0,Data!F23-4,"")</f>
        <v>-1</v>
      </c>
      <c r="G23" s="1">
        <f>IF(Data!G23&gt;0,Data!G23-4,"")</f>
        <v>0</v>
      </c>
      <c r="H23" s="1">
        <f>IF(Data!H23&gt;0,Data!H23-4,"")</f>
        <v>1</v>
      </c>
      <c r="I23" s="1">
        <f>IF(Data!I23&gt;0,4-Data!I23,"")</f>
        <v>2</v>
      </c>
      <c r="J23" s="1">
        <f>IF(Data!J23&gt;0,4-Data!J23,"")</f>
        <v>0</v>
      </c>
      <c r="K23" s="1">
        <f>IF(Data!K23&gt;0,Data!K23-4,"")</f>
        <v>1</v>
      </c>
      <c r="L23" s="1">
        <f>IF(Data!L23&gt;0,4-Data!L23,"")</f>
        <v>2</v>
      </c>
      <c r="M23" s="1">
        <f>IF(Data!M23&gt;0,Data!M23-4,"")</f>
        <v>2</v>
      </c>
      <c r="N23" s="1">
        <f>IF(Data!N23&gt;0,Data!N23-4,"")</f>
        <v>1</v>
      </c>
      <c r="O23" s="1">
        <f>IF(Data!O23&gt;0,Data!O23-4,"")</f>
        <v>-1</v>
      </c>
      <c r="P23" s="1">
        <f>IF(Data!P23&gt;0,Data!P23-4,"")</f>
        <v>1</v>
      </c>
      <c r="Q23" s="1">
        <f>IF(Data!Q23&gt;0,4-Data!Q23,"")</f>
        <v>0</v>
      </c>
      <c r="R23" s="1">
        <f>IF(Data!R23&gt;0,4-Data!R23,"")</f>
        <v>2</v>
      </c>
      <c r="S23" s="1">
        <f>IF(Data!S23&gt;0,4-Data!S23,"")</f>
        <v>2</v>
      </c>
      <c r="T23" s="1">
        <f>IF(Data!T23&gt;0,Data!T23-4,"")</f>
        <v>1</v>
      </c>
      <c r="U23" s="1">
        <f>IF(Data!U23&gt;0,4-Data!U23,"")</f>
        <v>-1</v>
      </c>
      <c r="V23" s="1">
        <f>IF(Data!V23&gt;0,Data!V23-4,"")</f>
        <v>0</v>
      </c>
      <c r="W23" s="1">
        <f>IF(Data!W23&gt;0,4-Data!W23,"")</f>
        <v>0</v>
      </c>
      <c r="X23" s="1">
        <f>IF(Data!X23&gt;0,4-Data!X23,"")</f>
        <v>2</v>
      </c>
      <c r="Y23" s="1">
        <f>IF(Data!Y23&gt;0,4-Data!Y23,"")</f>
        <v>1</v>
      </c>
      <c r="Z23" s="1">
        <f>IF(Data!Z23&gt;0,Data!Z23-4,"")</f>
        <v>0</v>
      </c>
      <c r="AC23" s="4" t="str">
        <f t="shared" si="11"/>
        <v/>
      </c>
      <c r="AD23" s="4" t="str">
        <f t="shared" si="12"/>
        <v/>
      </c>
      <c r="AE23" s="4" t="str">
        <f t="shared" si="13"/>
        <v/>
      </c>
      <c r="AF23" s="4" t="str">
        <f t="shared" si="14"/>
        <v/>
      </c>
      <c r="AG23" s="4" t="str">
        <f t="shared" si="8"/>
        <v/>
      </c>
      <c r="AH23" s="4" t="str">
        <f t="shared" si="15"/>
        <v/>
      </c>
      <c r="AI23" s="2">
        <f t="shared" si="10"/>
        <v>0</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baseColWidth="10" defaultColWidth="8.83203125" defaultRowHeight="15"/>
  <cols>
    <col min="1" max="1" width="28" customWidth="1"/>
    <col min="2" max="2" width="18.1640625" customWidth="1"/>
    <col min="3" max="5" width="18.33203125" customWidth="1"/>
    <col min="6" max="6" width="18.5" customWidth="1"/>
    <col min="7" max="7" width="18.33203125" customWidth="1"/>
  </cols>
  <sheetData>
    <row r="1" spans="1:7" ht="21">
      <c r="A1" s="185" t="s">
        <v>831</v>
      </c>
      <c r="B1" s="185"/>
      <c r="C1" s="185"/>
      <c r="D1" s="185"/>
      <c r="E1" s="185"/>
      <c r="F1" s="185"/>
      <c r="G1" s="185"/>
    </row>
    <row r="2" spans="1:7" ht="184.75" customHeight="1">
      <c r="A2" s="175" t="s">
        <v>832</v>
      </c>
      <c r="B2" s="175"/>
      <c r="C2" s="175"/>
      <c r="D2" s="175"/>
      <c r="E2" s="175"/>
      <c r="F2" s="175"/>
      <c r="G2" s="175"/>
    </row>
    <row r="3" spans="1:7">
      <c r="A3" s="98" t="s">
        <v>110</v>
      </c>
      <c r="B3" s="91" t="s">
        <v>829</v>
      </c>
    </row>
    <row r="4" spans="1:7">
      <c r="A4" s="30" t="str">
        <f>VLOOKUP(Read_First!B5,Items!A1:BI50,54,FALSE)</f>
        <v>Attractiveness</v>
      </c>
      <c r="B4" s="7">
        <f>SQRT(VAR(DT!AC4:AC1004))</f>
        <v>1.0151988253395297</v>
      </c>
    </row>
    <row r="5" spans="1:7">
      <c r="A5" s="30" t="str">
        <f>VLOOKUP(Read_First!B5,Items!A1:BI50,55,FALSE)</f>
        <v>Perspicuity</v>
      </c>
      <c r="B5" s="7">
        <f>SQRT(VAR(DT!AD4:AD1004))</f>
        <v>0.74901250780084117</v>
      </c>
    </row>
    <row r="6" spans="1:7">
      <c r="A6" s="30" t="str">
        <f>VLOOKUP(Read_First!B5,Items!A1:BI50,56,FALSE)</f>
        <v>Efficiency</v>
      </c>
      <c r="B6" s="7">
        <f>SQRT(VAR(DT!AE4:AE1004))</f>
        <v>0.77332161213137818</v>
      </c>
    </row>
    <row r="7" spans="1:7">
      <c r="A7" s="30" t="str">
        <f>VLOOKUP(Read_First!B5,Items!A1:BI50,57,FALSE)</f>
        <v>Dependability</v>
      </c>
      <c r="B7" s="7">
        <f>SQRT(VAR(DT!AF4:AF1004))</f>
        <v>0.83695485006816916</v>
      </c>
    </row>
    <row r="8" spans="1:7">
      <c r="A8" s="30" t="str">
        <f>VLOOKUP(Read_First!B5,Items!A1:BI50,58,FALSE)</f>
        <v>Stimulation</v>
      </c>
      <c r="B8" s="7">
        <f>SQRT(VAR(DT!AG4:AG1004))</f>
        <v>0.81716776606443353</v>
      </c>
    </row>
    <row r="9" spans="1:7">
      <c r="A9" s="30" t="str">
        <f>VLOOKUP(Read_First!B5,Items!A1:BI50,59,FALSE)</f>
        <v>Novelty</v>
      </c>
      <c r="B9" s="7">
        <f>SQRT(VAR(DT!AH4:AH1004))</f>
        <v>0.8783769422244524</v>
      </c>
    </row>
    <row r="11" spans="1:7">
      <c r="A11" s="103" t="s">
        <v>830</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c r="A12" s="105" t="s">
        <v>833</v>
      </c>
      <c r="B12" s="4">
        <f>POWER((1.65*B4)/0.5,2)</f>
        <v>11.223546052631585</v>
      </c>
      <c r="C12" s="4">
        <f>POWER((1.65*B5)/0.5,2)</f>
        <v>6.1095049342105252</v>
      </c>
      <c r="D12" s="4">
        <f>POWER((1.65*B6)/0.5,2)</f>
        <v>6.5125065789473693</v>
      </c>
      <c r="E12" s="4">
        <f>POWER((1.65*B7)/0.5,2)</f>
        <v>7.6283733552631565</v>
      </c>
      <c r="F12" s="4">
        <f>POWER((1.65*B8)/0.5,2)</f>
        <v>7.2719407894736818</v>
      </c>
      <c r="G12" s="4">
        <f>POWER((1.65*B9)/0.5,2)</f>
        <v>8.4021365131578953</v>
      </c>
    </row>
    <row r="13" spans="1:7">
      <c r="A13" s="105" t="s">
        <v>834</v>
      </c>
      <c r="B13" s="4">
        <f>POWER((1.96*B4)/0.5,2)</f>
        <v>15.837052163742699</v>
      </c>
      <c r="C13" s="4">
        <f>POWER((1.96*B5)/0.5,2)</f>
        <v>8.620853684210525</v>
      </c>
      <c r="D13" s="4">
        <f>POWER((1.96*B6)/0.5,2)</f>
        <v>9.1895115789473696</v>
      </c>
      <c r="E13" s="4">
        <f>POWER((1.96*B7)/0.5,2)</f>
        <v>10.764062105263156</v>
      </c>
      <c r="F13" s="4">
        <f>POWER((1.96*B8)/0.5,2)</f>
        <v>10.261115789473681</v>
      </c>
      <c r="G13" s="4">
        <f>POWER((1.96*B9)/0.5,2)</f>
        <v>11.855885263157896</v>
      </c>
    </row>
    <row r="14" spans="1:7">
      <c r="A14" s="105" t="s">
        <v>835</v>
      </c>
      <c r="B14" s="4">
        <f>POWER((2.58*B4)/0.5,2)</f>
        <v>27.441106315789494</v>
      </c>
      <c r="C14" s="4">
        <f>POWER((2.58*B5)/0.5,2)</f>
        <v>14.937487105263154</v>
      </c>
      <c r="D14" s="4">
        <f>POWER((2.58*B6)/0.5,2)</f>
        <v>15.922809473684211</v>
      </c>
      <c r="E14" s="4">
        <f>POWER((2.58*B7)/0.5,2)</f>
        <v>18.651057631578951</v>
      </c>
      <c r="F14" s="4">
        <f>POWER((2.58*B8)/0.5,2)</f>
        <v>17.779594736842103</v>
      </c>
      <c r="G14" s="4">
        <f>POWER((2.58*B9)/0.5,2)</f>
        <v>20.542876578947372</v>
      </c>
    </row>
    <row r="15" spans="1:7">
      <c r="A15" s="105" t="s">
        <v>836</v>
      </c>
      <c r="B15" s="4">
        <f>POWER((1.65*B4)/0.25,2)</f>
        <v>44.89418421052634</v>
      </c>
      <c r="C15" s="4">
        <f>POWER((1.65*B5)/0.25,2)</f>
        <v>24.438019736842101</v>
      </c>
      <c r="D15" s="4">
        <f>POWER((1.65*B6)/0.25,2)</f>
        <v>26.050026315789477</v>
      </c>
      <c r="E15" s="4">
        <f>POWER((1.65*B7)/0.25,2)</f>
        <v>30.513493421052626</v>
      </c>
      <c r="F15" s="4">
        <f>POWER((1.65*B8)/0.25,2)</f>
        <v>29.087763157894727</v>
      </c>
      <c r="G15" s="4">
        <f>POWER((1.65*B9)/0.25,2)</f>
        <v>33.608546052631581</v>
      </c>
    </row>
    <row r="16" spans="1:7">
      <c r="A16" s="105" t="s">
        <v>837</v>
      </c>
      <c r="B16" s="4">
        <f>POWER((1.96*B4)/0.25,2)</f>
        <v>63.348208654970797</v>
      </c>
      <c r="C16" s="4">
        <f>POWER((1.96*B5)/0.25,2)</f>
        <v>34.4834147368421</v>
      </c>
      <c r="D16" s="4">
        <f>POWER((1.96*B6)/0.25,2)</f>
        <v>36.758046315789478</v>
      </c>
      <c r="E16" s="4">
        <f>POWER((1.96*B7)/0.25,2)</f>
        <v>43.056248421052622</v>
      </c>
      <c r="F16" s="4">
        <f>POWER((1.96*B8)/0.25,2)</f>
        <v>41.044463157894725</v>
      </c>
      <c r="G16" s="4">
        <f>POWER((1.96*B9)/0.25,2)</f>
        <v>47.423541052631585</v>
      </c>
    </row>
    <row r="17" spans="1:7">
      <c r="A17" s="105" t="s">
        <v>838</v>
      </c>
      <c r="B17" s="4">
        <f>POWER((2.58*B4)/0.25,2)</f>
        <v>109.76442526315797</v>
      </c>
      <c r="C17" s="4">
        <f>POWER((2.58*B5)/0.25,2)</f>
        <v>59.749948421052615</v>
      </c>
      <c r="D17" s="4">
        <f>POWER((2.58*B6)/0.25,2)</f>
        <v>63.691237894736844</v>
      </c>
      <c r="E17" s="4">
        <f>POWER((2.58*B7)/0.25,2)</f>
        <v>74.604230526315803</v>
      </c>
      <c r="F17" s="4">
        <f>POWER((2.58*B8)/0.25,2)</f>
        <v>71.118378947368413</v>
      </c>
      <c r="G17" s="4">
        <f>POWER((2.58*B9)/0.25,2)</f>
        <v>82.171506315789486</v>
      </c>
    </row>
    <row r="18" spans="1:7">
      <c r="A18" s="105" t="s">
        <v>839</v>
      </c>
      <c r="B18" s="4">
        <f>POWER((1.65*B4)/0.1,2)</f>
        <v>280.58865131578955</v>
      </c>
      <c r="C18" s="4">
        <f>POWER((1.65*B5)/0.1,2)</f>
        <v>152.73762335526314</v>
      </c>
      <c r="D18" s="4">
        <f>POWER((1.65*B6)/0.1,2)</f>
        <v>162.81266447368418</v>
      </c>
      <c r="E18" s="4">
        <f>POWER((1.65*B7)/0.1,2)</f>
        <v>190.70933388157891</v>
      </c>
      <c r="F18" s="4">
        <f>POWER((1.65*B8)/0.1,2)</f>
        <v>181.79851973684202</v>
      </c>
      <c r="G18" s="4">
        <f>POWER((1.65*B9)/0.1,2)</f>
        <v>210.05341282894733</v>
      </c>
    </row>
    <row r="19" spans="1:7">
      <c r="A19" s="105" t="s">
        <v>840</v>
      </c>
      <c r="B19" s="4">
        <f>POWER((1.96*B4)/0.1,2)</f>
        <v>395.92630409356747</v>
      </c>
      <c r="C19" s="4">
        <f>POWER((1.96*B5)/0.1,2)</f>
        <v>215.5213421052631</v>
      </c>
      <c r="D19" s="4">
        <f>POWER((1.96*B6)/0.1,2)</f>
        <v>229.73778947368419</v>
      </c>
      <c r="E19" s="4">
        <f>POWER((1.96*B7)/0.1,2)</f>
        <v>269.10155263157884</v>
      </c>
      <c r="F19" s="4">
        <f>POWER((1.96*B8)/0.1,2)</f>
        <v>256.52789473684203</v>
      </c>
      <c r="G19" s="4">
        <f>POWER((1.96*B9)/0.1,2)</f>
        <v>296.39713157894732</v>
      </c>
    </row>
    <row r="20" spans="1:7">
      <c r="A20" s="106" t="s">
        <v>841</v>
      </c>
      <c r="B20" s="4">
        <f>POWER((2.58*B4)/0.1,2)</f>
        <v>686.02765789473733</v>
      </c>
      <c r="C20" s="4">
        <f>POWER((2.58*B5)/0.1,2)</f>
        <v>373.43717763157878</v>
      </c>
      <c r="D20" s="4">
        <f>POWER((2.58*B6)/0.1,2)</f>
        <v>398.07023684210532</v>
      </c>
      <c r="E20" s="4">
        <f>POWER((2.58*B7)/0.1,2)</f>
        <v>466.27644078947378</v>
      </c>
      <c r="F20" s="4">
        <f>POWER((2.58*B8)/0.1,2)</f>
        <v>444.48986842105251</v>
      </c>
      <c r="G20" s="4">
        <f>POWER((2.58*B9)/0.1,2)</f>
        <v>513.57191447368416</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A137" zoomScale="138" workbookViewId="0">
      <selection activeCell="X21" sqref="X21"/>
    </sheetView>
  </sheetViews>
  <sheetFormatPr baseColWidth="10" defaultColWidth="8.83203125" defaultRowHeight="15"/>
  <cols>
    <col min="1" max="6" width="12.83203125" customWidth="1"/>
    <col min="7" max="7" width="10.6640625" style="46" customWidth="1"/>
    <col min="8" max="8" width="11.1640625" customWidth="1"/>
    <col min="9" max="11" width="12.83203125" customWidth="1"/>
    <col min="12" max="12" width="14.83203125" customWidth="1"/>
    <col min="13" max="13" width="13.5" customWidth="1"/>
    <col min="14" max="14" width="12.83203125" customWidth="1"/>
    <col min="17" max="17" width="12.83203125" customWidth="1"/>
    <col min="18" max="18" width="8.6640625" customWidth="1"/>
    <col min="19" max="19" width="10" customWidth="1"/>
    <col min="20" max="20" width="7.6640625" customWidth="1"/>
    <col min="21" max="21" width="10.5" customWidth="1"/>
  </cols>
  <sheetData>
    <row r="1" spans="1:23" s="46" customFormat="1" ht="133.25" customHeight="1">
      <c r="A1" s="175" t="s">
        <v>1292</v>
      </c>
      <c r="B1" s="169"/>
      <c r="C1" s="169"/>
      <c r="D1" s="169"/>
      <c r="E1" s="169"/>
      <c r="F1" s="169"/>
      <c r="H1" s="62"/>
      <c r="I1" s="134" t="s">
        <v>1278</v>
      </c>
      <c r="J1" s="129" t="e">
        <f>AVERAGE(O4:O1004)</f>
        <v>#VALUE!</v>
      </c>
      <c r="K1" s="130" t="s">
        <v>1291</v>
      </c>
      <c r="L1" s="131" t="e">
        <f>STDEV(O4:O1004)</f>
        <v>#VALUE!</v>
      </c>
      <c r="M1" s="132" t="s">
        <v>1293</v>
      </c>
      <c r="N1" s="133" t="e">
        <f>CONFIDENCE(0.05,L1,Results!E3)</f>
        <v>#VALUE!</v>
      </c>
      <c r="O1" s="135"/>
    </row>
    <row r="2" spans="1:23">
      <c r="A2" s="186" t="s">
        <v>1275</v>
      </c>
      <c r="B2" s="186"/>
      <c r="C2" s="186"/>
      <c r="D2" s="186"/>
      <c r="E2" s="186"/>
      <c r="F2" s="186"/>
      <c r="G2" s="51"/>
      <c r="I2" s="186" t="s">
        <v>1276</v>
      </c>
      <c r="J2" s="186"/>
      <c r="K2" s="186"/>
      <c r="L2" s="186"/>
      <c r="M2" s="186"/>
      <c r="N2" s="186"/>
      <c r="O2" s="1"/>
      <c r="P2" s="15"/>
      <c r="Q2" s="187" t="s">
        <v>1535</v>
      </c>
      <c r="R2" s="187"/>
      <c r="S2" s="187"/>
      <c r="T2" s="187"/>
      <c r="U2" s="187"/>
      <c r="V2" s="187"/>
      <c r="W2" s="187"/>
    </row>
    <row r="3" spans="1:23">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1277</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1278</v>
      </c>
      <c r="P3" s="15"/>
      <c r="Q3" s="148" t="s">
        <v>1532</v>
      </c>
      <c r="R3" s="148" t="s">
        <v>106</v>
      </c>
      <c r="S3" s="148" t="s">
        <v>1533</v>
      </c>
      <c r="T3" s="148" t="s">
        <v>3</v>
      </c>
      <c r="U3" s="148" t="s">
        <v>112</v>
      </c>
      <c r="V3" s="180" t="s">
        <v>1534</v>
      </c>
      <c r="W3" s="180"/>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0.40686274509803916</v>
      </c>
      <c r="P4" s="15"/>
      <c r="Q4" s="149"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1.1249999999999998</v>
      </c>
      <c r="P5" s="15"/>
      <c r="Q5" s="149"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0.37142857142857139</v>
      </c>
      <c r="P6" s="15"/>
      <c r="Q6" s="149"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0.53333333333333333</v>
      </c>
      <c r="P7" s="15"/>
      <c r="Q7" s="149"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1.2291666666666667</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1.712962962962963</v>
      </c>
      <c r="P9" s="15"/>
      <c r="Q9" s="149"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2.5555555555555554</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0.2722222222222222</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-0.24774774774774774</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1.9935897435897436</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1.2820512820512819</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0.86111111111111116</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1.5483870967741935</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1.23125</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1.7803030303030305</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0.73124999999999996</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0.91944444444444451</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0.90686274509803921</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0.86486486486486491</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0.60897435897435903</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Y1" workbookViewId="0">
      <selection activeCell="N46" sqref="N46"/>
    </sheetView>
  </sheetViews>
  <sheetFormatPr baseColWidth="10" defaultColWidth="9.1640625" defaultRowHeight="15"/>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c r="A7" t="s">
        <v>246</v>
      </c>
      <c r="B7" t="s">
        <v>1360</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c r="A21" t="s">
        <v>1299</v>
      </c>
      <c r="B21" s="49" t="s">
        <v>1300</v>
      </c>
      <c r="C21" s="49" t="s">
        <v>1301</v>
      </c>
      <c r="D21" s="49" t="s">
        <v>1302</v>
      </c>
      <c r="E21" s="49" t="s">
        <v>1303</v>
      </c>
      <c r="F21" s="49" t="s">
        <v>1304</v>
      </c>
      <c r="G21" s="49" t="s">
        <v>1305</v>
      </c>
      <c r="H21" s="49" t="s">
        <v>1306</v>
      </c>
      <c r="I21" s="49" t="s">
        <v>1307</v>
      </c>
      <c r="J21" s="49" t="s">
        <v>1308</v>
      </c>
      <c r="K21" s="49" t="s">
        <v>1309</v>
      </c>
      <c r="L21" s="49" t="s">
        <v>1310</v>
      </c>
      <c r="M21" s="49" t="s">
        <v>1311</v>
      </c>
      <c r="N21" s="49" t="s">
        <v>1312</v>
      </c>
      <c r="O21" s="49" t="s">
        <v>1313</v>
      </c>
      <c r="P21" s="49" t="s">
        <v>1314</v>
      </c>
      <c r="Q21" s="49" t="s">
        <v>1315</v>
      </c>
      <c r="R21" s="49" t="s">
        <v>1316</v>
      </c>
      <c r="S21" s="49" t="s">
        <v>1317</v>
      </c>
      <c r="T21" s="49" t="s">
        <v>1318</v>
      </c>
      <c r="U21" s="49" t="s">
        <v>1319</v>
      </c>
      <c r="V21" s="49" t="s">
        <v>1320</v>
      </c>
      <c r="W21" s="49" t="s">
        <v>1321</v>
      </c>
      <c r="X21" s="49" t="s">
        <v>1322</v>
      </c>
      <c r="Y21" s="49" t="s">
        <v>1323</v>
      </c>
      <c r="Z21" s="49" t="s">
        <v>1324</v>
      </c>
      <c r="AA21" s="49" t="s">
        <v>1325</v>
      </c>
      <c r="AB21" s="49" t="s">
        <v>1326</v>
      </c>
      <c r="AC21" s="49" t="s">
        <v>1327</v>
      </c>
      <c r="AD21" s="49" t="s">
        <v>1328</v>
      </c>
      <c r="AE21" s="49" t="s">
        <v>1329</v>
      </c>
      <c r="AF21" s="49" t="s">
        <v>1330</v>
      </c>
      <c r="AG21" s="49" t="s">
        <v>1331</v>
      </c>
      <c r="AH21" s="49" t="s">
        <v>1332</v>
      </c>
      <c r="AI21" s="49" t="s">
        <v>1333</v>
      </c>
      <c r="AJ21" s="49" t="s">
        <v>1334</v>
      </c>
      <c r="AK21" s="49" t="s">
        <v>1335</v>
      </c>
      <c r="AL21" s="49" t="s">
        <v>1336</v>
      </c>
      <c r="AM21" s="49" t="s">
        <v>1337</v>
      </c>
      <c r="AN21" s="49" t="s">
        <v>1338</v>
      </c>
      <c r="AO21" s="49" t="s">
        <v>1339</v>
      </c>
      <c r="AP21" s="49" t="s">
        <v>1340</v>
      </c>
      <c r="AQ21" s="49" t="s">
        <v>1341</v>
      </c>
      <c r="AR21" s="49" t="s">
        <v>1342</v>
      </c>
      <c r="AS21" s="49" t="s">
        <v>1343</v>
      </c>
      <c r="AT21" s="49" t="s">
        <v>1344</v>
      </c>
      <c r="AU21" s="49" t="s">
        <v>1345</v>
      </c>
      <c r="AV21" s="49" t="s">
        <v>1346</v>
      </c>
      <c r="AW21" s="49" t="s">
        <v>1347</v>
      </c>
      <c r="AX21" s="49" t="s">
        <v>1348</v>
      </c>
      <c r="AY21" s="49" t="s">
        <v>1349</v>
      </c>
      <c r="AZ21" s="49" t="s">
        <v>1350</v>
      </c>
      <c r="BA21" s="49" t="s">
        <v>1351</v>
      </c>
      <c r="BB21" s="47" t="s">
        <v>1352</v>
      </c>
      <c r="BC21" s="59" t="s">
        <v>1353</v>
      </c>
      <c r="BD21" s="59" t="s">
        <v>1354</v>
      </c>
      <c r="BE21" s="59" t="s">
        <v>1355</v>
      </c>
      <c r="BF21" s="59" t="s">
        <v>1356</v>
      </c>
      <c r="BG21" s="59" t="s">
        <v>1357</v>
      </c>
      <c r="BH21" s="59" t="s">
        <v>1358</v>
      </c>
      <c r="BI21" s="59" t="s">
        <v>1359</v>
      </c>
    </row>
    <row r="22" spans="1:61">
      <c r="A22" t="s">
        <v>1361</v>
      </c>
      <c r="B22" s="49" t="s">
        <v>1362</v>
      </c>
      <c r="C22" s="49" t="s">
        <v>1363</v>
      </c>
      <c r="D22" s="49" t="s">
        <v>1364</v>
      </c>
      <c r="E22" s="49" t="s">
        <v>1365</v>
      </c>
      <c r="F22" s="49" t="s">
        <v>1366</v>
      </c>
      <c r="G22" s="49" t="s">
        <v>1367</v>
      </c>
      <c r="H22" s="49" t="s">
        <v>579</v>
      </c>
      <c r="I22" s="49" t="s">
        <v>1368</v>
      </c>
      <c r="J22" s="49" t="s">
        <v>1369</v>
      </c>
      <c r="K22" s="49" t="s">
        <v>1370</v>
      </c>
      <c r="L22" s="49" t="s">
        <v>583</v>
      </c>
      <c r="M22" s="49" t="s">
        <v>1363</v>
      </c>
      <c r="N22" s="49" t="s">
        <v>1371</v>
      </c>
      <c r="O22" s="49" t="s">
        <v>1372</v>
      </c>
      <c r="P22" s="49" t="s">
        <v>1373</v>
      </c>
      <c r="Q22" s="49" t="s">
        <v>1374</v>
      </c>
      <c r="R22" s="49" t="s">
        <v>589</v>
      </c>
      <c r="S22" s="49" t="s">
        <v>1375</v>
      </c>
      <c r="T22" s="49" t="s">
        <v>1376</v>
      </c>
      <c r="U22" s="49" t="s">
        <v>1377</v>
      </c>
      <c r="V22" s="49" t="s">
        <v>1378</v>
      </c>
      <c r="W22" s="49" t="s">
        <v>1379</v>
      </c>
      <c r="X22" s="49" t="s">
        <v>595</v>
      </c>
      <c r="Y22" s="49" t="s">
        <v>1380</v>
      </c>
      <c r="Z22" s="49" t="s">
        <v>1381</v>
      </c>
      <c r="AA22" s="49" t="s">
        <v>1382</v>
      </c>
      <c r="AB22" s="49" t="s">
        <v>599</v>
      </c>
      <c r="AC22" s="49" t="s">
        <v>1383</v>
      </c>
      <c r="AD22" s="49" t="s">
        <v>1384</v>
      </c>
      <c r="AE22" s="49" t="s">
        <v>1385</v>
      </c>
      <c r="AF22" s="49" t="s">
        <v>1386</v>
      </c>
      <c r="AG22" s="49" t="s">
        <v>574</v>
      </c>
      <c r="AH22" s="49" t="s">
        <v>1387</v>
      </c>
      <c r="AI22" s="49" t="s">
        <v>1388</v>
      </c>
      <c r="AJ22" s="49" t="s">
        <v>1389</v>
      </c>
      <c r="AK22" s="49" t="s">
        <v>1390</v>
      </c>
      <c r="AL22" s="49" t="s">
        <v>1391</v>
      </c>
      <c r="AM22" s="49" t="s">
        <v>1392</v>
      </c>
      <c r="AN22" s="49" t="s">
        <v>1393</v>
      </c>
      <c r="AO22" s="49" t="s">
        <v>1394</v>
      </c>
      <c r="AP22" s="49" t="s">
        <v>613</v>
      </c>
      <c r="AQ22" s="49" t="s">
        <v>1395</v>
      </c>
      <c r="AR22" s="49" t="s">
        <v>1396</v>
      </c>
      <c r="AS22" s="49" t="s">
        <v>1397</v>
      </c>
      <c r="AT22" s="49" t="s">
        <v>1398</v>
      </c>
      <c r="AU22" s="49" t="s">
        <v>1399</v>
      </c>
      <c r="AV22" s="49" t="s">
        <v>586</v>
      </c>
      <c r="AW22" s="49" t="s">
        <v>585</v>
      </c>
      <c r="AX22" s="49" t="s">
        <v>1400</v>
      </c>
      <c r="AY22" s="49" t="s">
        <v>1401</v>
      </c>
      <c r="AZ22" s="49" t="s">
        <v>623</v>
      </c>
      <c r="BA22" s="49" t="s">
        <v>624</v>
      </c>
      <c r="BB22" t="s">
        <v>1402</v>
      </c>
      <c r="BC22" t="s">
        <v>626</v>
      </c>
      <c r="BD22" t="s">
        <v>1403</v>
      </c>
      <c r="BE22" t="s">
        <v>1404</v>
      </c>
      <c r="BF22" t="s">
        <v>1407</v>
      </c>
      <c r="BG22" t="s">
        <v>1408</v>
      </c>
      <c r="BH22" t="s">
        <v>1405</v>
      </c>
      <c r="BI22" t="s">
        <v>1406</v>
      </c>
    </row>
    <row r="23" spans="1:61">
      <c r="A23" s="46" t="s">
        <v>1409</v>
      </c>
      <c r="B23" s="145" t="s">
        <v>1460</v>
      </c>
      <c r="C23" s="145" t="s">
        <v>1410</v>
      </c>
      <c r="D23" s="145" t="s">
        <v>1411</v>
      </c>
      <c r="E23" s="145" t="s">
        <v>1412</v>
      </c>
      <c r="F23" s="145" t="s">
        <v>1413</v>
      </c>
      <c r="G23" s="145" t="s">
        <v>1414</v>
      </c>
      <c r="H23" s="145" t="s">
        <v>1415</v>
      </c>
      <c r="I23" s="145" t="s">
        <v>1416</v>
      </c>
      <c r="J23" s="145" t="s">
        <v>1417</v>
      </c>
      <c r="K23" s="145" t="s">
        <v>1418</v>
      </c>
      <c r="L23" s="145" t="s">
        <v>1419</v>
      </c>
      <c r="M23" s="145" t="s">
        <v>1461</v>
      </c>
      <c r="N23" s="145" t="s">
        <v>1421</v>
      </c>
      <c r="O23" s="145" t="s">
        <v>1420</v>
      </c>
      <c r="P23" s="145" t="s">
        <v>1422</v>
      </c>
      <c r="Q23" s="145" t="s">
        <v>1423</v>
      </c>
      <c r="R23" s="145" t="s">
        <v>1424</v>
      </c>
      <c r="S23" s="145" t="s">
        <v>1425</v>
      </c>
      <c r="T23" s="145" t="s">
        <v>1426</v>
      </c>
      <c r="U23" s="145" t="s">
        <v>1427</v>
      </c>
      <c r="V23" s="145" t="s">
        <v>1428</v>
      </c>
      <c r="W23" s="145" t="s">
        <v>1429</v>
      </c>
      <c r="X23" s="145" t="s">
        <v>1430</v>
      </c>
      <c r="Y23" s="145" t="s">
        <v>1431</v>
      </c>
      <c r="Z23" s="145" t="s">
        <v>1432</v>
      </c>
      <c r="AA23" s="145" t="s">
        <v>1433</v>
      </c>
      <c r="AB23" s="145" t="s">
        <v>1434</v>
      </c>
      <c r="AC23" s="145" t="s">
        <v>1435</v>
      </c>
      <c r="AD23" s="145" t="s">
        <v>1436</v>
      </c>
      <c r="AE23" s="145" t="s">
        <v>1437</v>
      </c>
      <c r="AF23" s="145" t="s">
        <v>1438</v>
      </c>
      <c r="AG23" s="145" t="s">
        <v>1418</v>
      </c>
      <c r="AH23" s="145" t="s">
        <v>1439</v>
      </c>
      <c r="AI23" s="145" t="s">
        <v>1440</v>
      </c>
      <c r="AJ23" s="145" t="s">
        <v>1441</v>
      </c>
      <c r="AK23" s="145" t="s">
        <v>1442</v>
      </c>
      <c r="AL23" s="145" t="s">
        <v>1443</v>
      </c>
      <c r="AM23" s="145" t="s">
        <v>1444</v>
      </c>
      <c r="AN23" s="145" t="s">
        <v>1445</v>
      </c>
      <c r="AO23" s="145" t="s">
        <v>1462</v>
      </c>
      <c r="AP23" s="145" t="s">
        <v>1446</v>
      </c>
      <c r="AQ23" s="145" t="s">
        <v>1447</v>
      </c>
      <c r="AR23" s="145" t="s">
        <v>1463</v>
      </c>
      <c r="AS23" s="145" t="s">
        <v>1448</v>
      </c>
      <c r="AT23" s="145" t="s">
        <v>1449</v>
      </c>
      <c r="AU23" s="145" t="s">
        <v>1450</v>
      </c>
      <c r="AV23" s="145" t="s">
        <v>1464</v>
      </c>
      <c r="AW23" s="145" t="s">
        <v>1465</v>
      </c>
      <c r="AX23" s="145" t="s">
        <v>1451</v>
      </c>
      <c r="AY23" s="145" t="s">
        <v>1452</v>
      </c>
      <c r="AZ23" s="145" t="s">
        <v>1466</v>
      </c>
      <c r="BA23" s="145" t="s">
        <v>1453</v>
      </c>
      <c r="BB23" s="143" t="s">
        <v>1454</v>
      </c>
      <c r="BC23" s="143" t="s">
        <v>1455</v>
      </c>
      <c r="BD23" s="143" t="s">
        <v>1456</v>
      </c>
      <c r="BE23" s="144" t="s">
        <v>1457</v>
      </c>
      <c r="BF23" s="144" t="s">
        <v>1467</v>
      </c>
      <c r="BG23" s="143" t="s">
        <v>1468</v>
      </c>
      <c r="BH23" s="142" t="s">
        <v>1458</v>
      </c>
      <c r="BI23" s="142" t="s">
        <v>1459</v>
      </c>
    </row>
    <row r="24" spans="1:61">
      <c r="A24" t="s">
        <v>1471</v>
      </c>
      <c r="B24" t="s">
        <v>1472</v>
      </c>
      <c r="C24" t="s">
        <v>1473</v>
      </c>
      <c r="D24" t="s">
        <v>1474</v>
      </c>
      <c r="E24" t="s">
        <v>1475</v>
      </c>
      <c r="F24" t="s">
        <v>1476</v>
      </c>
      <c r="G24" t="s">
        <v>1477</v>
      </c>
      <c r="H24" t="s">
        <v>1478</v>
      </c>
      <c r="I24" t="s">
        <v>1479</v>
      </c>
      <c r="J24" t="s">
        <v>1480</v>
      </c>
      <c r="K24" t="s">
        <v>1481</v>
      </c>
      <c r="L24" t="s">
        <v>1482</v>
      </c>
      <c r="M24" t="s">
        <v>1483</v>
      </c>
      <c r="N24" t="s">
        <v>1484</v>
      </c>
      <c r="O24" t="s">
        <v>1485</v>
      </c>
      <c r="P24" t="s">
        <v>1486</v>
      </c>
      <c r="Q24" t="s">
        <v>1487</v>
      </c>
      <c r="R24" t="s">
        <v>1488</v>
      </c>
      <c r="S24" t="s">
        <v>1489</v>
      </c>
      <c r="T24" t="s">
        <v>1490</v>
      </c>
      <c r="U24" t="s">
        <v>1491</v>
      </c>
      <c r="V24" t="s">
        <v>1492</v>
      </c>
      <c r="W24" t="s">
        <v>1493</v>
      </c>
      <c r="X24" t="s">
        <v>1494</v>
      </c>
      <c r="Y24" t="s">
        <v>1495</v>
      </c>
      <c r="Z24" t="s">
        <v>1496</v>
      </c>
      <c r="AA24" t="s">
        <v>1497</v>
      </c>
      <c r="AB24" t="s">
        <v>1498</v>
      </c>
      <c r="AC24" t="s">
        <v>1499</v>
      </c>
      <c r="AD24" t="s">
        <v>1500</v>
      </c>
      <c r="AE24" t="s">
        <v>1501</v>
      </c>
      <c r="AF24" t="s">
        <v>1502</v>
      </c>
      <c r="AG24" t="s">
        <v>1503</v>
      </c>
      <c r="AH24" t="s">
        <v>1504</v>
      </c>
      <c r="AI24" t="s">
        <v>1505</v>
      </c>
      <c r="AJ24" t="s">
        <v>1506</v>
      </c>
      <c r="AK24" t="s">
        <v>1507</v>
      </c>
      <c r="AL24" t="s">
        <v>1508</v>
      </c>
      <c r="AM24" t="s">
        <v>1509</v>
      </c>
      <c r="AN24" t="s">
        <v>1510</v>
      </c>
      <c r="AO24" t="s">
        <v>1511</v>
      </c>
      <c r="AP24" t="s">
        <v>1512</v>
      </c>
      <c r="AQ24" t="s">
        <v>1513</v>
      </c>
      <c r="AR24" t="s">
        <v>1514</v>
      </c>
      <c r="AS24" t="s">
        <v>1515</v>
      </c>
      <c r="AT24" t="s">
        <v>1516</v>
      </c>
      <c r="AU24" t="s">
        <v>1517</v>
      </c>
      <c r="AV24" t="s">
        <v>1518</v>
      </c>
      <c r="AW24" t="s">
        <v>1519</v>
      </c>
      <c r="AX24" t="s">
        <v>1520</v>
      </c>
      <c r="AY24" t="s">
        <v>1521</v>
      </c>
      <c r="AZ24" t="s">
        <v>1522</v>
      </c>
      <c r="BA24" t="s">
        <v>1523</v>
      </c>
      <c r="BB24" s="147" t="s">
        <v>1524</v>
      </c>
      <c r="BC24" t="s">
        <v>1525</v>
      </c>
      <c r="BD24" t="s">
        <v>1526</v>
      </c>
      <c r="BE24" t="s">
        <v>1527</v>
      </c>
      <c r="BF24" t="s">
        <v>1528</v>
      </c>
      <c r="BG24" t="s">
        <v>1529</v>
      </c>
      <c r="BH24" t="s">
        <v>1530</v>
      </c>
      <c r="BI24" t="s">
        <v>1531</v>
      </c>
    </row>
    <row r="25" spans="1:61">
      <c r="A25" t="s">
        <v>1538</v>
      </c>
      <c r="B25" t="s">
        <v>1540</v>
      </c>
      <c r="C25" t="s">
        <v>1541</v>
      </c>
      <c r="D25" t="s">
        <v>1542</v>
      </c>
      <c r="E25" t="s">
        <v>1543</v>
      </c>
      <c r="F25" t="s">
        <v>133</v>
      </c>
      <c r="G25" t="s">
        <v>1544</v>
      </c>
      <c r="H25" t="s">
        <v>1545</v>
      </c>
      <c r="I25" t="s">
        <v>1546</v>
      </c>
      <c r="J25" t="s">
        <v>1547</v>
      </c>
      <c r="K25" t="s">
        <v>1548</v>
      </c>
      <c r="L25" t="s">
        <v>1549</v>
      </c>
      <c r="M25" t="s">
        <v>1550</v>
      </c>
      <c r="N25" t="s">
        <v>1551</v>
      </c>
      <c r="O25" t="s">
        <v>532</v>
      </c>
      <c r="P25" t="s">
        <v>1552</v>
      </c>
      <c r="Q25" t="s">
        <v>1553</v>
      </c>
      <c r="R25" t="s">
        <v>1554</v>
      </c>
      <c r="S25" t="s">
        <v>1555</v>
      </c>
      <c r="T25" t="s">
        <v>1556</v>
      </c>
      <c r="U25" t="s">
        <v>1557</v>
      </c>
      <c r="V25" t="s">
        <v>1558</v>
      </c>
      <c r="W25" t="s">
        <v>1559</v>
      </c>
      <c r="X25" t="s">
        <v>1560</v>
      </c>
      <c r="Y25" t="s">
        <v>1561</v>
      </c>
      <c r="Z25" t="s">
        <v>1562</v>
      </c>
      <c r="AA25" t="s">
        <v>1563</v>
      </c>
      <c r="AB25" t="s">
        <v>1564</v>
      </c>
      <c r="AC25" t="s">
        <v>1565</v>
      </c>
      <c r="AD25" t="s">
        <v>1566</v>
      </c>
      <c r="AE25" t="s">
        <v>1567</v>
      </c>
      <c r="AF25" t="s">
        <v>1568</v>
      </c>
      <c r="AG25" t="s">
        <v>1569</v>
      </c>
      <c r="AH25" t="s">
        <v>1570</v>
      </c>
      <c r="AI25" t="s">
        <v>1571</v>
      </c>
      <c r="AJ25" t="s">
        <v>1572</v>
      </c>
      <c r="AK25" t="s">
        <v>1573</v>
      </c>
      <c r="AL25" t="s">
        <v>1574</v>
      </c>
      <c r="AM25" t="s">
        <v>1575</v>
      </c>
      <c r="AN25" t="s">
        <v>1576</v>
      </c>
      <c r="AO25" t="s">
        <v>1577</v>
      </c>
      <c r="AP25" t="s">
        <v>1578</v>
      </c>
      <c r="AQ25" t="s">
        <v>1579</v>
      </c>
      <c r="AR25" t="s">
        <v>1580</v>
      </c>
      <c r="AS25" t="s">
        <v>1581</v>
      </c>
      <c r="AT25" t="s">
        <v>1582</v>
      </c>
      <c r="AU25" t="s">
        <v>1583</v>
      </c>
      <c r="AV25" t="s">
        <v>1584</v>
      </c>
      <c r="AW25" t="s">
        <v>1585</v>
      </c>
      <c r="AX25" t="s">
        <v>1586</v>
      </c>
      <c r="AY25" t="s">
        <v>1587</v>
      </c>
      <c r="AZ25" t="s">
        <v>179</v>
      </c>
      <c r="BA25" t="s">
        <v>104</v>
      </c>
      <c r="BB25" t="s">
        <v>1588</v>
      </c>
      <c r="BC25" t="s">
        <v>1590</v>
      </c>
      <c r="BD25" t="s">
        <v>1589</v>
      </c>
      <c r="BE25" t="s">
        <v>1591</v>
      </c>
      <c r="BF25" t="s">
        <v>966</v>
      </c>
      <c r="BG25" t="s">
        <v>1592</v>
      </c>
      <c r="BH25" s="142" t="s">
        <v>239</v>
      </c>
      <c r="BI25" s="142" t="s">
        <v>242</v>
      </c>
    </row>
    <row r="26" spans="1:61">
      <c r="A26" t="s">
        <v>1539</v>
      </c>
      <c r="B26" t="s">
        <v>1597</v>
      </c>
      <c r="C26" t="s">
        <v>1598</v>
      </c>
      <c r="D26" t="s">
        <v>1599</v>
      </c>
      <c r="E26" t="s">
        <v>1600</v>
      </c>
      <c r="F26" t="s">
        <v>133</v>
      </c>
      <c r="G26" t="s">
        <v>1597</v>
      </c>
      <c r="H26" t="s">
        <v>1601</v>
      </c>
      <c r="I26" t="s">
        <v>1602</v>
      </c>
      <c r="J26" t="s">
        <v>1603</v>
      </c>
      <c r="K26" t="s">
        <v>1604</v>
      </c>
      <c r="L26" t="s">
        <v>1597</v>
      </c>
      <c r="M26" t="s">
        <v>1605</v>
      </c>
      <c r="N26" t="s">
        <v>1606</v>
      </c>
      <c r="O26" t="s">
        <v>142</v>
      </c>
      <c r="P26" t="s">
        <v>1607</v>
      </c>
      <c r="Q26" t="s">
        <v>1608</v>
      </c>
      <c r="R26" t="s">
        <v>1609</v>
      </c>
      <c r="S26" t="s">
        <v>1610</v>
      </c>
      <c r="T26" t="s">
        <v>1611</v>
      </c>
      <c r="U26" t="s">
        <v>1612</v>
      </c>
      <c r="V26" t="s">
        <v>1558</v>
      </c>
      <c r="W26" t="s">
        <v>1613</v>
      </c>
      <c r="X26" t="s">
        <v>1614</v>
      </c>
      <c r="Y26" t="s">
        <v>1615</v>
      </c>
      <c r="Z26" t="s">
        <v>1616</v>
      </c>
      <c r="AA26" t="s">
        <v>1617</v>
      </c>
      <c r="AB26" t="s">
        <v>1618</v>
      </c>
      <c r="AC26" t="s">
        <v>1565</v>
      </c>
      <c r="AD26" t="s">
        <v>1619</v>
      </c>
      <c r="AE26" t="s">
        <v>1620</v>
      </c>
      <c r="AF26" t="s">
        <v>1621</v>
      </c>
      <c r="AG26" t="s">
        <v>1565</v>
      </c>
      <c r="AH26" t="s">
        <v>1570</v>
      </c>
      <c r="AI26" t="s">
        <v>1622</v>
      </c>
      <c r="AJ26" t="s">
        <v>1572</v>
      </c>
      <c r="AK26" t="s">
        <v>1573</v>
      </c>
      <c r="AL26" t="s">
        <v>1623</v>
      </c>
      <c r="AM26" t="s">
        <v>1624</v>
      </c>
      <c r="AN26" t="s">
        <v>1576</v>
      </c>
      <c r="AO26" t="s">
        <v>1625</v>
      </c>
      <c r="AP26" t="s">
        <v>1626</v>
      </c>
      <c r="AQ26" t="s">
        <v>1579</v>
      </c>
      <c r="AR26" t="s">
        <v>1580</v>
      </c>
      <c r="AS26" t="s">
        <v>1581</v>
      </c>
      <c r="AT26" t="s">
        <v>1627</v>
      </c>
      <c r="AU26" t="s">
        <v>1628</v>
      </c>
      <c r="AV26" t="s">
        <v>1584</v>
      </c>
      <c r="AW26" t="s">
        <v>1629</v>
      </c>
      <c r="AX26" t="s">
        <v>1630</v>
      </c>
      <c r="AY26" t="s">
        <v>1631</v>
      </c>
      <c r="AZ26" t="s">
        <v>1620</v>
      </c>
      <c r="BA26" t="s">
        <v>180</v>
      </c>
      <c r="BB26" t="s">
        <v>964</v>
      </c>
      <c r="BC26" t="s">
        <v>1593</v>
      </c>
      <c r="BD26" t="s">
        <v>967</v>
      </c>
      <c r="BE26" t="s">
        <v>1594</v>
      </c>
      <c r="BF26" t="s">
        <v>1595</v>
      </c>
      <c r="BG26" t="s">
        <v>1596</v>
      </c>
      <c r="BH26" s="142" t="s">
        <v>239</v>
      </c>
      <c r="BI26" s="142" t="s">
        <v>242</v>
      </c>
    </row>
    <row r="27" spans="1:61">
      <c r="A27" t="s">
        <v>1632</v>
      </c>
      <c r="B27" s="142" t="s">
        <v>1642</v>
      </c>
      <c r="C27" s="142" t="s">
        <v>1643</v>
      </c>
      <c r="D27" s="142" t="s">
        <v>1644</v>
      </c>
      <c r="E27" s="142" t="s">
        <v>1645</v>
      </c>
      <c r="F27" s="142" t="s">
        <v>1646</v>
      </c>
      <c r="G27" s="142" t="s">
        <v>1647</v>
      </c>
      <c r="H27" s="142" t="s">
        <v>1648</v>
      </c>
      <c r="I27" s="142" t="s">
        <v>1649</v>
      </c>
      <c r="J27" s="142" t="s">
        <v>1650</v>
      </c>
      <c r="K27" s="142" t="s">
        <v>1651</v>
      </c>
      <c r="L27" s="142" t="s">
        <v>1652</v>
      </c>
      <c r="M27" s="142" t="s">
        <v>1653</v>
      </c>
      <c r="N27" s="142" t="s">
        <v>1654</v>
      </c>
      <c r="O27" s="142" t="s">
        <v>1655</v>
      </c>
      <c r="P27" s="142" t="s">
        <v>1656</v>
      </c>
      <c r="Q27" s="142" t="s">
        <v>1657</v>
      </c>
      <c r="R27" s="142" t="s">
        <v>1658</v>
      </c>
      <c r="S27" s="142" t="s">
        <v>1659</v>
      </c>
      <c r="T27" s="142" t="s">
        <v>1660</v>
      </c>
      <c r="U27" s="142" t="s">
        <v>1661</v>
      </c>
      <c r="V27" s="142" t="s">
        <v>1662</v>
      </c>
      <c r="W27" s="142" t="s">
        <v>1663</v>
      </c>
      <c r="X27" s="142" t="s">
        <v>1664</v>
      </c>
      <c r="Y27" s="142" t="s">
        <v>1665</v>
      </c>
      <c r="Z27" s="142" t="s">
        <v>1666</v>
      </c>
      <c r="AA27" s="142" t="s">
        <v>1667</v>
      </c>
      <c r="AB27" s="142" t="s">
        <v>1668</v>
      </c>
      <c r="AC27" s="142" t="s">
        <v>1669</v>
      </c>
      <c r="AD27" s="142" t="s">
        <v>1670</v>
      </c>
      <c r="AE27" s="142" t="s">
        <v>1671</v>
      </c>
      <c r="AF27" s="142" t="s">
        <v>1672</v>
      </c>
      <c r="AG27" s="142" t="s">
        <v>1673</v>
      </c>
      <c r="AH27" s="142" t="s">
        <v>1674</v>
      </c>
      <c r="AI27" s="142" t="s">
        <v>1675</v>
      </c>
      <c r="AJ27" s="142" t="s">
        <v>1676</v>
      </c>
      <c r="AK27" s="142" t="s">
        <v>1677</v>
      </c>
      <c r="AL27" s="142" t="s">
        <v>1678</v>
      </c>
      <c r="AM27" s="142" t="s">
        <v>1679</v>
      </c>
      <c r="AN27" s="142" t="s">
        <v>1680</v>
      </c>
      <c r="AO27" s="142" t="s">
        <v>1681</v>
      </c>
      <c r="AP27" s="142" t="s">
        <v>1682</v>
      </c>
      <c r="AQ27" s="142" t="s">
        <v>1683</v>
      </c>
      <c r="AR27" s="142" t="s">
        <v>1684</v>
      </c>
      <c r="AS27" s="142" t="s">
        <v>1685</v>
      </c>
      <c r="AT27" s="142" t="s">
        <v>1686</v>
      </c>
      <c r="AU27" s="142" t="s">
        <v>1687</v>
      </c>
      <c r="AV27" s="142" t="s">
        <v>1688</v>
      </c>
      <c r="AW27" s="142" t="s">
        <v>1672</v>
      </c>
      <c r="AX27" s="142" t="s">
        <v>1689</v>
      </c>
      <c r="AY27" s="142" t="s">
        <v>1690</v>
      </c>
      <c r="AZ27" s="142" t="s">
        <v>1691</v>
      </c>
      <c r="BA27" s="142" t="s">
        <v>1692</v>
      </c>
      <c r="BB27" t="s">
        <v>2099</v>
      </c>
      <c r="BC27" t="s">
        <v>2101</v>
      </c>
      <c r="BD27" t="s">
        <v>2100</v>
      </c>
      <c r="BE27" t="s">
        <v>2102</v>
      </c>
      <c r="BF27" t="s">
        <v>2103</v>
      </c>
      <c r="BG27" t="s">
        <v>2104</v>
      </c>
      <c r="BH27" s="142" t="s">
        <v>239</v>
      </c>
      <c r="BI27" s="142" t="s">
        <v>242</v>
      </c>
    </row>
    <row r="28" spans="1:61">
      <c r="A28" t="s">
        <v>1633</v>
      </c>
      <c r="B28" t="s">
        <v>1693</v>
      </c>
      <c r="C28" t="s">
        <v>1694</v>
      </c>
      <c r="D28" t="s">
        <v>1695</v>
      </c>
      <c r="E28" t="s">
        <v>1696</v>
      </c>
      <c r="F28" t="s">
        <v>1697</v>
      </c>
      <c r="G28" t="s">
        <v>1698</v>
      </c>
      <c r="H28" t="s">
        <v>1699</v>
      </c>
      <c r="I28" t="s">
        <v>1700</v>
      </c>
      <c r="J28" t="s">
        <v>1701</v>
      </c>
      <c r="K28" t="s">
        <v>1702</v>
      </c>
      <c r="L28" t="s">
        <v>1703</v>
      </c>
      <c r="M28" t="s">
        <v>1704</v>
      </c>
      <c r="N28" t="s">
        <v>1705</v>
      </c>
      <c r="O28" t="s">
        <v>1706</v>
      </c>
      <c r="P28" t="s">
        <v>1707</v>
      </c>
      <c r="Q28" t="s">
        <v>1708</v>
      </c>
      <c r="R28" t="s">
        <v>1709</v>
      </c>
      <c r="S28" t="s">
        <v>1710</v>
      </c>
      <c r="T28" t="s">
        <v>1711</v>
      </c>
      <c r="U28" t="s">
        <v>1712</v>
      </c>
      <c r="V28" t="s">
        <v>1713</v>
      </c>
      <c r="W28" t="s">
        <v>1714</v>
      </c>
      <c r="X28" t="s">
        <v>1715</v>
      </c>
      <c r="Y28" t="s">
        <v>1716</v>
      </c>
      <c r="Z28" t="s">
        <v>1717</v>
      </c>
      <c r="AA28" t="s">
        <v>1718</v>
      </c>
      <c r="AB28" t="s">
        <v>1719</v>
      </c>
      <c r="AC28" t="s">
        <v>1720</v>
      </c>
      <c r="AD28" t="s">
        <v>1721</v>
      </c>
      <c r="AE28" t="s">
        <v>1722</v>
      </c>
      <c r="AF28" t="s">
        <v>1723</v>
      </c>
      <c r="AG28" t="s">
        <v>1723</v>
      </c>
      <c r="AH28" t="s">
        <v>1724</v>
      </c>
      <c r="AI28" t="s">
        <v>1725</v>
      </c>
      <c r="AJ28" t="s">
        <v>1726</v>
      </c>
      <c r="AK28" t="s">
        <v>1727</v>
      </c>
      <c r="AL28" t="s">
        <v>1728</v>
      </c>
      <c r="AM28" t="s">
        <v>1729</v>
      </c>
      <c r="AN28" t="s">
        <v>1730</v>
      </c>
      <c r="AO28" t="s">
        <v>1731</v>
      </c>
      <c r="AP28" t="s">
        <v>1732</v>
      </c>
      <c r="AQ28" t="s">
        <v>1733</v>
      </c>
      <c r="AR28" t="s">
        <v>1734</v>
      </c>
      <c r="AS28" t="s">
        <v>1735</v>
      </c>
      <c r="AT28" t="s">
        <v>1736</v>
      </c>
      <c r="AU28" t="s">
        <v>1737</v>
      </c>
      <c r="AV28" t="s">
        <v>1738</v>
      </c>
      <c r="AW28" t="s">
        <v>1739</v>
      </c>
      <c r="AX28" t="s">
        <v>1740</v>
      </c>
      <c r="AY28" t="s">
        <v>1741</v>
      </c>
      <c r="AZ28" t="s">
        <v>1742</v>
      </c>
      <c r="BA28" t="s">
        <v>1743</v>
      </c>
      <c r="BB28" t="s">
        <v>2105</v>
      </c>
      <c r="BC28" t="s">
        <v>2107</v>
      </c>
      <c r="BD28" t="s">
        <v>2106</v>
      </c>
      <c r="BE28" t="s">
        <v>2108</v>
      </c>
      <c r="BF28" t="s">
        <v>2109</v>
      </c>
      <c r="BG28" t="s">
        <v>2110</v>
      </c>
      <c r="BH28" s="142" t="s">
        <v>239</v>
      </c>
      <c r="BI28" s="142" t="s">
        <v>242</v>
      </c>
    </row>
    <row r="29" spans="1:61">
      <c r="A29" t="s">
        <v>1634</v>
      </c>
      <c r="B29" t="s">
        <v>1744</v>
      </c>
      <c r="C29" t="s">
        <v>1745</v>
      </c>
      <c r="D29" t="s">
        <v>1746</v>
      </c>
      <c r="E29" t="s">
        <v>1747</v>
      </c>
      <c r="F29" t="s">
        <v>1748</v>
      </c>
      <c r="G29" t="s">
        <v>1749</v>
      </c>
      <c r="H29" t="s">
        <v>1750</v>
      </c>
      <c r="I29" t="s">
        <v>1751</v>
      </c>
      <c r="J29" t="s">
        <v>1752</v>
      </c>
      <c r="K29" t="s">
        <v>1753</v>
      </c>
      <c r="L29" t="s">
        <v>1754</v>
      </c>
      <c r="M29" t="s">
        <v>1755</v>
      </c>
      <c r="N29" t="s">
        <v>1756</v>
      </c>
      <c r="O29" t="s">
        <v>1757</v>
      </c>
      <c r="P29" t="s">
        <v>1758</v>
      </c>
      <c r="Q29" t="s">
        <v>1759</v>
      </c>
      <c r="R29" t="s">
        <v>1760</v>
      </c>
      <c r="S29" t="s">
        <v>1761</v>
      </c>
      <c r="T29" t="s">
        <v>1762</v>
      </c>
      <c r="U29" t="s">
        <v>1763</v>
      </c>
      <c r="V29" t="s">
        <v>1764</v>
      </c>
      <c r="W29" t="s">
        <v>1765</v>
      </c>
      <c r="X29" t="s">
        <v>1766</v>
      </c>
      <c r="Y29" t="s">
        <v>1767</v>
      </c>
      <c r="Z29" t="s">
        <v>1768</v>
      </c>
      <c r="AA29" t="s">
        <v>1769</v>
      </c>
      <c r="AB29" t="s">
        <v>1770</v>
      </c>
      <c r="AC29" t="s">
        <v>1771</v>
      </c>
      <c r="AD29" t="s">
        <v>1772</v>
      </c>
      <c r="AE29" t="s">
        <v>1773</v>
      </c>
      <c r="AF29" t="s">
        <v>1774</v>
      </c>
      <c r="AG29" t="s">
        <v>1775</v>
      </c>
      <c r="AH29" t="s">
        <v>1776</v>
      </c>
      <c r="AI29" t="s">
        <v>1777</v>
      </c>
      <c r="AJ29" t="s">
        <v>1778</v>
      </c>
      <c r="AK29" t="s">
        <v>1779</v>
      </c>
      <c r="AL29" t="s">
        <v>1780</v>
      </c>
      <c r="AM29" t="s">
        <v>1780</v>
      </c>
      <c r="AN29" t="s">
        <v>1781</v>
      </c>
      <c r="AO29" t="s">
        <v>939</v>
      </c>
      <c r="AP29" t="s">
        <v>1782</v>
      </c>
      <c r="AQ29" t="s">
        <v>1783</v>
      </c>
      <c r="AR29" t="s">
        <v>1784</v>
      </c>
      <c r="AS29" t="s">
        <v>1785</v>
      </c>
      <c r="AT29" t="s">
        <v>1786</v>
      </c>
      <c r="AU29" t="s">
        <v>1787</v>
      </c>
      <c r="AV29" t="s">
        <v>1788</v>
      </c>
      <c r="AW29" t="s">
        <v>1789</v>
      </c>
      <c r="AX29" t="s">
        <v>1790</v>
      </c>
      <c r="AY29" t="s">
        <v>1791</v>
      </c>
      <c r="AZ29" t="s">
        <v>1792</v>
      </c>
      <c r="BA29" t="s">
        <v>1793</v>
      </c>
      <c r="BB29" t="s">
        <v>2111</v>
      </c>
      <c r="BC29" t="s">
        <v>2112</v>
      </c>
      <c r="BD29" t="s">
        <v>954</v>
      </c>
      <c r="BE29" t="s">
        <v>2113</v>
      </c>
      <c r="BF29" t="s">
        <v>2114</v>
      </c>
      <c r="BG29" t="s">
        <v>2115</v>
      </c>
      <c r="BH29" s="142" t="s">
        <v>239</v>
      </c>
      <c r="BI29" s="142" t="s">
        <v>242</v>
      </c>
    </row>
    <row r="30" spans="1:61">
      <c r="A30" t="s">
        <v>1635</v>
      </c>
      <c r="B30" t="s">
        <v>1744</v>
      </c>
      <c r="C30" t="s">
        <v>1794</v>
      </c>
      <c r="D30" t="s">
        <v>1746</v>
      </c>
      <c r="E30" t="s">
        <v>1747</v>
      </c>
      <c r="F30" t="s">
        <v>1795</v>
      </c>
      <c r="G30" t="s">
        <v>1754</v>
      </c>
      <c r="H30" t="s">
        <v>1796</v>
      </c>
      <c r="I30" t="s">
        <v>1797</v>
      </c>
      <c r="J30" t="s">
        <v>1798</v>
      </c>
      <c r="K30" t="s">
        <v>1799</v>
      </c>
      <c r="L30" t="s">
        <v>1754</v>
      </c>
      <c r="M30" t="s">
        <v>1755</v>
      </c>
      <c r="N30" t="s">
        <v>1756</v>
      </c>
      <c r="O30" t="s">
        <v>1757</v>
      </c>
      <c r="P30" t="s">
        <v>1800</v>
      </c>
      <c r="Q30" t="s">
        <v>1801</v>
      </c>
      <c r="R30" t="s">
        <v>1760</v>
      </c>
      <c r="S30" t="s">
        <v>1761</v>
      </c>
      <c r="T30" t="s">
        <v>1802</v>
      </c>
      <c r="U30" t="s">
        <v>1803</v>
      </c>
      <c r="V30" t="s">
        <v>1804</v>
      </c>
      <c r="W30" t="s">
        <v>1805</v>
      </c>
      <c r="X30" t="s">
        <v>1766</v>
      </c>
      <c r="Y30" t="s">
        <v>1767</v>
      </c>
      <c r="Z30" t="s">
        <v>1806</v>
      </c>
      <c r="AA30" t="s">
        <v>1769</v>
      </c>
      <c r="AB30" t="s">
        <v>1807</v>
      </c>
      <c r="AC30" t="s">
        <v>1808</v>
      </c>
      <c r="AD30" t="s">
        <v>1809</v>
      </c>
      <c r="AE30" t="s">
        <v>1810</v>
      </c>
      <c r="AF30" t="s">
        <v>1774</v>
      </c>
      <c r="AG30" t="s">
        <v>1775</v>
      </c>
      <c r="AH30" t="s">
        <v>1811</v>
      </c>
      <c r="AI30" t="s">
        <v>1812</v>
      </c>
      <c r="AJ30" t="s">
        <v>1813</v>
      </c>
      <c r="AK30" t="s">
        <v>1814</v>
      </c>
      <c r="AL30" t="s">
        <v>1780</v>
      </c>
      <c r="AM30" t="s">
        <v>1780</v>
      </c>
      <c r="AN30" t="s">
        <v>1815</v>
      </c>
      <c r="AO30" t="s">
        <v>1816</v>
      </c>
      <c r="AP30" t="s">
        <v>1782</v>
      </c>
      <c r="AQ30" t="s">
        <v>1783</v>
      </c>
      <c r="AR30" t="s">
        <v>1784</v>
      </c>
      <c r="AS30" t="s">
        <v>1785</v>
      </c>
      <c r="AT30" t="s">
        <v>1817</v>
      </c>
      <c r="AU30" t="s">
        <v>1818</v>
      </c>
      <c r="AV30" t="s">
        <v>1771</v>
      </c>
      <c r="AW30" t="s">
        <v>1819</v>
      </c>
      <c r="AX30" t="s">
        <v>1820</v>
      </c>
      <c r="AY30" t="s">
        <v>1821</v>
      </c>
      <c r="AZ30" t="s">
        <v>1822</v>
      </c>
      <c r="BA30" t="s">
        <v>1823</v>
      </c>
      <c r="BB30" t="s">
        <v>2111</v>
      </c>
      <c r="BC30" t="s">
        <v>2112</v>
      </c>
      <c r="BD30" s="142" t="s">
        <v>2116</v>
      </c>
      <c r="BE30" t="s">
        <v>2113</v>
      </c>
      <c r="BF30" t="s">
        <v>2114</v>
      </c>
      <c r="BG30" t="s">
        <v>2115</v>
      </c>
      <c r="BH30" s="142" t="s">
        <v>239</v>
      </c>
      <c r="BI30" s="142" t="s">
        <v>242</v>
      </c>
    </row>
    <row r="31" spans="1:61">
      <c r="A31" t="s">
        <v>1636</v>
      </c>
      <c r="B31" t="s">
        <v>1824</v>
      </c>
      <c r="C31" t="s">
        <v>1825</v>
      </c>
      <c r="D31" t="s">
        <v>1826</v>
      </c>
      <c r="E31" t="s">
        <v>1827</v>
      </c>
      <c r="F31" t="s">
        <v>1828</v>
      </c>
      <c r="G31" t="s">
        <v>1829</v>
      </c>
      <c r="H31" t="s">
        <v>1830</v>
      </c>
      <c r="I31" t="s">
        <v>1831</v>
      </c>
      <c r="J31" t="s">
        <v>1832</v>
      </c>
      <c r="K31" t="s">
        <v>1833</v>
      </c>
      <c r="L31" t="s">
        <v>1829</v>
      </c>
      <c r="M31" t="s">
        <v>1834</v>
      </c>
      <c r="N31" t="s">
        <v>1835</v>
      </c>
      <c r="O31" t="s">
        <v>1836</v>
      </c>
      <c r="P31" t="s">
        <v>1837</v>
      </c>
      <c r="Q31" t="s">
        <v>1838</v>
      </c>
      <c r="R31" t="s">
        <v>1839</v>
      </c>
      <c r="S31" t="s">
        <v>1840</v>
      </c>
      <c r="T31" t="s">
        <v>1841</v>
      </c>
      <c r="U31" t="s">
        <v>1842</v>
      </c>
      <c r="V31" t="s">
        <v>1843</v>
      </c>
      <c r="W31" t="s">
        <v>1844</v>
      </c>
      <c r="X31" t="s">
        <v>1845</v>
      </c>
      <c r="Y31" t="s">
        <v>1846</v>
      </c>
      <c r="Z31" t="s">
        <v>1847</v>
      </c>
      <c r="AA31" t="s">
        <v>1848</v>
      </c>
      <c r="AB31" t="s">
        <v>1849</v>
      </c>
      <c r="AC31" t="s">
        <v>1850</v>
      </c>
      <c r="AD31" t="s">
        <v>1851</v>
      </c>
      <c r="AE31" t="s">
        <v>1852</v>
      </c>
      <c r="AF31" t="s">
        <v>1853</v>
      </c>
      <c r="AG31" t="s">
        <v>1854</v>
      </c>
      <c r="AH31" t="s">
        <v>1855</v>
      </c>
      <c r="AI31" t="s">
        <v>1856</v>
      </c>
      <c r="AJ31" t="s">
        <v>1857</v>
      </c>
      <c r="AK31" t="s">
        <v>1858</v>
      </c>
      <c r="AL31" t="s">
        <v>1859</v>
      </c>
      <c r="AM31" t="s">
        <v>1859</v>
      </c>
      <c r="AN31" t="s">
        <v>1860</v>
      </c>
      <c r="AO31" t="s">
        <v>1861</v>
      </c>
      <c r="AP31" t="s">
        <v>1862</v>
      </c>
      <c r="AQ31" t="s">
        <v>1863</v>
      </c>
      <c r="AR31" t="s">
        <v>1864</v>
      </c>
      <c r="AS31" t="s">
        <v>1865</v>
      </c>
      <c r="AT31" t="s">
        <v>1866</v>
      </c>
      <c r="AU31" t="s">
        <v>1867</v>
      </c>
      <c r="AV31" t="s">
        <v>1868</v>
      </c>
      <c r="AW31" t="s">
        <v>1869</v>
      </c>
      <c r="AX31" t="s">
        <v>1870</v>
      </c>
      <c r="AY31" t="s">
        <v>1871</v>
      </c>
      <c r="AZ31" t="s">
        <v>1872</v>
      </c>
      <c r="BA31" t="s">
        <v>1873</v>
      </c>
      <c r="BB31" t="s">
        <v>2117</v>
      </c>
      <c r="BC31" t="s">
        <v>2119</v>
      </c>
      <c r="BD31" t="s">
        <v>2118</v>
      </c>
      <c r="BE31" t="s">
        <v>2120</v>
      </c>
      <c r="BF31" t="s">
        <v>2121</v>
      </c>
      <c r="BG31" t="s">
        <v>2122</v>
      </c>
      <c r="BH31" s="142" t="s">
        <v>239</v>
      </c>
      <c r="BI31" s="142" t="s">
        <v>242</v>
      </c>
    </row>
    <row r="32" spans="1:61">
      <c r="A32" t="s">
        <v>1637</v>
      </c>
      <c r="B32" t="s">
        <v>1874</v>
      </c>
      <c r="C32" t="s">
        <v>1875</v>
      </c>
      <c r="D32" t="s">
        <v>1876</v>
      </c>
      <c r="E32" t="s">
        <v>1877</v>
      </c>
      <c r="F32" t="s">
        <v>1878</v>
      </c>
      <c r="G32" t="s">
        <v>1879</v>
      </c>
      <c r="H32" t="s">
        <v>1880</v>
      </c>
      <c r="I32" t="s">
        <v>1881</v>
      </c>
      <c r="J32" t="s">
        <v>1882</v>
      </c>
      <c r="K32" t="s">
        <v>1883</v>
      </c>
      <c r="L32" t="s">
        <v>1884</v>
      </c>
      <c r="M32" t="s">
        <v>1885</v>
      </c>
      <c r="N32" t="s">
        <v>1886</v>
      </c>
      <c r="O32" t="s">
        <v>1887</v>
      </c>
      <c r="P32" t="s">
        <v>1888</v>
      </c>
      <c r="Q32" t="s">
        <v>1889</v>
      </c>
      <c r="R32" t="s">
        <v>1890</v>
      </c>
      <c r="S32" t="s">
        <v>1891</v>
      </c>
      <c r="T32" t="s">
        <v>1892</v>
      </c>
      <c r="U32" t="s">
        <v>1893</v>
      </c>
      <c r="V32" t="s">
        <v>1894</v>
      </c>
      <c r="W32" t="s">
        <v>1895</v>
      </c>
      <c r="X32" t="s">
        <v>1896</v>
      </c>
      <c r="Y32" t="s">
        <v>1897</v>
      </c>
      <c r="Z32" t="s">
        <v>1898</v>
      </c>
      <c r="AA32" t="s">
        <v>1899</v>
      </c>
      <c r="AB32" t="s">
        <v>1900</v>
      </c>
      <c r="AC32" t="s">
        <v>1901</v>
      </c>
      <c r="AD32" t="s">
        <v>1902</v>
      </c>
      <c r="AE32" t="s">
        <v>1903</v>
      </c>
      <c r="AF32" t="s">
        <v>1904</v>
      </c>
      <c r="AG32" t="s">
        <v>1905</v>
      </c>
      <c r="AH32" t="s">
        <v>1906</v>
      </c>
      <c r="AI32" t="s">
        <v>1907</v>
      </c>
      <c r="AJ32" t="s">
        <v>1908</v>
      </c>
      <c r="AK32" t="s">
        <v>1909</v>
      </c>
      <c r="AL32" t="s">
        <v>1910</v>
      </c>
      <c r="AM32" t="s">
        <v>1910</v>
      </c>
      <c r="AN32" t="s">
        <v>1911</v>
      </c>
      <c r="AO32" t="s">
        <v>1912</v>
      </c>
      <c r="AP32" t="s">
        <v>1446</v>
      </c>
      <c r="AQ32" t="s">
        <v>1913</v>
      </c>
      <c r="AR32" t="s">
        <v>1914</v>
      </c>
      <c r="AS32" t="s">
        <v>1915</v>
      </c>
      <c r="AT32" t="s">
        <v>1916</v>
      </c>
      <c r="AU32" t="s">
        <v>1917</v>
      </c>
      <c r="AV32" t="s">
        <v>1918</v>
      </c>
      <c r="AW32" t="s">
        <v>1919</v>
      </c>
      <c r="AX32" t="s">
        <v>1920</v>
      </c>
      <c r="AY32" t="s">
        <v>1921</v>
      </c>
      <c r="AZ32" t="s">
        <v>1922</v>
      </c>
      <c r="BA32" t="s">
        <v>1923</v>
      </c>
      <c r="BB32" t="s">
        <v>2123</v>
      </c>
      <c r="BC32" t="s">
        <v>2125</v>
      </c>
      <c r="BD32" t="s">
        <v>2124</v>
      </c>
      <c r="BE32" t="s">
        <v>2126</v>
      </c>
      <c r="BF32" t="s">
        <v>2127</v>
      </c>
      <c r="BG32" t="s">
        <v>2128</v>
      </c>
      <c r="BH32" s="142" t="s">
        <v>239</v>
      </c>
      <c r="BI32" s="142" t="s">
        <v>242</v>
      </c>
    </row>
    <row r="33" spans="1:61">
      <c r="A33" t="s">
        <v>1638</v>
      </c>
      <c r="B33" t="s">
        <v>1924</v>
      </c>
      <c r="C33" t="s">
        <v>1925</v>
      </c>
      <c r="D33" t="s">
        <v>1926</v>
      </c>
      <c r="E33" t="s">
        <v>1927</v>
      </c>
      <c r="F33" t="s">
        <v>1928</v>
      </c>
      <c r="G33" t="s">
        <v>1929</v>
      </c>
      <c r="H33" t="s">
        <v>1930</v>
      </c>
      <c r="I33" t="s">
        <v>1931</v>
      </c>
      <c r="J33" t="s">
        <v>1932</v>
      </c>
      <c r="K33" t="s">
        <v>1933</v>
      </c>
      <c r="L33" t="s">
        <v>1934</v>
      </c>
      <c r="M33" t="s">
        <v>1935</v>
      </c>
      <c r="N33" t="s">
        <v>1936</v>
      </c>
      <c r="O33" t="s">
        <v>1937</v>
      </c>
      <c r="P33" t="s">
        <v>1938</v>
      </c>
      <c r="Q33" t="s">
        <v>1939</v>
      </c>
      <c r="R33" t="s">
        <v>1940</v>
      </c>
      <c r="S33" t="s">
        <v>1941</v>
      </c>
      <c r="T33" t="s">
        <v>1942</v>
      </c>
      <c r="U33" t="s">
        <v>1943</v>
      </c>
      <c r="V33" t="s">
        <v>1944</v>
      </c>
      <c r="W33" t="s">
        <v>1945</v>
      </c>
      <c r="X33" t="s">
        <v>1946</v>
      </c>
      <c r="Y33" t="s">
        <v>1947</v>
      </c>
      <c r="Z33" t="s">
        <v>1948</v>
      </c>
      <c r="AA33" t="s">
        <v>1949</v>
      </c>
      <c r="AB33" t="s">
        <v>1950</v>
      </c>
      <c r="AC33" t="s">
        <v>1951</v>
      </c>
      <c r="AD33" t="s">
        <v>1952</v>
      </c>
      <c r="AE33" t="s">
        <v>1953</v>
      </c>
      <c r="AF33" t="s">
        <v>1954</v>
      </c>
      <c r="AG33" t="s">
        <v>1955</v>
      </c>
      <c r="AH33" t="s">
        <v>1956</v>
      </c>
      <c r="AI33" t="s">
        <v>1957</v>
      </c>
      <c r="AJ33" t="s">
        <v>1958</v>
      </c>
      <c r="AK33" t="s">
        <v>1959</v>
      </c>
      <c r="AL33" t="s">
        <v>1960</v>
      </c>
      <c r="AM33" t="s">
        <v>1960</v>
      </c>
      <c r="AN33" t="s">
        <v>1961</v>
      </c>
      <c r="AO33" t="s">
        <v>1962</v>
      </c>
      <c r="AP33" t="s">
        <v>1963</v>
      </c>
      <c r="AQ33" t="s">
        <v>1964</v>
      </c>
      <c r="AR33" t="s">
        <v>1965</v>
      </c>
      <c r="AS33" t="s">
        <v>1966</v>
      </c>
      <c r="AT33" t="s">
        <v>1967</v>
      </c>
      <c r="AU33" t="s">
        <v>1968</v>
      </c>
      <c r="AV33" t="s">
        <v>1969</v>
      </c>
      <c r="AW33" t="s">
        <v>1970</v>
      </c>
      <c r="AX33" t="s">
        <v>1971</v>
      </c>
      <c r="AY33" t="s">
        <v>1972</v>
      </c>
      <c r="AZ33" t="s">
        <v>1973</v>
      </c>
      <c r="BA33" t="s">
        <v>1974</v>
      </c>
      <c r="BB33" t="s">
        <v>2129</v>
      </c>
      <c r="BC33" t="s">
        <v>2131</v>
      </c>
      <c r="BD33" t="s">
        <v>2130</v>
      </c>
      <c r="BE33" t="s">
        <v>2132</v>
      </c>
      <c r="BF33" t="s">
        <v>2133</v>
      </c>
      <c r="BG33" t="s">
        <v>2134</v>
      </c>
      <c r="BH33" s="142" t="s">
        <v>239</v>
      </c>
      <c r="BI33" s="142" t="s">
        <v>242</v>
      </c>
    </row>
    <row r="34" spans="1:61">
      <c r="A34" t="s">
        <v>1639</v>
      </c>
      <c r="B34" t="s">
        <v>1975</v>
      </c>
      <c r="C34" t="s">
        <v>1975</v>
      </c>
      <c r="D34" t="s">
        <v>1976</v>
      </c>
      <c r="E34" t="s">
        <v>1976</v>
      </c>
      <c r="F34" t="s">
        <v>1977</v>
      </c>
      <c r="G34" t="s">
        <v>1977</v>
      </c>
      <c r="H34" t="s">
        <v>1978</v>
      </c>
      <c r="I34" t="s">
        <v>1978</v>
      </c>
      <c r="J34" t="s">
        <v>1979</v>
      </c>
      <c r="K34" t="s">
        <v>1979</v>
      </c>
      <c r="L34" t="s">
        <v>1980</v>
      </c>
      <c r="M34" t="s">
        <v>1980</v>
      </c>
      <c r="N34" t="s">
        <v>1981</v>
      </c>
      <c r="O34" t="s">
        <v>1981</v>
      </c>
      <c r="P34" t="s">
        <v>1982</v>
      </c>
      <c r="Q34" t="s">
        <v>1982</v>
      </c>
      <c r="R34" t="s">
        <v>1983</v>
      </c>
      <c r="S34" t="s">
        <v>1983</v>
      </c>
      <c r="T34" t="s">
        <v>1984</v>
      </c>
      <c r="U34" t="s">
        <v>1984</v>
      </c>
      <c r="V34" t="s">
        <v>1985</v>
      </c>
      <c r="W34" t="s">
        <v>1985</v>
      </c>
      <c r="X34" t="s">
        <v>1986</v>
      </c>
      <c r="Y34" t="s">
        <v>1986</v>
      </c>
      <c r="Z34" t="s">
        <v>1987</v>
      </c>
      <c r="AA34" t="s">
        <v>1987</v>
      </c>
      <c r="AB34" t="s">
        <v>1988</v>
      </c>
      <c r="AC34" t="s">
        <v>1988</v>
      </c>
      <c r="AD34" t="s">
        <v>1989</v>
      </c>
      <c r="AE34" t="s">
        <v>1989</v>
      </c>
      <c r="AF34" t="s">
        <v>1990</v>
      </c>
      <c r="AG34" t="s">
        <v>1990</v>
      </c>
      <c r="AH34" t="s">
        <v>1991</v>
      </c>
      <c r="AI34" t="s">
        <v>1991</v>
      </c>
      <c r="AJ34" t="s">
        <v>1992</v>
      </c>
      <c r="AK34" t="s">
        <v>1992</v>
      </c>
      <c r="AL34" t="s">
        <v>1993</v>
      </c>
      <c r="AM34" t="s">
        <v>1993</v>
      </c>
      <c r="AN34" t="s">
        <v>1994</v>
      </c>
      <c r="AO34" t="s">
        <v>1994</v>
      </c>
      <c r="AP34" t="s">
        <v>1995</v>
      </c>
      <c r="AQ34" t="s">
        <v>1995</v>
      </c>
      <c r="AR34" t="s">
        <v>1996</v>
      </c>
      <c r="AS34" t="s">
        <v>1996</v>
      </c>
      <c r="AT34" t="s">
        <v>1997</v>
      </c>
      <c r="AU34" t="s">
        <v>1997</v>
      </c>
      <c r="AV34" t="s">
        <v>1998</v>
      </c>
      <c r="AW34" t="s">
        <v>1998</v>
      </c>
      <c r="AX34" t="s">
        <v>1999</v>
      </c>
      <c r="AY34" t="s">
        <v>1999</v>
      </c>
      <c r="AZ34" t="s">
        <v>2000</v>
      </c>
      <c r="BA34" t="s">
        <v>2000</v>
      </c>
      <c r="BB34" t="s">
        <v>2135</v>
      </c>
      <c r="BC34" t="s">
        <v>2137</v>
      </c>
      <c r="BD34" t="s">
        <v>2136</v>
      </c>
      <c r="BE34" t="s">
        <v>2139</v>
      </c>
      <c r="BF34" s="142" t="s">
        <v>2138</v>
      </c>
      <c r="BG34" t="s">
        <v>2140</v>
      </c>
      <c r="BH34" s="142" t="s">
        <v>239</v>
      </c>
      <c r="BI34" s="142" t="s">
        <v>242</v>
      </c>
    </row>
    <row r="35" spans="1:61">
      <c r="A35" t="s">
        <v>1640</v>
      </c>
      <c r="B35" t="s">
        <v>2001</v>
      </c>
      <c r="C35" t="s">
        <v>2002</v>
      </c>
      <c r="D35" t="s">
        <v>2003</v>
      </c>
      <c r="E35" t="s">
        <v>2004</v>
      </c>
      <c r="F35" t="s">
        <v>2005</v>
      </c>
      <c r="G35" t="s">
        <v>2006</v>
      </c>
      <c r="H35" t="s">
        <v>2007</v>
      </c>
      <c r="I35" t="s">
        <v>2008</v>
      </c>
      <c r="J35" t="s">
        <v>1150</v>
      </c>
      <c r="K35" t="s">
        <v>2009</v>
      </c>
      <c r="L35" t="s">
        <v>2010</v>
      </c>
      <c r="M35" t="s">
        <v>2011</v>
      </c>
      <c r="N35" t="s">
        <v>2012</v>
      </c>
      <c r="O35" t="s">
        <v>1143</v>
      </c>
      <c r="P35" t="s">
        <v>2013</v>
      </c>
      <c r="Q35" t="s">
        <v>2014</v>
      </c>
      <c r="R35" t="s">
        <v>2015</v>
      </c>
      <c r="S35" t="s">
        <v>2016</v>
      </c>
      <c r="T35" t="s">
        <v>2017</v>
      </c>
      <c r="U35" t="s">
        <v>2018</v>
      </c>
      <c r="V35" t="s">
        <v>2019</v>
      </c>
      <c r="W35" t="s">
        <v>2020</v>
      </c>
      <c r="X35" t="s">
        <v>2021</v>
      </c>
      <c r="Y35" t="s">
        <v>2022</v>
      </c>
      <c r="Z35" t="s">
        <v>2023</v>
      </c>
      <c r="AA35" t="s">
        <v>2024</v>
      </c>
      <c r="AB35" t="s">
        <v>2025</v>
      </c>
      <c r="AC35" t="s">
        <v>2026</v>
      </c>
      <c r="AD35" t="s">
        <v>2027</v>
      </c>
      <c r="AE35" t="s">
        <v>2028</v>
      </c>
      <c r="AF35" t="s">
        <v>2029</v>
      </c>
      <c r="AG35" t="s">
        <v>2030</v>
      </c>
      <c r="AH35" t="s">
        <v>2031</v>
      </c>
      <c r="AI35" t="s">
        <v>2032</v>
      </c>
      <c r="AJ35" t="s">
        <v>2033</v>
      </c>
      <c r="AK35" t="s">
        <v>2034</v>
      </c>
      <c r="AL35" t="s">
        <v>2035</v>
      </c>
      <c r="AM35" t="s">
        <v>2035</v>
      </c>
      <c r="AN35" t="s">
        <v>2036</v>
      </c>
      <c r="AO35" t="s">
        <v>2037</v>
      </c>
      <c r="AP35" t="s">
        <v>2038</v>
      </c>
      <c r="AQ35" t="s">
        <v>2039</v>
      </c>
      <c r="AR35" t="s">
        <v>2040</v>
      </c>
      <c r="AS35" t="s">
        <v>1184</v>
      </c>
      <c r="AT35" t="s">
        <v>2041</v>
      </c>
      <c r="AU35" t="s">
        <v>2042</v>
      </c>
      <c r="AV35" t="s">
        <v>2026</v>
      </c>
      <c r="AW35" t="s">
        <v>2043</v>
      </c>
      <c r="AX35" t="s">
        <v>2044</v>
      </c>
      <c r="AY35" t="s">
        <v>2045</v>
      </c>
      <c r="AZ35" t="s">
        <v>2046</v>
      </c>
      <c r="BA35" t="s">
        <v>2047</v>
      </c>
      <c r="BB35" t="s">
        <v>1193</v>
      </c>
      <c r="BC35" s="142" t="s">
        <v>2142</v>
      </c>
      <c r="BD35" s="142" t="s">
        <v>2141</v>
      </c>
      <c r="BE35" s="150" t="s">
        <v>2143</v>
      </c>
      <c r="BF35" t="s">
        <v>2144</v>
      </c>
      <c r="BG35" t="s">
        <v>2145</v>
      </c>
      <c r="BH35" s="142" t="s">
        <v>239</v>
      </c>
      <c r="BI35" s="142" t="s">
        <v>242</v>
      </c>
    </row>
    <row r="36" spans="1:61">
      <c r="A36" t="s">
        <v>1641</v>
      </c>
      <c r="B36" t="s">
        <v>2048</v>
      </c>
      <c r="C36" t="s">
        <v>2049</v>
      </c>
      <c r="D36" t="s">
        <v>2050</v>
      </c>
      <c r="E36" t="s">
        <v>2051</v>
      </c>
      <c r="F36" t="s">
        <v>2052</v>
      </c>
      <c r="G36" t="s">
        <v>2053</v>
      </c>
      <c r="H36" t="s">
        <v>2054</v>
      </c>
      <c r="I36" t="s">
        <v>2055</v>
      </c>
      <c r="J36" t="s">
        <v>2056</v>
      </c>
      <c r="K36" t="s">
        <v>2057</v>
      </c>
      <c r="L36" t="s">
        <v>2058</v>
      </c>
      <c r="M36" t="s">
        <v>2059</v>
      </c>
      <c r="N36" t="s">
        <v>2060</v>
      </c>
      <c r="O36" t="s">
        <v>2061</v>
      </c>
      <c r="P36" t="s">
        <v>2062</v>
      </c>
      <c r="Q36" t="s">
        <v>2063</v>
      </c>
      <c r="R36" t="s">
        <v>2064</v>
      </c>
      <c r="S36" t="s">
        <v>2065</v>
      </c>
      <c r="T36" t="s">
        <v>2066</v>
      </c>
      <c r="U36" t="s">
        <v>2067</v>
      </c>
      <c r="V36" t="s">
        <v>2068</v>
      </c>
      <c r="W36" t="s">
        <v>2069</v>
      </c>
      <c r="X36" t="s">
        <v>2070</v>
      </c>
      <c r="Y36" t="s">
        <v>2071</v>
      </c>
      <c r="Z36" t="s">
        <v>2072</v>
      </c>
      <c r="AA36" t="s">
        <v>2073</v>
      </c>
      <c r="AB36" t="s">
        <v>2074</v>
      </c>
      <c r="AC36" t="s">
        <v>2075</v>
      </c>
      <c r="AD36" t="s">
        <v>2076</v>
      </c>
      <c r="AE36" t="s">
        <v>2077</v>
      </c>
      <c r="AF36" t="s">
        <v>2078</v>
      </c>
      <c r="AG36" t="s">
        <v>2079</v>
      </c>
      <c r="AH36" t="s">
        <v>2080</v>
      </c>
      <c r="AI36" t="s">
        <v>2081</v>
      </c>
      <c r="AJ36" t="s">
        <v>2082</v>
      </c>
      <c r="AK36" t="s">
        <v>2083</v>
      </c>
      <c r="AL36" t="s">
        <v>2084</v>
      </c>
      <c r="AM36" t="s">
        <v>2084</v>
      </c>
      <c r="AN36" t="s">
        <v>2085</v>
      </c>
      <c r="AO36" t="s">
        <v>2086</v>
      </c>
      <c r="AP36" t="s">
        <v>2087</v>
      </c>
      <c r="AQ36" t="s">
        <v>2088</v>
      </c>
      <c r="AR36" t="s">
        <v>2089</v>
      </c>
      <c r="AS36" t="s">
        <v>2090</v>
      </c>
      <c r="AT36" t="s">
        <v>2091</v>
      </c>
      <c r="AU36" t="s">
        <v>2092</v>
      </c>
      <c r="AV36" t="s">
        <v>2093</v>
      </c>
      <c r="AW36" t="s">
        <v>2094</v>
      </c>
      <c r="AX36" t="s">
        <v>2095</v>
      </c>
      <c r="AY36" t="s">
        <v>2096</v>
      </c>
      <c r="AZ36" t="s">
        <v>2097</v>
      </c>
      <c r="BA36" t="s">
        <v>2098</v>
      </c>
      <c r="BB36" t="s">
        <v>2146</v>
      </c>
      <c r="BC36" t="s">
        <v>2151</v>
      </c>
      <c r="BD36" t="s">
        <v>2147</v>
      </c>
      <c r="BE36" t="s">
        <v>2148</v>
      </c>
      <c r="BF36" t="s">
        <v>2149</v>
      </c>
      <c r="BG36" t="s">
        <v>2150</v>
      </c>
      <c r="BH36" s="142" t="s">
        <v>239</v>
      </c>
      <c r="BI36" s="142" t="s">
        <v>242</v>
      </c>
    </row>
    <row r="37" spans="1:61">
      <c r="A37" t="s">
        <v>2152</v>
      </c>
      <c r="B37" t="s">
        <v>2153</v>
      </c>
      <c r="C37" t="s">
        <v>2154</v>
      </c>
      <c r="D37" t="s">
        <v>2155</v>
      </c>
      <c r="E37" t="s">
        <v>2156</v>
      </c>
      <c r="F37" t="s">
        <v>2157</v>
      </c>
      <c r="G37" t="s">
        <v>2158</v>
      </c>
      <c r="H37" t="s">
        <v>2159</v>
      </c>
      <c r="I37" t="s">
        <v>2160</v>
      </c>
      <c r="J37" t="s">
        <v>1308</v>
      </c>
      <c r="K37" t="s">
        <v>2161</v>
      </c>
      <c r="L37" t="s">
        <v>1310</v>
      </c>
      <c r="M37" t="s">
        <v>2162</v>
      </c>
      <c r="N37" t="s">
        <v>2163</v>
      </c>
      <c r="O37" t="s">
        <v>2164</v>
      </c>
      <c r="P37" t="s">
        <v>2165</v>
      </c>
      <c r="Q37" t="s">
        <v>2166</v>
      </c>
      <c r="R37" t="s">
        <v>2167</v>
      </c>
      <c r="S37" t="s">
        <v>1317</v>
      </c>
      <c r="T37" t="s">
        <v>2168</v>
      </c>
      <c r="U37" t="s">
        <v>2169</v>
      </c>
      <c r="V37" t="s">
        <v>2170</v>
      </c>
      <c r="W37" t="s">
        <v>2171</v>
      </c>
      <c r="X37" t="s">
        <v>1322</v>
      </c>
      <c r="Y37" t="s">
        <v>2172</v>
      </c>
      <c r="Z37" t="s">
        <v>2173</v>
      </c>
      <c r="AA37" t="s">
        <v>1325</v>
      </c>
      <c r="AB37" t="s">
        <v>2174</v>
      </c>
      <c r="AC37" t="s">
        <v>2175</v>
      </c>
      <c r="AD37" t="s">
        <v>2176</v>
      </c>
      <c r="AE37" t="s">
        <v>2177</v>
      </c>
      <c r="AF37" t="s">
        <v>2178</v>
      </c>
      <c r="AG37" t="s">
        <v>2179</v>
      </c>
      <c r="AH37" t="s">
        <v>2180</v>
      </c>
      <c r="AI37" t="s">
        <v>2181</v>
      </c>
      <c r="AJ37" t="s">
        <v>2182</v>
      </c>
      <c r="AK37" t="s">
        <v>2183</v>
      </c>
      <c r="AL37" t="s">
        <v>2184</v>
      </c>
      <c r="AM37" t="s">
        <v>2185</v>
      </c>
      <c r="AN37" t="s">
        <v>2186</v>
      </c>
      <c r="AO37" t="s">
        <v>2187</v>
      </c>
      <c r="AP37" t="s">
        <v>1340</v>
      </c>
      <c r="AQ37" t="s">
        <v>2188</v>
      </c>
      <c r="AR37" t="s">
        <v>1342</v>
      </c>
      <c r="AS37" t="s">
        <v>1343</v>
      </c>
      <c r="AT37" t="s">
        <v>2189</v>
      </c>
      <c r="AU37" t="s">
        <v>2190</v>
      </c>
      <c r="AV37" t="s">
        <v>2191</v>
      </c>
      <c r="AW37" t="s">
        <v>2192</v>
      </c>
      <c r="AX37" t="s">
        <v>1348</v>
      </c>
      <c r="AY37" t="s">
        <v>1349</v>
      </c>
      <c r="AZ37" t="s">
        <v>2193</v>
      </c>
      <c r="BA37" t="s">
        <v>2194</v>
      </c>
      <c r="BB37" t="s">
        <v>2196</v>
      </c>
      <c r="BC37" t="s">
        <v>2197</v>
      </c>
      <c r="BD37" t="s">
        <v>2198</v>
      </c>
      <c r="BE37" t="s">
        <v>2199</v>
      </c>
      <c r="BF37" t="s">
        <v>2200</v>
      </c>
      <c r="BG37" t="s">
        <v>2201</v>
      </c>
      <c r="BH37" t="s">
        <v>1358</v>
      </c>
      <c r="BI37" t="s">
        <v>2195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Microsoft Office User</cp:lastModifiedBy>
  <dcterms:created xsi:type="dcterms:W3CDTF">2012-03-20T13:56:56Z</dcterms:created>
  <dcterms:modified xsi:type="dcterms:W3CDTF">2021-05-05T15:03:01Z</dcterms:modified>
</cp:coreProperties>
</file>