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NVScriptsProperties" sheetId="1" state="hidden" r:id="rId3"/>
    <sheet name="Kertas Kerja" sheetId="2" state="visible" r:id="rId4"/>
    <sheet name="REKOMENDASI DAN RENCANA TINDAK " sheetId="3" state="hidden" r:id="rId5"/>
    <sheet name="DO NOT DELETE - AutoCrat Job Se" sheetId="4"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<sst xmlns="http://schemas.openxmlformats.org/spreadsheetml/2006/main" count="519" uniqueCount="423">
  <si>
    <t xml:space="preserve">autocratn</t>
  </si>
  <si>
    <t xml:space="preserve">autocratp</t>
  </si>
  <si>
    <t xml:space="preserve">dataSheetName</t>
  </si>
  <si>
    <t xml:space="preserve">"Daftar Dokumen Pendukung"</t>
  </si>
  <si>
    <t xml:space="preserve">v</t>
  </si>
  <si>
    <t xml:space="preserve">"5.1"</t>
  </si>
  <si>
    <t xml:space="preserve">dataSheetId</t>
  </si>
  <si>
    <t xml:space="preserve">"2.2044236E8"</t>
  </si>
  <si>
    <t xml:space="preserve">updateTime</t>
  </si>
  <si>
    <t xml:space="preserve">"1.7566179705E12"</t>
  </si>
  <si>
    <t xml:space="preserve">vp</t>
  </si>
  <si>
    <t xml:space="preserve">ssId</t>
  </si>
  <si>
    <t xml:space="preserve">"1RIicaEcqdSqh-Xn8I2xm-q5tL9CEtOWRiKG89hvKJF8"</t>
  </si>
  <si>
    <t xml:space="preserve">PENILAIAN AKREDITASI PROGRAM STUDI</t>
  </si>
  <si>
    <t xml:space="preserve">PETUNJUK PENGISIAN : SEL NILAI YANG DIISI HANYA YANG BERWARNA MERAH sesuai dengan peran anda</t>
  </si>
  <si>
    <r>
      <rPr>
        <b val="true"/>
        <sz val="17"/>
        <color rgb="FFFFFFFF"/>
        <rFont val="Calibri"/>
        <family val="0"/>
        <charset val="1"/>
      </rPr>
      <t xml:space="preserve">AUDITI
Pengisian pada sel berwarna </t>
    </r>
    <r>
      <rPr>
        <b val="true"/>
        <sz val="17"/>
        <color rgb="FFFF0000"/>
        <rFont val="Calibri"/>
        <family val="0"/>
        <charset val="1"/>
      </rPr>
      <t xml:space="preserve">merah</t>
    </r>
  </si>
  <si>
    <r>
      <rPr>
        <b val="true"/>
        <sz val="17"/>
        <color rgb="FFFFFFFF"/>
        <rFont val="Calibri"/>
        <family val="0"/>
        <charset val="1"/>
      </rPr>
      <t xml:space="preserve">KETUA AUDITOR
Pengisian pada sel berwarna </t>
    </r>
    <r>
      <rPr>
        <b val="true"/>
        <sz val="17"/>
        <color rgb="FFFF0000"/>
        <rFont val="Calibri"/>
        <family val="0"/>
        <charset val="1"/>
      </rPr>
      <t xml:space="preserve">merah </t>
    </r>
    <r>
      <rPr>
        <b val="true"/>
        <sz val="17"/>
        <color rgb="FFFFFFFF"/>
        <rFont val="Calibri"/>
        <family val="0"/>
        <charset val="1"/>
      </rPr>
      <t xml:space="preserve">pada kolom nilai, deskripsi kondisi dan kategori kondisi</t>
    </r>
  </si>
  <si>
    <t xml:space="preserve">Kriteria</t>
  </si>
  <si>
    <t xml:space="preserve">Elemen</t>
  </si>
  <si>
    <t xml:space="preserve">INDIKATOR PENILAIAN</t>
  </si>
  <si>
    <t xml:space="preserve">NILAI </t>
  </si>
  <si>
    <t xml:space="preserve">SKOR</t>
  </si>
  <si>
    <t xml:space="preserve">Dokumen pendukung</t>
  </si>
  <si>
    <t xml:space="preserve">DESKRIPSI KONDISI</t>
  </si>
  <si>
    <t xml:space="preserve">KATEGORI KONDISI</t>
  </si>
  <si>
    <t xml:space="preserve">RATA - RATA</t>
  </si>
  <si>
    <t xml:space="preserve">Rata rata</t>
  </si>
  <si>
    <t xml:space="preserve">Kondisi Eksternal</t>
  </si>
  <si>
    <t xml:space="preserve">Konsistensi dengan hasil analisis SWOT dan/atau analisis lain serta rencana pengembangan ke depan.</t>
  </si>
  <si>
    <t xml:space="preserve">Skor 0
UPPS tidak mampu:
• Mengidentifikasi kondisi lingkungan dan industri yang relevan
• Menetapkan posisi relatif program studi terhadap lingkungannya
Skor 1
UPPS kurang mampu:
• Mengidentifikasi kondisi lingkungan dan industri yang relevan
• Menetapkan posisi relatif program studi terhadap lingkungannya
Skor 2
UPPS mampu:
• Mengidentifikasi kondisi lingkungan dan industri yang relevan
• Menetapkan posisi relatif program studi terhadap lingkungannya
Skor 3
UPPS mampu secara komprehensif:
• Mengidentifikasi kondisi lingkungan dan industri yang relevan
• Menetapkan posisi relatif program studi terhadap lingkungannya
• Menggunakan hasil identifikasi dan posisi tersebut untuk melakukan analisis (SWOT atau metode relevan lainnya) guna pengembangan program studi
Skor 4
UPPS mampu secara komprehensif dan strategis:
• Mengidentifikasi kondisi lingkungan dan industri yang relevan
• Menetapkan posisi relatif program studi terhadap lingkungannya
• Menggunakan hasil identifikasi dan posisi tersebut untuk melakukan analisis (SWOT atau metode relevan lainnya) untuk pengembangan program studi
• Merumuskan strategi pengembangan yang berkesesuaian untuk menghasilkan program-program pengembangan alternatif yang tepat</t>
  </si>
  <si>
    <t xml:space="preserve"> </t>
  </si>
  <si>
    <t xml:space="preserve"> Keserbacakupan informasi dalam profil dan konsistensi antara profil dengan data dan informasi yang disampaikan pada masing-masing kriteria, serta menunjukkan iklim yang kondusif untuk pengembangan dan reputasi sebagai rujukan di bidang keilmuannya. </t>
  </si>
  <si>
    <t xml:space="preserve">Skor 0
Profil UPPS tidak menunjukkan:
— Keserbacakupan informasi yang jelas berdasarkan data dan informasi yang disampaikan pada masing-masing kriteria
Skor 1
Profil UPPS kurang menunjukkan:
— Keserbacakupan informasi yang jelas dengan data dan informasi yang disampaikan pada masing-masing kriteria
— Keselarasan dengan substansi keilmuan program studi
Skor 2
Profil UPPS menunjukkan:
— Keserbacakupan informasi yang jelas dengan data dan informasi yang disampaikan pada masing-masing kriteria
— Keselarasan dengan substansi keilmuan program studi
Skor 3
Profil UPPS menunjukkan:
— Keserbacakupan informasi yang jelas dan konsisten dengan data dan informasi yang disampaikan pada masing-masing kriteria
— Keselarasan dengan substansi keilmuan program studi
— Iklim yang kondusif untuk pengembangan keilmuan program studi
Skor 4
Profil UPPS menunjukkan:
— Keserbacakupan informasi yang jelas dan konsisten dengan data dan informasi yang disampaikan pada masing-masing kriteria
— Keselarasan dengan substansi keilmuan program studi
— Iklim yang kondusif untuk pengembangan keilmuan program studi
— Reputasi sebagai rujukan di bidang keilmuannya</t>
  </si>
  <si>
    <t xml:space="preserve">Kriteria 1 - Visi, Misi,Tujuan dan Strategi</t>
  </si>
  <si>
    <t xml:space="preserve"> Kesesuaian Visi, Misi, Tujuan, dan Strategi (VMTS) Unit Pengelola Program Studi (UPPS) terhadap VMTS Perguruan Tinggi (PT) dan visi keilmuan Program Studi (PS) yang dikelolanya. </t>
  </si>
  <si>
    <t xml:space="preserve">Skor 0
UPPS memiliki misi, tujuan, dan strategi yang tidak terkait dengan strategi perguruan tinggi dan pengembangan program studi.
Skor 1
UPPS memiliki:
— Visi yang mencerminkan visi perguruan tinggi namun tidak memayungi visi keilmuan terkait program studi
— Misi, tujuan, dan strategi yang kurang searah dengan misi, tujuan, sasaran, dan strategi perguruan tinggi
— Kurang mendukung pengembangan program studi
Skor 2
UPPS memiliki:
— Visi yang mencerminkan visi perguruan tinggi dan memayungi visi keilmuan terkait program studi
— Misi, tujuan, dan strategi yang searah dengan misi, tujuan, dan strategi perguruan tinggi
— Mendukung pengembangan program studi
Skor 3
UPPS memiliki:
— Visi yang mencerminkan visi perguruan tinggi dan memayungi visi keilmuan terkait keunikan program studi
— Misi, tujuan, dan strategi yang searah dan bersinergi dengan misi, tujuan, dan strategi perguruan tinggi
— Mendukung pengembangan program studi
Skor 4
UPPS memiliki:
— Visi yang mencerminkan visi perguruan tinggi dan memayungi visi keilmuan terkait keunikan program studi, serta didukung data implementasi yang konsisten
— Misi, tujuan, dan strategi yang searah dan bersinergi dengan misi, tujuan, dan strategi perguruan tinggi
— Mendukung pengembangan program studi dengan data implementasi yang konsisten</t>
  </si>
  <si>
    <t xml:space="preserve">Mekanisme dan keterlibatan pemangku kepentingan dalam penyusunan VMTS UPPS.</t>
  </si>
  <si>
    <t xml:space="preserve">Skor 0
Tidak ada mekanisme dalam penyusunan dan penetapan visi, misi, tujuan, dan strategi.
Skor 1
Ada mekanisme dalam penyusunan dan penetapan visi, misi, tujuan, dan strategi yang terdokumentasi,
namun tidak melibatkan pemangku kepentingan.
Skor 2
Ada mekanisme dalam penyusunan dan penetapan visi, misi, tujuan, dan strategi yang terdokumentasi,
serta melibatkan:
— Pemangku kepentingan internal (dosen dan mahasiswa)
— Pemangku kepentingan eksternal (lulusan)
Skor 3
Ada mekanisme dalam penyusunan dan penetapan visi, misi, tujuan, dan strategi yang terdokumentasi,
serta melibatkan:
— Pemangku kepentingan internal (dosen, mahasiswa, dan tenaga kependidikan)
— Pemangku kepentingan eksternal (lulusan dan pengguna lulusan)
Skor 4
Ada mekanisme dalam penyusunan dan penetapan visi, misi, tujuan, dan strategi yang terdokumentasi,
serta melibatkan semua pemangku kepentingan:
— Internal: dosen, mahasiswa, dan tenaga kependidikan
— Eksternal: lulusan, pengguna lulusan, dan pakar/mitra/organisasi profesi/pemerintah</t>
  </si>
  <si>
    <t xml:space="preserve">Strategi pencapaian tujuan disusun berdasarkan analisis yang sistematis, serta pada pelaksanaannya dilakukan pemantauan dan evaluasi yang ditindaklanjuti.</t>
  </si>
  <si>
    <t xml:space="preserve"> Skor  0 = Tidak memiliki strategi untuk mencapai tujuan.
Skor 1 = Strategi untuk mencapai tujuan disusun berdasarkan analisis yang kurang sistematis serta tidak menggunakan metoda yang relevan.
Skor 2 = Strategi untuk mencapai tujuan dan disusun berdasarkan analisis yang sistematis dengan menggunakan metoda yang relevan serta terdokumentasi namun belum terbukti efektifitasnya.
Skor 3 = Strategi efektif untuk mencapai tujuan dan disusun berdasarkan analisis yang sistematis dengan menggunakan metoda yang relevan dan terdokumentasi serta pada pelaksanaannya dilakukan pemantauan dan evaluasi.
Skor 4 = Strategi efektif untuk mencapai tujuan dan disusun berdasarkan analisis yang sistematis dengan menggunakan metoda yang relevan dan terdokumentasi serta pada pelaksanaannya dilakukan pemantauan dan evaluasi dan ditindaklanjuti.</t>
  </si>
  <si>
    <t xml:space="preserve">Kriteria 2- Tata Pamong, Tata Kelola dan Kerjasama</t>
  </si>
  <si>
    <t xml:space="preserve">A. Kelengkapan struktur organisasi dan keefektifan penyelenggaraan organisasi.</t>
  </si>
  <si>
    <t xml:space="preserve">
Skor  0 = UPPS tidak memiliki dokumen formal struktur organisasi.
Skor 1 = UPPS memiliki dokumen formal struktur organisasi dan tata kerja namun tugas dan fungsi belum berjalan secara konsisten.
Skor 2 = UPPS memiliki dokumen formal struktur organisasi dan tata kerja yang dilengkapi tugas dan fungsinya, serta telah berjalan secara konsisten.
Skor 3 = UPPS memiliki dokumen formal struktur organisasi dan tata kerja yang dilengkapi tugas dan
fungsinya, serta telah berjalan secara konsisten dan menjamin tata pamong yang baik.
Skor 4 = UPPS memiliki dokumen formal struktur organisasi dan tata kerja yang dilengkapi tugas dan
fungsinya, serta telah berjalan secara konsisten dan menjamin tata pamong yang baik serta berjalan efektif dan efisien.</t>
  </si>
  <si>
    <t xml:space="preserve">B. Perwujudan good governance dan pemenuhan lima pilar sistem tata pamong, yang mencakup:
1) Kredibel,
2) Transparan,
3) Akuntabel,
4) Bertanggung jawab,
5) Adil</t>
  </si>
  <si>
    <t xml:space="preserve"> Skor 1 = UPPS memiliki praktek baik (best practices) dalam menerapkan tata pamong yang memenuhi 1 s.d. 2 kaidah good governance untuk menjamin penyelenggaraan program studi yang bermutu.
Skor 2 = UPPS memiliki praktek baik (best practices) dalam menerapkan tata pamong yang memenuhi 3 kaidah good governance untuk menjamin penyelenggaraan program studi yang bermutu.
Skor 3 = UPPS memiliki praktek baik (best practices) dalam menerapkan tata pamong yang memenuhi 4 kaidah good governance untuk menjamin penyelenggaraan program studi yang bermutu.
Skor 4 = UPPS memiliki praktek baik (best practices) dalam menerapkan tata pamong yang memenuhi 5 kaidah good governance untuk menjamin penyelenggaraan program studi yang bermutu.</t>
  </si>
  <si>
    <t xml:space="preserve">Skor = (A + (2 x B)) / 3</t>
  </si>
  <si>
    <t xml:space="preserve">A. Komitmen pimpinan UPPS.</t>
  </si>
  <si>
    <t xml:space="preserve"> Skor 2 = Terdapat bukti/pengakuan yang sahih bahwa pimpinan UPPS memiliki salah satu karakter diantara kepemimpinan operasional, organisasi, dan publik.
Skor 3 = Terdapat bukti/pengakuan yang sahih bahwa pimpinan UPPS memiliki 2 karakter diantara kepemimpinan operasional, organisasi, dan publik.
Skor 4 = Terdapat bukti/pengakuan yang sahih bahwa pimpinan UPPS memiliki karakter kepemimpinanoperasional, organisasi, dan publik.</t>
  </si>
  <si>
    <t xml:space="preserve">B. Kapabilitas pimpinan UPPS, mencakup aspek:
1) perencanaan,
2) pengorganisasian,
3) penempatan personel,
4) pelaksanaan,
5) pengendalian dan pengawasan, dan
6) pelaporan yang menjadi dasar tindak lanjut.</t>
  </si>
  <si>
    <t xml:space="preserve"> Skor 1 = Pimpinan UPPS mampu melaksanakan kurang dari 6 fungsi manajemen.
Skor 2 = Pimpinan UPPS mampu melaksanakan 6 fungsi manajemen secara efektif.
Skor 3 = Pimpinan UPPS mampu :
1) melaksanakan 6 fungsi manajemen secara efektif dan efisien,
2) mengantisipasi dan menyelesaikan masalah pada situasi yang tidak terduga.
Skor 4 = Pimpinan UPPS mampu :
1) melaksanakan 6 fungsi manajemen secara efektif dan efisien,
2) mengantisipasi dan menyelesaikan masalah pada situasi yang tidak terduga,
3) melakukan inovasi untuk menghasilkan nilai tambah.</t>
  </si>
  <si>
    <t xml:space="preserve">
Mutu, manfaat, kepuasan, dan keberlanjutan kerja sama pendidikan, penelitian, dan PkM yang relevan dengan program studi. UPPS memiliki bukti yang sahih bahwa kerja sama yang ada telah memenuhi tiga aspek berikut:
1. Memberikan manfaat bagi program studi dalam pemenuhan proses pembelajaran, penelitian, dan PkM,
2. Memberikan peningkatan kinerja tridharma dan fasilitas pendukung program studi,
3. Memberikan kepuasan kepada mitra industri dan mitra kerja sama lainnya, serta menjamin keberlanjutan kerja sama dan hasilnya.</t>
  </si>
  <si>
    <t xml:space="preserve"> Skor 1 = UPPS tidak memiliki bukti pelaksanaan kerjasama.
Skor 2 = UPPS memiliki bukti yang sahih terkait kerjasama yang ada telah memenuhi aspek 1.
Skor 3 = UPPS memiliki bukti yang sahih terkait kerjasama yang ada telah memenuhi aspek 1 dan 2.
Skor 4 = UPPS memiliki bukti yang sahih terkait kerjasama yang ada telah memenuhi 3 aspek.</t>
  </si>
  <si>
    <t xml:space="preserve">A. Kerjasama pendidikan, penelitian, dan PkM yang relevan dengan program studi dan dikelola oleh UPPS dalam 3 tahun terakhir.
Tabel 1 LKPS</t>
  </si>
  <si>
    <t xml:space="preserve">Jika RK ≥ 4 , maka A = 4</t>
  </si>
  <si>
    <t xml:space="preserve">Jika RK &lt; 4 , maka A = RK</t>
  </si>
  <si>
    <t xml:space="preserve">Keterangan :
RK = ((a x N1) + (b x N2) + (c x N3)) / NDTPS
Faktor: a = 3 , b = 2 , c = 1</t>
  </si>
  <si>
    <t xml:space="preserve">N1 = Jumlah kerjasama pendidikan.</t>
  </si>
  <si>
    <t xml:space="preserve">N2 = Jumlah kerjasama penelitian.</t>
  </si>
  <si>
    <t xml:space="preserve">N3 = Jumlah kerjasama PkM.</t>
  </si>
  <si>
    <t xml:space="preserve">NDTPS = Jumlah dosen tetap yang ditugaskan sebagai pengampu mata kuliah dengan bidang keahlian yang sesuai dengan kompetensi inti program studi yang diakreditasi.</t>
  </si>
  <si>
    <t xml:space="preserve">B. Kerjasama tingkat internasional, nasional, wilayah/lokal yang relevan dengan program studi dan dikelola oleh UPPS dalam 3 tahun terakhir.
Tabel 1 LKPS</t>
  </si>
  <si>
    <t xml:space="preserve">Jika NI ≥ a , maka B = 4
Jika NI &lt; a dan NN ≥ b , maka B = 3 + (NI / a)
Jika NI = 0 dan NN = 0 dan NL ≥ c , maka B = 2
Jika 0 &lt; NI &lt; a dan 0 &lt; NN &lt; b , maka B = 2 + (2 x (NI/a)) + (NN/b) - ((NI x NN)/(a x b))
Jika NI = 0 dan NN = 0 dan NL &lt; c , maka B = (2 x NL) / c
Keterangan :
Faktor: a = 2 , b = 6 , c = 9</t>
  </si>
  <si>
    <t xml:space="preserve">NI = Jumlah kerjasama tingkat internasional.</t>
  </si>
  <si>
    <t xml:space="preserve">NN = Jumlah kerjasama tingkat nasional.</t>
  </si>
  <si>
    <t xml:space="preserve">NW = Jumlah kerjasama tingkat wilayah/lokal.</t>
  </si>
  <si>
    <t xml:space="preserve">Skor = ((2 x A) + B) / 3</t>
  </si>
  <si>
    <t xml:space="preserve">Pelampauan SN-DIKTI yang ditetapkan dengan indikator kinerja tambahan yang berlaku di UPPS berdasarkan standar pendidikan tinggi yang ditetapkan perguruan tinggi pada tiap kriteria.</t>
  </si>
  <si>
    <t xml:space="preserve"> Skor 2 = UPPS tidak menetapkan indikator kinerja tambahan.
Skor 3 =  UPPS menetapkan indikator kinerja tambahan berdasarkan standar pendidikan tinggi yang ditetapkan oleh perguruan tinggi. Indikator kinerja tambahan tersebut mencakup sebagian kriteria serta menunjukkan daya saing UPPS dan program studi di tingkat nasional. Data indikator kinerja tambahan telah diukur, dimonitor, dikaji, dan dianalisis untuk perbaikan secara berkelanjutan.
Skor 4 =  UPPS menetapkan indikator kinerja tambahan berdasarkan standar pendidikan tinggi yang ditetapkan oleh perguruan tinggi. Indikator kinerja tambahan mencakup seluruh kriteria serta menunjukkan daya saing UPPS dan program studi di tingkat internasional. Data indikator kinerja tambahan telah diukur, dimonitor, dikaji, dan dianalisis untuk perbaikan secara berkelanjutan. </t>
  </si>
  <si>
    <t xml:space="preserve">
Analisis keberhasilan dan/atau ketidakberhasilan pencapaian kinerja UPPS yang telah ditetapkan di tiap kriteria memenuhi dua aspek berikut:
1. Capaian kinerja diukur dengan metode yang tepat, hasilnya dianalisis serta dievaluasi,
2. Analisis terhadap capaian kinerja mencakup identifikasi akar masalah, faktor pendukung keberhasilan, faktor penghambat ketercapaian standar, serta deskripsi singkat tindak lanjut yang akan dilakukan.</t>
  </si>
  <si>
    <t xml:space="preserve"> Skor 0 = UPPS tidak memiliki laporan pencapaian kinerja.
Skor 1 = UPPS memiliki laporan pencapaian kinerja namun belum dianalisis dan dievaluasi.
Skor  2 = Analisis pencapaian kinerja UPPS di tiap kriteria memenuhi 2 aspek.
Skor 3 =Analisis pencapaian kinerja UPPS di tiap kriteria memenuhi 2 aspek dan dilaksanakan setiap tahun.
Skor 4 = Analisis pencapaian kinerja UPPS di tiap kriteria memenuhi 2 aspek, dilaksanakan setiap tahun dan hasilnya dipublikasikan kepada para pemangku kepentingan.</t>
  </si>
  <si>
    <t xml:space="preserve">
Keterlaksanaan Sistem Penjaminan Mutu Internal (akademik dan nonakademik) dibuktikan melalui keberadaan lima aspek berikut: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</si>
  <si>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 xml:space="preserve"> Skor 0 = UPPS telah memiliki dokumen legal pembentukan unsur pelaksana penjaminan mutu tanpa pelaksanaan SPMI.
Skor 1 = UPPS telah melaksanakan SPMI yang memenuhi aspek nomor 1 dan 2, serta siklus kegiatan SPMI baru dilaksanakan pada tahapan penetapan standar dan pelaksanaan standar pendidikan tinggi.
Skor 2 = UPPS telah melaksanakan SPMI yang memenuhi aspek nomor 1 sampai dengan 3.
Skor 3 = UPPS telah melaksanakan SPMI yang memenuhi aspek nomor 1 sampai dengan 4.
Skor  4 = UPPS telah melaksanakan SPMI yang memenuhi 5 aspek.</t>
  </si>
  <si>
    <t xml:space="preserve">
Pengukuran kepuasan para pemangku kepentingan (mahasiswa, dosen, tenaga kependidikan, lulusan, pengguna, mitra industri, dan mitra lainnya) terhadap layanan manajemen memenuhi aspek-aspek berikut:
1. Menggunakan instrumen kepuasan yang sahih, andal, dan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6. Hasilnya dipublikasikan dan mudah diakses oleh dosen dan mahasiswa.</t>
  </si>
  <si>
    <t xml:space="preserve"> Skor 0 = UPPS tidak melakukan pengukuran kepuasan layanan manajemen.
Skor 1 = Unit pengelola melakukan pengukuran kepuasan layanan manajemen terhadap sebagian pemangku kepentingan dan memenuhi aspek 1 s.d. 4.
Skor 2 = Unit pengelola melakukan pengukuran kepuasan layanan manajemen terhadap seluruh
pemangku kepentingan dan memenuhi aspek 1 s.d. 4.
Skor  3 = Unit pengelola melakukan pengukuran kepuasan layanan manajemen terhadap seluruh pemangku kepentingan dan memenuhi aspek 1 s.d 4 ditambah aspek 5 atau aspek 6.
Skor 4 = Unit pengelola melakukan pengukuran kepuasan layanan manajemen terhadap seluruh pemangku kepentingan dan memenuhi aspek 1 s.d 6.</t>
  </si>
  <si>
    <t xml:space="preserve">Kriteria 3-Mahasiswa</t>
  </si>
  <si>
    <t xml:space="preserve">A. Metoda rekrutmen dan keketatan seleksi.</t>
  </si>
  <si>
    <t xml:space="preserve">Pilih kelompok program studi berdasarkan jumlah kebutuhan lulusan sesuai pilihan yang tersedia.
1: Tinggi; 2: Rendah.</t>
  </si>
  <si>
    <r>
      <rPr>
        <b val="true"/>
        <sz val="11"/>
        <color rgb="FF000000"/>
        <rFont val="Calibri"/>
        <family val="0"/>
        <charset val="1"/>
      </rPr>
      <t xml:space="preserve">Untuk program studi dengan jumlah kebutuhan lulusan tinggi berlaku perhitungan sebagai berikut.
</t>
    </r>
    <r>
      <rPr>
        <sz val="11"/>
        <color rgb="FF000000"/>
        <rFont val="Calibri"/>
        <family val="0"/>
        <charset val="1"/>
      </rPr>
      <t xml:space="preserve">
    Jika Rasio &gt;= 5 , maka Skor = 4 .
    Jika Rasio &lt; 5 , maka Skor = (4 x Rasio) / 5 .</t>
    </r>
  </si>
  <si>
    <t xml:space="preserve">Rasio</t>
  </si>
  <si>
    <r>
      <rPr>
        <b val="true"/>
        <sz val="11"/>
        <color rgb="FF000000"/>
        <rFont val="Calibri"/>
        <family val="0"/>
        <charset val="1"/>
      </rPr>
      <t xml:space="preserve">
Untuk program studi dengan jumlah kebutuhan lulusan rendah berlaku perhitungan sebagai berikut.
</t>
    </r>
    <r>
      <rPr>
        <sz val="11"/>
        <color rgb="FF000000"/>
        <rFont val="Calibri"/>
        <family val="0"/>
        <charset val="1"/>
      </rPr>
      <t xml:space="preserve">
    Jika tidak ada mahasiswa baru terdaftar pada TS-4 s.d. TS , maka Skor = 0 .
    Jika tidak selalu ada mahasiswa baru terdaftar pada TS-4 s.d. TS , maka Skor = 2
    Jika selalu ada mahasiswa baru terdaftar pada TS-4 s.d. TS, maka Skor = 4 .</t>
    </r>
  </si>
  <si>
    <t xml:space="preserve">A. Peningkatan animo calon mahasiswa.
Tabel 2.a LKPS</t>
  </si>
  <si>
    <t xml:space="preserve">Skor 0 = UPPS tidak melakukan upaya untuk meningkatkan animo calon mahasiswa dalam 3 tahun terakhir.
Skor 1 = UPPS melakukan upaya untuk meningkatkan animo calon mahasiswa dalam 3 tahun terakhir namun trennya menurun.
Skor 2 = UPPS melakukan upaya untuk meningkatkan animo calon mahasiswa dalam 3 tahun terakhir dengan tren tetap.
Skor 3 = UPPS melakukan upaya untuk meningkatkan animo calon mahasiswa yang ditunjukkan dengan adanya tren peningkatan jumlah pendaftar dalam 3 tahun terakhir.
Skor 4 = UPPS melakukan upaya untuk meningkatkan animo calon mahasiswa yang ditunjukkan dengan
adanya tren peningkatan jumlah pendaftar secara signifikan (&gt; 10%) dalam 3 tahun terakhir.
</t>
  </si>
  <si>
    <t xml:space="preserve">B. Mahasiswa asing
Tabel 2.b LKPS</t>
  </si>
  <si>
    <t xml:space="preserve">    Jika PMA &lt; 1% , maka B = 2 + (200 x PMA)
    Jika PMA ≥ 1% , maka B = 4
</t>
  </si>
  <si>
    <t xml:space="preserve">PMA</t>
  </si>
  <si>
    <t xml:space="preserve">A. Ketersediaan layanan kemahasiswaan di bidang:
1) penalaran, minat dan bakat,
2) kesejahteraan (bimbingan dan konseling, layanan
beasiswa, dan layanan kesehatan), dan
3) bimbingan karir dan kewirausahaan.</t>
  </si>
  <si>
    <t xml:space="preserve"> Skor  0 = Tidak memiliki layanan kemahasiswaan.
Skor 1 = Jenis layanan hanya mencakup sebagian bidang penalaran, minat atau bakat.
Skor 2 = Jenis layanan mencakup bidang penalaran, minat dan bakat mahasiswa.
Skor 3 = Jenis layanan mencakup bidang penalaran, minat dan bakat, dan kesejahteraan (bimbingan dan konseling, layanan beasiswa, dan layanan kesehatan).
Skor 4 = Jenis layanan mencakup bidang penalaran, minat dan bakat, kesejahteraan (bimbingan dan konseling, layanan beasiswa, dan layanan kesehatan), dan bimbingan karir dan kewirausahaan.</t>
  </si>
  <si>
    <t xml:space="preserve">B. Akses dan mutu layanan kemahasiswaan.</t>
  </si>
  <si>
    <t xml:space="preserve"> Skor  0 = Tidak memiliki layanan kemahasiswaan.
Skor 1 = Mutu layanan kurang baik untuk bidang penalaran atau minat bakat mahasiswa.
Skor 2 = Ada kemudahan akses dan mutu layanan yang baik untuk bidang penalaran dan minat bakat 
Skor 3 = Ada kemudahan akses dan mutu layanan yang baik untuk bidang penalaran, minat bakat mahasiswa dan sebagian layanan kesehatan.
Skor 4 = Ada kemudahan akses dan mutu layanan yang baik untuk bidang penalaran, minat bakat mahasiswa dan semua jenis layanan kesehatan.</t>
  </si>
  <si>
    <t xml:space="preserve">Kriteria 4 - Sumber Daya Manusia</t>
  </si>
  <si>
    <t xml:space="preserve">Kecukupan jumlah DTPS.
Tabel 3.a.1) LKPS</t>
  </si>
  <si>
    <t xml:space="preserve">Jika NDTPS &lt; 3 , maka Skor = 0
Jika 3 ≤ NDTPS &lt; 12 , maka Skor = ((2 x NDTPS) + 12) / 9
Jika NDTPS ≥ 12 , maka Skor = 4</t>
  </si>
  <si>
    <t xml:space="preserve">Kualifikasi akademik DTPS.
Tabel 3.a.1) LKPS</t>
  </si>
  <si>
    <t xml:space="preserve">Jika PGBLKL ≥ 70% , maka Skor = 4
Jika PGBLKL &lt; 70% , maka Skor = 2 + ((20 x PGBLKL) /7)</t>
  </si>
  <si>
    <t xml:space="preserve">PDS3 = (NDS3 / NDTPS) x 100%</t>
  </si>
  <si>
    <t xml:space="preserve">NDS3 = Jumlah DTPS yang berpendidikan tertinggi Doktor/Doktor Terapan/Subspesialis.</t>
  </si>
  <si>
    <t xml:space="preserve">Jabatan akademik DTPS.
Tabel 3.a.1) LKPS</t>
  </si>
  <si>
    <t xml:space="preserve">NDGB = Jumlah DTPS yang memiliki jabatan akademik Guru Besar.</t>
  </si>
  <si>
    <t xml:space="preserve">NDLK = Jumlah DTPS yang memiliki jabatan akademik Lektor Kepala.</t>
  </si>
  <si>
    <t xml:space="preserve">NDL = Jumlah DTPS yang memiliki jabatan akademik Lektor.</t>
  </si>
  <si>
    <t xml:space="preserve">PGBLKL = ((NDGB + NDLK + NDL) / NDTPS) x 100%</t>
  </si>
  <si>
    <t xml:space="preserve">Rasio jumlah mahasiswa program studi terhadap jumlah DTPS.
Tabel 2.a LKPS
Tabel 3.a.1) LKPS</t>
  </si>
  <si>
    <t xml:space="preserve">Pilih kelompok program studi sesuai pilihan yang tersedia.
1: Saintek (Sains Teknologi); 2: Soshum (Sosial Humaniora)</t>
  </si>
  <si>
    <t xml:space="preserve">NM = Jumlah mahasiswa pada saat TS.</t>
  </si>
  <si>
    <t xml:space="preserve">NDTPS = Jumlah dosen tetap yang ditugaskan sebagai pengampu mata kuliah dengan bidang keahlian yang sesuai dengan kompetensi inti program studi yang diakreditasi. </t>
  </si>
  <si>
    <t xml:space="preserve">RMD</t>
  </si>
  <si>
    <t xml:space="preserve">SKOR AKHIR</t>
  </si>
  <si>
    <t xml:space="preserve">Penugasan DTPS sebagai pembimbing utama tugas akhir mahasiswa.</t>
  </si>
  <si>
    <t xml:space="preserve">Jika RDPU ≤ 6 , maka Skor = 4
Jika 6 &lt; RDPU ≤ 10 , maka Skor = 7 - (RDPU / 2)
Jika RDPU &gt; 10 , maka Skor = 0</t>
  </si>
  <si>
    <t xml:space="preserve">RDPU = Rata-rata jumlah bimbingan sebagai pembimbing utama di seluruh program/ semester.</t>
  </si>
  <si>
    <t xml:space="preserve">Ekuivalensi Waktu Mengajar Penuh DTPS.
Tabel 3.a.3) LKPS</t>
  </si>
  <si>
    <t xml:space="preserve">Jika 12 ≤ EWMP ≤ 16 , maka Skor = 4
Jika 6 ≤ EWMP &lt; 12 , maka Skor = ((2 x EWMP) - 12) / 3
Jika 16 &lt; EWMP ≤ 18 , maka Skor = 36 - (2 x EWMP)
Jika EWMP &lt; 6 atau EWMP &gt; 18 , maka Skor = 0</t>
  </si>
  <si>
    <t xml:space="preserve">EWMP</t>
  </si>
  <si>
    <t xml:space="preserve">Dosen tidak tetap.
Tabel 3.a.4) LKPS</t>
  </si>
  <si>
    <t xml:space="preserve">Jika PDTT ≤ 10% , maka Skor = 4
Jika 10% &lt; PDTT ≤ 40% , maka Skor = (14 - (20 x PDTT)) / 3
Jika PDTT &gt; 40% , maka Skor = 0</t>
  </si>
  <si>
    <t xml:space="preserve">NDTT = Jumlah dosen tidak tetap yang ditugaskan sebagai pengampu mata kuliah di program studi yang diakreditasi.</t>
  </si>
  <si>
    <t xml:space="preserve">NDT = Jumlah dosen tetap yang ditugaskan sebagai pengampu mata kuliah di program studi yang diakreditasi.</t>
  </si>
  <si>
    <t xml:space="preserve">PDTT = (NDTT / (NDT + NDTT)) x 100%</t>
  </si>
  <si>
    <t xml:space="preserve">Pengakuan/rekognisi atas kepakaran/prestasi/kinerja DTPS.
Tabel 3.b.1) LKPS
Pengakuan/rekognisi atas kepakaran/prestasi/kinerja DTPS dapat berupa:
a) menjadi visiting lecturer atau visiting scholar di program studi/perguruan tinggi terakreditasi A/Unggul atau program studi/perguruan tinggi
internasional bereputasi.
b) menjadi keynote speaker/invited speaker pada pertemuan ilmiah tingkat nasional/ internasional.
c) menjadi editor atau mitra bestari pada jurnal nasional terakreditasi/jurnal internasional bereputasi di bidang yang sesuai dengan bidang
program studi.
d) menjadi staf ahli/narasumber di lembaga tingkat wilayah/nasional/internasional pada bidang yang sesuai dengan bidang program studi (untuk
pengusul dari program studi pada program Sarjana/Magister/Doktor), atau menjadi tenaga ahli/konsultan di lembaga/industri tingkat
wilayah/nasional/ internasional pada bidang yang sesuai dengan bidang program studi (untuk pengusul dari program studi pada program
Diploma Tiga/Sarjana Terapan/Magister Terapan/Doktor Terapan).
e) mendapat penghargaan atas prestasi dan kinerja di tingkat wilayah/nasional/internasional.</t>
  </si>
  <si>
    <t xml:space="preserve">    Jika RRD ≥ 0,5 , maka Skor = 4
    Jika RRD &lt; 0,5 , maka Skor = 2 + (4 x RRD) .</t>
  </si>
  <si>
    <t xml:space="preserve">RRD = NRD / NDTPS</t>
  </si>
  <si>
    <t xml:space="preserve">NRD = Jumlah pengakuan atas prestasi/kinerja DTPS yang relevan dengan bidang keahlian dalam 3 tahun terakhir.</t>
  </si>
  <si>
    <t xml:space="preserve">Kegiatan penelitian DTPS yang relevan dengan bidang program studi dalam 3 tahun terakhir.
Tabel 3.b.2) LKPS</t>
  </si>
  <si>
    <t xml:space="preserve">Jika RI ≥ a , maka Skor = 4
Jika RI &lt; a dan RN ≥ b , maka Skor = 3 + (RI / a)
Jika RI = 0 dan RN = 0 dan RL ≥ c , maka Skor = 2
Jika 0 &lt; RI &lt; a dan 0 &lt; RN &lt; b , maka Skor = 2 + (2 x (RI/a)) + (RN/b) - ((RI x RN)/(a x b))
Jika RI = 0 dan RN = 0 dan RL &lt; c , maka Skor = (2 x RL) / c
Faktor: a = 0,05 , b = 0,3 , c = 1</t>
  </si>
  <si>
    <t xml:space="preserve">RI = NI / 3 / NDTPS ,</t>
  </si>
  <si>
    <t xml:space="preserve">RN = NN / 3 / NDTPS ,</t>
  </si>
  <si>
    <t xml:space="preserve">RL = NL / 3 / NDTPS</t>
  </si>
  <si>
    <t xml:space="preserve">NI = Jumlah penelitian dengan sumber pembiayaan luar negeri dalam 3 tahun terakhir.</t>
  </si>
  <si>
    <t xml:space="preserve">NN = Jumlah penelitian dengan sumber pembiayaan dalam negeri dalam 3 tahun terakhir.</t>
  </si>
  <si>
    <t xml:space="preserve">NL = Jumlah penelitian dengan sumber pembiayaan PT/ mandiri dalam 3 tahun terakhir.</t>
  </si>
  <si>
    <t xml:space="preserve">Kegiatan PkM DTPS yang relevan dengan bidang program studi dalam 3 tahun terakhir.
Tabel 3.b.3) LKPS</t>
  </si>
  <si>
    <t xml:space="preserve">Jika 0 &lt; RI &lt; a dan 0 &lt; RN &lt; b , maka Skor = 2 + (2 x (RI/a)) + (RN/b) - ((RI x RN)/(a x b))
Jika RI = 0 dan RN = 0 dan RL &lt; c , maka Skor = (2 x RL) / c
Faktor: a = 0,05 , b = 0,3 , c = 1</t>
  </si>
  <si>
    <t xml:space="preserve">NI = Jumlah PkM dengan sumber pembiayaan luar negeri dalam 3 tahun terakhir.</t>
  </si>
  <si>
    <t xml:space="preserve">NN = Jumlah PkM dengan sumber pembiayaan dalam negeri dalam 3 tahun terakhir.</t>
  </si>
  <si>
    <t xml:space="preserve">NL = Jumlah PkM dengan sumber pembiayaan PT/ mandiri dalam 3 tahun terakhir.</t>
  </si>
  <si>
    <t xml:space="preserve">Publikasi ilmiah dengan tema yang relevan dengan bidang program studi yang dihasilkan DTPS dalam 3 tahun terakhir.
Tabel 3.b.4) LKPS</t>
  </si>
  <si>
    <t xml:space="preserve">Jika RI ≥ a, maka Skor = 4
Jika RI &lt; a dan RN ≥ b , maka Skor = 3 + (RI / a)
Jika RI = 0 dan RN = 0 dan RW ≥ c , maka Skor = 2
Jika 0 &lt; RI &lt; a dan 0 &lt; RN &lt; b , maka Skor = 2 + (2 x (RI/a)) + (RN/b) - ((RI x RN)/(a x b))
Jika RI = 0 dan RN = 0 dan RW &lt; c , maka Skor = (2 x RW) / c
Faktor: a = 0,1 ,b = 1 , c = 2</t>
  </si>
  <si>
    <t xml:space="preserve">RW = (NA1 + NB1 + NC1) / NDTPS ,</t>
  </si>
  <si>
    <t xml:space="preserve">RN = (NA2 + NA3 + NB2 + NC2) / NDTPS ,</t>
  </si>
  <si>
    <t xml:space="preserve">RI = (NA4 + NB3 + NC3) / NDTPS</t>
  </si>
  <si>
    <t xml:space="preserve">NA1 = Jumlah publikasi di jurnal nasional tidak terakreditasi.</t>
  </si>
  <si>
    <t xml:space="preserve">NA2 = Jumlah publikasi di jurnal nasional terakreditasi.</t>
  </si>
  <si>
    <t xml:space="preserve">NA3 = Jumlah publikasi di jurnal internasional.</t>
  </si>
  <si>
    <t xml:space="preserve">NA4 = Jumlah publikasi di jurnal internasional bereputasi.</t>
  </si>
  <si>
    <t xml:space="preserve">NB1 = Jumlah publikasi di seminar wilayah/lokal/PT.</t>
  </si>
  <si>
    <t xml:space="preserve">NB2 = Jumlah publikasi di seminar nasional.</t>
  </si>
  <si>
    <t xml:space="preserve">NB3 = Jumlah publikasi di seminar internasional.</t>
  </si>
  <si>
    <t xml:space="preserve">NC1 = Jumlah tulisan di media massa wilayah.</t>
  </si>
  <si>
    <t xml:space="preserve">NC1 = Jumlah tulisan di media massa nasional.</t>
  </si>
  <si>
    <t xml:space="preserve">NC3 = Jumlah tulisan di media massa internasional.</t>
  </si>
  <si>
    <t xml:space="preserve">Artikel karya ilmiah DTPS yang disitasi dalam 3 tahun terakhir.
Tabel 3.b.5) LKPS</t>
  </si>
  <si>
    <t xml:space="preserve">Jika RS ≥ 0,5 , maka Skor = 4 .
Jika RS &lt; 0,5 , maka Skor = 2 + (4 x RS).</t>
  </si>
  <si>
    <t xml:space="preserve">RS = NAS / NDTPS</t>
  </si>
  <si>
    <t xml:space="preserve">NAS = jumlah artikel yang disitasi.</t>
  </si>
  <si>
    <t xml:space="preserve">Luaran penelitian dan PkM yang dihasilkan DTPS dalam 3 tahun terakhir.
Tabel 3.b.7) LKPS</t>
  </si>
  <si>
    <t xml:space="preserve">Jika RLP ≥ 1 , maka Skor 4 .
Jika RLP &lt; 1 , maka Skor = 2 + (2 x RLP) .</t>
  </si>
  <si>
    <t xml:space="preserve">RLP = (2 x (NA + NB + NC) + ND) / NDTPS</t>
  </si>
  <si>
    <t xml:space="preserve">NA = Jumlah luaran penelitian/PkM yang mendapat pengakuan HKI (Paten, Paten Sederhana)</t>
  </si>
  <si>
    <t xml:space="preserve">NB = Jumlah luaran penelitian/PkM yang mendapat pengakuan HKI (Hak Cipta, Desain Produk Industri, Perlindungan Varietas Tanaman, Desain Tata Letak Sirkuit Terpadu, dll.)</t>
  </si>
  <si>
    <t xml:space="preserve">NC = Jumlah luaran penelitian/PkM dalam bentuk Teknologi Tepat Guna, Produk (Produk Terstandarisasi, Produk Tersertifikasi), Karya Seni, Rekayasa Sosial.</t>
  </si>
  <si>
    <t xml:space="preserve">ND = Jumlah luaran penelitian/PkM yang diterbitkan dalam bentuk Buku ber-ISBN, Book Chapter.</t>
  </si>
  <si>
    <t xml:space="preserve">Upaya pengembangan dosen. 
Jika Skor rata-rata butir Profil Dosen &gt;= 3,5 , maka Skor = 4.</t>
  </si>
  <si>
    <t xml:space="preserve">Skor 0 = Perguruan tinggi dan/atau UPPS tidak memiliki rencana pengembangan SDM.
Skor 1 = UPPS mengembangkan DTPS tidak mengikuti atau tidak sesuai dengan rencana pengembangan SDM di perguruan tinggi (Renstra PT).
Skor 2 = UPPS mengembangkan DTPS mengikuti rencana pengembangan SDM di perguruan tinggi (Renstra PT).
Skor 3 = UPPS merencanakan dan mengembangkan DTPS mengikuti rencana pengembangan SDM di perguruan tinggi (Renstra PT).
Skor 4 = UPPS merencanakan dan mengembangkan DTPS mengikuti rencana pengembangan SDM di perguruan tinggi (Renstra PT) secara konsisten.</t>
  </si>
  <si>
    <t xml:space="preserve"> A. Kualifikasi dan kecukupan tenaga kependidikan berdasarkan jenis pekerjaannya (administrasi, pustakawan, teknisi, dll.).
Penilaian kecukupan tidak hanya ditentukan oleh jumlah tenaga kependidikan, tetapi juga mempertimbangkan keberadaan dan pemanfaatan teknologi informasi dan komputer dalam proses administrasi sebagai dasar untuk menilai efektivitas pekerjaan dan kebutuhan akan tenaga kependidikan. </t>
  </si>
  <si>
    <t xml:space="preserve"> Skor 0 = UPPS memiliki tenaga kependidikan yang tidak memenuhi tingkat kecukupan dan kualifikasi berdasarkan kebutuhan layanan program studi.
Skor 1 = UPPS memiliki tenaga kependidikan yang memenuhi tingkat kecukupan dan/atau kualifikasi berdasarkan kebutuhan layanan program studi dan mendukung pelaksanaan akademik.
Skor 2 = UPPS memiliki tenaga kependidikan yang memenuhi tingkat kecukupan dan kualifikasi berdasarkan kebutuhan layanan program studi dan mendukung pelaksanaan akademik.
Skor 3 = UPPS memiliki tenaga kependidikan yang memenuhi tingkat kecukupan dan kualifikasi berdasarkan kebutuhan layanan program studi dan mendukung pelaksanaan akademik dan fungsi unit pengelola.
Skor  4 = UPPS memiliki tenaga kependidikan yang memenuhi tingkat kecukupan dan kualifikasi berdasarkan kebutuhan layanan program studi dan mendukung pelaksanaan akademik, fungsi unit pengelola, serta pengembangan program studi.</t>
  </si>
  <si>
    <t xml:space="preserve">B. Kualifikasi dan kecukupan laboran untuk mendukung proses pembelajaran sesuai dengan kebutuhan program studi.</t>
  </si>
  <si>
    <t xml:space="preserve"> Skor  0 = UPPS tidak memiliki laboran.
Skor 1 = UPPS memiliki jumlah laboran yang cukup terhadap jumlah laboratorium yang digunakan program studi.
Skor 2 = UPPS memiliki jumlah laboran yang cukup terhadap jumlah laboratorium yang digunakan program studi dan kualifikasinya sesuai dengan laboratorium yang menjadi tanggungjawabnya.
Skor 3 = UPPS memiliki jumlah laboran yang cukupterhadap jumlah laboratorium yang digunakan program studi, kualifikasinya sesuai dengan laboratorium yang menjadi tanggungjawabnya, dan bersertifikat laboran atau bersertifikat kompetensi tertentu sesuai bidang tugasnya.
Skor 4 = UPPS memiliki jumlah laboran yang cukupterhadap jumlah laboratorium yang digunakan program studi, kualifikasinya sesuai dengan laboratorium yang menjadi tanggungjawabnya, serta bersertifikat laboran dan bersertifikat kompetensi tertentu sesuai bidang tugasnya.</t>
  </si>
  <si>
    <t xml:space="preserve">Skor = (A + B) / 2</t>
  </si>
  <si>
    <t xml:space="preserve">Kriteria 5 - Keuangan,Sarana danPrasarana</t>
  </si>
  <si>
    <t xml:space="preserve">Biaya operasional pendidikan.
Tabel 4 LKPS</t>
  </si>
  <si>
    <t xml:space="preserve">Jika DOP ≥ 20 , maka Skor = 4</t>
  </si>
  <si>
    <t xml:space="preserve">Jika DOP &lt; 20 , maka Skor = DOP / 5</t>
  </si>
  <si>
    <t xml:space="preserve">DOP = Rata-rata dana operasional pendidikan/mahasiswa/ tahun dalam 3 tahun terakhir (dalam juta rupiah).</t>
  </si>
  <si>
    <t xml:space="preserve">Dana penelitian DTPS.
Tabel 4 LKPS</t>
  </si>
  <si>
    <t xml:space="preserve">Jika DPD ≥ 10 , maka Skor = 4</t>
  </si>
  <si>
    <t xml:space="preserve">Jika DPD &lt; 10 , maka Skor = (2 x DPD) / 5</t>
  </si>
  <si>
    <t xml:space="preserve">DPD = Rata-rata dana penelitian DTPS/ tahun dalam 3 tahun terakhir (dalam juta rupiah).</t>
  </si>
  <si>
    <t xml:space="preserve">Dana pengabdian kepada masyarakat DTPS.
Tabel 4 LKPS</t>
  </si>
  <si>
    <t xml:space="preserve">Jika DPkMD ≥ 5 , maka Skor = 4</t>
  </si>
  <si>
    <t xml:space="preserve">Jika DPkMD &lt; 5 , maka Skor = (4 x DPkMD) / 5</t>
  </si>
  <si>
    <t xml:space="preserve">DPkMD = Rata-rata dana PkM DTPS/ tahun dalam 3 tahun terakhir (dalam juta rupiah).</t>
  </si>
  <si>
    <t xml:space="preserve">Realisasi investasi (SDM, sarana dan prasarana) yang mendukung penyelenggaraan tridharma. 
Jika Skor rata-rata butir tentang Profil Dosen, Sarana, dan Prasarana ≥ 3,5 , maka Skor butir ini = 4.</t>
  </si>
  <si>
    <t xml:space="preserve"> Skor 0 = Tidak ada realisasi untuk investasi SDM, sarana maupun prasarana.
Skor 1 = Realisasi investasi (SDM, sarana dan prasarana) belum memenuhi kebutuhan akan penyelenggaraan program pendidikan.
Skor 2 = Realisasi investasi (SDM, sarana dan prasarana) hanya memenuhi kebutuhan akan penyelenggaraan program pendidikan serta memenuhi standar perguruan tinggi terkait pendidikan.
Skor 3 = Realisasi investasi (SDM, sarana dan prasarana) hanya memenuhi sebagian kebutuhan akan penyelenggaraan program pendidikan, penelitian dan PkM serta memenuhi standar perguruan tinggi terkait pendidikan, penelitian dan PkM.
Skor 4 = Realisasi investasi (SDM, sarana dan prasarana) memenuhi seluruh kebutuhan akan penyelenggaraan program pendidikan, penelitian dan PkM serta memenuhi standar perguruan tinggi terkait pendidikan, penelitian dan PkM.</t>
  </si>
  <si>
    <t xml:space="preserve">Kecukupan dana untuk menjamin pencapaian capaian pembelajaran.</t>
  </si>
  <si>
    <t xml:space="preserve"> Skor 0 = Dana tidak mencukupi untuk keperluan operasional.
Skor 1 = Dana dapat menjamin keberlangsungan operasional dan tidak ada untuk pengembangan.
Skor 2 = Dana dapat menjamin keberlangsungan operasional tridharma dan sebagian kecil pengembangan.
Skor 3 = Dana dapat menjamin keberlangsungan operasional tridharma serta pengembangan 3 tahun terakhir.
Skor 4 = Dana dapat menjamin keberlangsungan operasional tridharma, pengembangan 3 tahun terakhir serta memiliki kecukupan dana untuk rencana pengembangan 3 tahun ke depan yang didukung oleh sumber pendanaan yang realistis.</t>
  </si>
  <si>
    <t xml:space="preserve">Kecukupan, aksesibilitas dan mutu sarana dan prasarana untuk menjamin pencapaian capaian pembelajaran dan meningkatkan suasana akademik.</t>
  </si>
  <si>
    <t xml:space="preserve"> Skor 0 = UPPS tidak memiliki sarana dan prasarana.
Skor 1 = UPPS menyediakan sarana dan prasarana serta aksesibiltas yang tidak cukup untuk menjamin pencapaian capaian pembelajaran.
Skor 2 = UPPS menyediakan sarana dan prasarana serta aksesibiltas yang cukup untuk menjamin pencapaian capaian pembelajaran.
Skor 3 = UPPS menyediakan sarana dan prasarana serta aksesibiltas yang cukup untuk menjamin pencapaian capaian pembelajaran dan meningkatkan suasana akademik.
Skor 4 = UPPS menyediakan sarana dan prasarana yang mutakhir serta aksesibiltas yang cukup untuk menjamin pencapaian capaian pembelajaran dan meningkatkan suasana akademik.</t>
  </si>
  <si>
    <t xml:space="preserve">Kriteria 6 - Pendidikan</t>
  </si>
  <si>
    <t xml:space="preserve">A. Keterlibatan pemangku kepentingan dalam proses evaluasi dan pemutakhiran kurikulum.</t>
  </si>
  <si>
    <t xml:space="preserve"> Skor 0 = Evaluasi dan pemutakhiran kurikulum dilakukan oleh dosen program studi.
Skor 1 = Evaluasi dan pemutakhiran kurikulum tidak melibatkan seluruh pemangku kepentingan internal.
Skor 2 = Evaluasi dan pemutakhiran kurikulum melibatkan pemangku kepentingan internal.
Skor 3 = Evaluasi dan pemutakhiran kurikulum secara berkala tiap 4 s.d. 5 tahun yang melibatkan pemangku kepentingan internal dan eksternal.
Skor 4 = Evaluasi dan pemutakhiran kurikulum secara berkala tiap 4 s.d. 5 tahun yang melibatkan pemangku kepentingan internal dan eksternal, serta direview oleh pakar bidang ilmu program studi, industri, asosiasi, serta sesuai perkembangan ipteks dan kebutuhan pengguna.</t>
  </si>
  <si>
    <t xml:space="preserve">B. Kesesuaian capaian pembelajaran dengan profil lulusan dan jenjang KKNI/SKKNI.</t>
  </si>
  <si>
    <t xml:space="preserve"> Skor  0 = Capaian pembelajaran tidak diturunkan dari profil lulusan dan tidak memenuhi level KKNI.
Skor 1 = Capaian pembelajaran diturunkan dari profil lulusan dan tidak memenuhi level KKNI.
Skor  2 = Capaian pembelajaran diturunkan dari profil lulusan dan memenuhi level KKNI.
Skor  3 = Capaian pembelajaran diturunkan dari profil lulusan, memenuhi level KKNI, dan dimutakhirkan
secara berkala tiap 4 s.d. 5 tahun sesuai perkembangan ipteks atau kebutuhan pengguna.
Skor 4 = 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</si>
  <si>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 xml:space="preserve">C. Ketepatan struktur kurikulum dalam pembentukan capaian pembelajaran.</t>
  </si>
  <si>
    <t xml:space="preserve"> Skor 1 = Struktur kurikulum tidak sesuai dengan capaian pembelajaran lulusan.
Skor 2 = Struktur kurikulum memuat keterkaitan antara matakuliah dengan capaian pembelajaran lulusan yang digambarkan dalam peta kurikulum yang jelas.
Skor 3 = Struktur kurikulum memuat keterkaitan antara matakuliah dengan capaian pembelajaran lulusan yang digambarkan dalam peta kurikulum yang jelas, capaian pembelajaran lulusan dipenuhi oleh seluruh capaian pembelajaran matakuliah.
Skor 4 = 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</si>
  <si>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 xml:space="preserve">Skor = (A + (2 x B) + (2 x C)) / 5</t>
  </si>
  <si>
    <t xml:space="preserve">Pemenuhan karakteristik proses pembelajaran, yang terdiri atas sifat: 
1) interaktif, 
2) holistik, 
3) integratif, 
4) saintifik, 
5) kontekstual, 
6) tematik,
7) efektif, 
8) kolaboratif, dan 
9) berpusat pada mahasiswa.</t>
  </si>
  <si>
    <t xml:space="preserve"> Skor 1 = Karakteristik proses pembelajaran program studi belum berpusat pada mahasiswa.
Skor 2 = Karakteristik proses pembelajaran program studi berpusat pada mahasiswa yang diterapkan pada minimal 50% matakuliah.
Skor 3 = Terpenuhinya karakteristik proses pembelajaran program studi yang berpusat pada mahasiswa,
dan telah menghasilkan profil lulusan yang sesuai dengan capaian pembelajaran.
Skor 4 = Terpenuhinya karakteristik proses pembelajaran program studi yang mencakup seluruh sifat, dan telah menghasilkan profil lulusan yang sesuai dengan capaian pembelajaran.</t>
  </si>
  <si>
    <t xml:space="preserve">A. Ketersediaan dan kelengkapan dokumen rencana pembelajaran semester (RPS)</t>
  </si>
  <si>
    <t xml:space="preserve"> Skor 0 = Tidak memiliki dokumen RPS.
Skor 1 = Dokumen RPS mencakup target capaian pembelajaran, bahan kajian, metode pembelajaran, waktu dan tahapan, asesmen hasil capaian pembelajaran atau tidak semua matakuliah memiliki RPS.
Skor 2 = Dokumen RPS mencakup target capaian pembelajaran, bahan kajian, metode pembelajaran, waktu dan tahapan, asesmen hasil capaian pembelajaran. RPS ditinjau dan disesuaikan secara berkala.
Skor 3 = Dokumen RPS mencakup target capaian pembelajaran, bahan kajian, metode pembelajaran, waktu dan tahapan, asesmen hasil capaian pembelajaran. RPS ditinjau dan disesuaikan secara berkala serta dapat diakses oleh mahasiswa.
Skor 4 = Dokumen RPS mencakup target capaian pembelajaran, bahan kajian, metode pembelajaran, waktu dan tahapan, asesmen hasil capaian pembelajaran. RPS ditinjau dan disesuaikan secara berkala serta dapat diakses oleh mahasiswa, dilaksanakan secara konsisten.</t>
  </si>
  <si>
    <t xml:space="preserve">B. Kedalaman dan keluasan RPS sesuai dengan capaian pembelajaran lulusan.</t>
  </si>
  <si>
    <t xml:space="preserve"> Skor 0 = Isi materi pembelajaran tidak sesuai dengan capaian pembelajaran lulusan.
Skor 1 = Isi materi pembelajaran memiliki kedalaman dan keluasan namun sebagian tidak sesuai dengan capaian pembelajaran lulusan.
Skor 2 = Isi materi pembelajaran memiliki kedalaman dan keluasan sesuai dengan capaian pembelajaran lulusan.
Skor 3 = Isi materi pembelajaran sesuai dengan RPS, memiliki kedalaman dan keluasan yang relevan untuk mencapai capaian pembelajaran lulusan.
Skor 4 = Isi materi pembelajaran sesuai dengan RPS, memiliki kedalaman dan keluasan yang relevan untuk mencapai capaian pembelajaran lulusan, serta ditinjau ulang secara berkala.</t>
  </si>
  <si>
    <t xml:space="preserve">A. Bentuk interaksi antara dosen, mahasiswa dan sumber belajar</t>
  </si>
  <si>
    <t xml:space="preserve"> Skor 0 = Pelaksanaan pembelajaran tidak berlangsung dalam bentuk interaksi antara dosen dan mahasiswa
Skor 1 = Pelaksanaan pembelajaran berlangsung hanya sebagian dalam bentuk interaksi antara dosen, mahasiswa, dan sumber belajar dalam lingkungan belajar tertentu.
Skor 2 = Pelaksanaan pembelajaran berlangsung dalam bentuk interaksi antara dosen, mahasiswa, dan sumber belajar dalam lingkungan belajar tertentu.
Skor 3 = Pelaksanaan pembelajaran berlangsung dalam bentuk interaksi antara dosen, mahasiswa,
dan sumber belajar dalam lingkungan belajar tertentu secara on-line dan off-line.
Skor 4 = Pelaksanaan pembelajaran berlangsung dalam bentuk interaksi antara dosen, mahasiswa, dan sumber belajar dalam lingkungan belajar tertentu secara on-line dan off-line dalam bentuk audio-visual terdokumentasi.</t>
  </si>
  <si>
    <t xml:space="preserve">B. Pemantauan kesesuaian proses terhadap rencana pembelajaran</t>
  </si>
  <si>
    <t xml:space="preserve"> Skor 0 = Tidak memiliki bukti sahih adanya sistem dan pelaksanaan pemantauan proses pembelajaran.
Skor 1 = Memiliki bukti sahih adanya sistem pemantauan proses pembelajaran namun tidak dilaksanakan secara konsisten.
Skor 2 = Memiliki bukti sahih adanya sistem dan pelaksanaan pemantauan proses pembelajaran yang dilaksanakan secara periodik untuk mengukur kesesuaian terhadap RPS.
Skor 3 = Memiliki bukti sahih adanya sistem dan pelaksanaan pemantauan proses pembelajaran yang
dilaksanakan secara periodik untuk menjamin kesesuaian dengan RPS dalam rangka menjaga mutu proses
pembelajaran. Hasil monev terdokumentasi dengan baik.
Skor 4 = Memiliki bukti sahih adanya sistem dan pelaksanaan pemantauan proses pembelajaran yang
dilaksanakan secara periodik untuk menjamin kesesuaian dengan RPS dalam rangka menjaga mutu proses
pembelajaran. Hasil monev terdokumentasi dengan baik dan digunakan untuk meningkatkan mutu proses pembelajaran.</t>
  </si>
  <si>
    <t xml:space="preserve">
C. Proses pembelajaran yang terkait dengan penelitian harus mengacu pada Standar Nasional Pendidikan Tinggi (SN Dikti). Penelitian:
1. Hasil penelitian harus memenuhi pengembangan IPTEKS, meningkatkan kesejahteraan masyarakat, dan daya saing bangsa,
2. Isi penelitian harus memenuhi kedalaman dan keluasan materi sesuai capaian pembelajaran,
3. Proses penelitian mencakup perencanaan, pelaksanaan, dan pelaporan,
4. Penilaian penelitian harus memenuhi unsur edukatif, obyektif, akuntabel, dan transparan.</t>
  </si>
  <si>
    <t xml:space="preserve"> Skor 2 = Terdapat bukti sahih tentang pemenuhan SN Dikti Penelitian pada proses pembelajaran terkait penelitian namun tidak memenuhi SN Dikti Penelitian pada proses pembelajaran terkait penelitian.
Skor 4 = Terdapat bukti sahih tentang pemenuhan SN Dikti Penelitian pada proses pembelajaran terkait penelitian serta pemenuhan SN Dikti Penelitian pada proses pembelajaran terkait penelitian.</t>
  </si>
  <si>
    <t xml:space="preserve">
D. Proses pembelajaran yang terkait dengan Pengabdian kepada Masyarakat (PkM) harus mengacu pada Standar Nasional Pendidikan Tinggi (SN Dikti) PkM. PkM:
1. Hasil PkM harus memenuhi pengembangan IPTEKS, meningkatkan kesejahteraan masyarakat, dan daya saing bangsa,
2. Isi PkM harus memenuhi kedalaman dan keluasan materi sesuai capaian pembelajaran,
3. Proses PkM mencakup perencanaan, pelaksanaan, dan pelaporan,
4. Penilaian PkM harus memenuhi unsur edukatif, obyektif, akuntabel, dan transparan.</t>
  </si>
  <si>
    <t xml:space="preserve"> Skor 2 = Terdapat bukti sahih tentang pemenuhan SN Dikti PkM pada proses pembelajaran terkait PkM namun tidak memenuhi SN Dikti PkM pada proses pembelajaran terkait PkM.
Skor 4 = Terdapat bukti sahih tentang pemenuhan SN Dikti PkM pada proses pembelajaran terkait PkM serta pemenuhan SN Dikti PkM pada proses pembelajaran terkait PkM.</t>
  </si>
  <si>
    <t xml:space="preserve">E. Kesesuaian metode pembelajaran dengan capaian pembelajaran.
Contoh metode: Research-Based Education (RBE), Industry-Based Education (IBE), Teaching Factory, Teaching Industry, dan lainnya.</t>
  </si>
  <si>
    <t xml:space="preserve"> Skor 0 = Tidak terdapat bukti sahih yang menunjukkan metode pembelajaran yang dilaksanakan sesuai dengan capaian pembelajaran yang direncanakan.
Skor 1 = Terdapat bukti sahih yang menunjukkan metode pembelajaran yang dilaksanakan sesuai dengan capaian pembelajaran yang direncanakan pada &lt; 25% mata kuliah.
Skor 2 = Terdapat bukti sahih yang menunjukkan metode pembelajaran yang dilaksanakan sesuai dengan capaian. pembelajaran yang direncanakan pada 25 s.d. &lt; 50% mata kuliah.
Skor 3 = Terdapat bukti sahih yang menunjukkan metode pembelajaran yang dilaksanakan sesuai dengan capaian pembelajaran yang direncanakan pada 50 s.d. &lt; 75% mata kuliah.
Skor 4 = Terdapat bukti sahih yang menunjukkan metode pembelajaran yang dilaksanakan sesuai dengan capaian pembelajaran yang direncanakan pada 75% s.d. 100% mata kuliah.</t>
  </si>
  <si>
    <t xml:space="preserve">Skor = (A + (2 × B) + (2 × C) + (2 × D) + (2 × E)) / 9</t>
  </si>
  <si>
    <t xml:space="preserve">Pembelajaran yang dilaksanakan dalam bentuk praktikum, praktik studio, praktik bengkel, atau praktik lapangan.
Tabel 5.a LKPS</t>
  </si>
  <si>
    <t xml:space="preserve">Jika PJP ≥ 20% , maka Skor = 4</t>
  </si>
  <si>
    <t xml:space="preserve">Jika PJP &lt; 20% , maka Skor = 20 x PJP</t>
  </si>
  <si>
    <t xml:space="preserve">JP = Jam pembelajaran praktikum, praktik studio, praktik bengkel, atau praktik lapangan (termasuk KKN)</t>
  </si>
  <si>
    <t xml:space="preserve">JB = Jam pembelajaran total selama masa pendidikan.</t>
  </si>
  <si>
    <t xml:space="preserve">PJP = (JP / JB) x 100%</t>
  </si>
  <si>
    <t xml:space="preserve">Monitoring dan evaluasi pelaksanaan proses pembelajaran mencakup karakteristik, perencanaan, pelaksanaan, proses pembelajaran dan beban belajar mahasiswa untuk memperoleh capaian pembelajaran lulusan.</t>
  </si>
  <si>
    <t xml:space="preserve"> Skor 0 = UPPS tidak melaksanakan monitoring dan evaluasi proses pembelajaran mencakup karakteristik,
perencanaan, pelaksanaan, proses pembelajaran dan beban belajar mahasiswa.
Skor 1 = UPPS telah melaksanakan monitoring dan evaluasi proses pembelajaran mencakup karakteristik, perencanaan, pelaksanaan, proses pembelajaran dan beban belajar mahasiswa namun tidak semua didukung bukti sahih.
Skor 2 = UPPS memiliki bukti sahih tentang sistem dan pelaksanaan monitoring dan evaluasi proses pembelajaran mencakup karakteristik, perencanaan, pelaksanaan, proses pembelajaran dan beban belajar mahasiswa.
Skor 3 = UPPS memiliki bukti sahih tentang sistem dan pelaksanaan monitoring dan evaluasi proses pembelajaran mencakup karakteristik, perencanaan, pelaksanaan, proses pembelajaran dan beban
belajar mahasiswa yang dilaksanakan secara konsisten.
Skor 4 = UPPS memiliki bukti sahih tentang sistem dan pelaksanaan monitoring dan evaluasi proses pembelajaran mencakup karakteristik, perencanaan, pelaksanaan, proses pembelajaran dan beban belajar mahasiswa yang dilaksanakan secara konsisten dan ditindak lanjuti.</t>
  </si>
  <si>
    <t xml:space="preserve">
A. Mutu pelaksanaan penilaian pembelajaran (proses dan hasil belajar mahasiswa) untuk mengukur ketercapaian capaian pembelajaran dilakukan berdasarkan prinsip penilaian yang mencakup:
1. Edukatif,
2. Otentik,
3. Objektif,
4. Akuntabel, dan
5. Transparan,
yang dilakukan secara terintegrasi.</t>
  </si>
  <si>
    <t xml:space="preserve"> Skor 0 = Tidak terdapat bukti sahih tentang dipenuhinya 5 prinsip penilaian.
Skor 1 = Terdapat bukti sahih tentang dipenuhinya 5 prinsip penilaian yang tidak dilakukan secara terintegrasi.
Skor 2 = Terdapat bukti sahih tentang dipenuhinya 5 prinsip penilaian yang dilakukan secara terintegrasi.
Skor 3 =Terdapat bukti sahih tentang dipenuhinya 5 prinsip penilaian yang dilakukan secara terintegrasi dan dilengkapi dengan rubrik/portofolio penilaian minimum 50% jumlah matakuliah.
Skor 4 =Terdapat bukti sahih tentang dipenuhinya 5 prinsip penilaian yang dilakukan secara terintegrasi dan dilengkapi dengan rubrik/portofolio penilaian minimum 70% jumlah matakuliah.</t>
  </si>
  <si>
    <t xml:space="preserve">B. Pelaksanaan penilaian terdiri atas teknik dan instrumen penilaian. Teknik penilaian terdiri dari:
1) observasi,
2) partisipasi,
3) unjuk kerja,
4) test tertulis,
5) test lisan, dan
6) angket.
Instrumen penilaian terdiri dari:
1) penilaian proses dalam bentuk rubrik, dan/ atau;
2) penilaian hasil dalam bentuk portofolio, atau
3) karya disain.</t>
  </si>
  <si>
    <t xml:space="preserve"> Skor 0 = Tidak terdapat bukti sahih yang menunjukkan kesesuaian teknik dan instrumen penilaian terhadap capaian pembelajaran.
Skor 1 = Terdapat bukti sahih yang menunjukkan kesesuaian teknik dan instrumen penilaian terhadap capaian pembelajaran yang dinilai &lt; 25% dari jumlah matakuliah.
Skor 2 = Terdapat bukti sahih yang menunjukkan kesesuaian teknik dan instrumen penilaian terhadap
capaian pembelajaran yang dinilai minimum 25 s.d. &lt; 50% dari jumlah matakuliah.
Skor 3 =Terdapat bukti sahih yang menunjukkan kesesuaian teknik dan instrumen penilaian terhadap capaian
pembelajaran minimum 50 s.d. &lt; 75% dari jumlah matakuliah.
Skor 4 =Terdapat bukti sahih yang menunjukkan kesesuaian teknik dan instrumen penilaian terhadap capaian pembelajaran minimum 75% s.d. 100% dari jumlah matakuliah.</t>
  </si>
  <si>
    <t xml:space="preserve">C. Pelaksanaan penilaian memuat unsur- 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 bukti rencana dan telah
melakukan proses perbaikan berdasar hasil monev penilaian.</t>
  </si>
  <si>
    <t xml:space="preserve"> Skor 1 = Terdapat bukti sahih pelaksanaan penilaian hanya mencakup unsur 6.
Skor 2 = Terdapat bukti sahih pelaksanaan penilaian mencakup minimum unsur 1, 4 dan 6.
Skor 3 =Terdapat bukti sahih pelaksanaan penilaian mencakup minimum unsur 1, 4 dan 6 serta 2 unsur lainnya.
Skor 4 = Terdapat bukti sahih pelaksanaan penilaian mencakup 7 unsur.</t>
  </si>
  <si>
    <t xml:space="preserve">Integrasi kegiatan penelitian dan PkM dalam pembelajaran oleh DTPS dalam 3 tahun terakhir.
Tabel 5.b LKPS</t>
  </si>
  <si>
    <t xml:space="preserve">Skor 4 = NMKI &gt; 3</t>
  </si>
  <si>
    <t xml:space="preserve">Skor 3 = NMKI = 2 .. 3</t>
  </si>
  <si>
    <t xml:space="preserve">Skor 2 = NMKI = 1</t>
  </si>
  <si>
    <t xml:space="preserve">NMKI = Jumlah mata kuliah yang dikembangkan berdasarkan hasil penelitian/PkM DTPS dalam 3 tahun terakhir.</t>
  </si>
  <si>
    <t xml:space="preserve">Keterlaksanaan dan keberkalaan program dan kegiatan diluar kegiatan pembelajaran terstruktur untuk meningkatkan suasana akademik. Contoh: kegiatan himpunan mahasiswa, kuliah umum/studium generale, seminar ilmiah, bedah buku.</t>
  </si>
  <si>
    <t xml:space="preserve"> Skor 1 = Kegiatan ilmiah yang terjadwal dilaksanakan lebih dari enam bulan sekali.
Skor 2 = Kegiatan ilmiah yang terjadwal dilaksanakan empat s.d. enam bulan sekali.
Skor 3 = Kegiatan ilmiah yang terjadwal dilaksanakan dua s.d tiga bulan sekali.
Skor 4 = Kegiatan ilmiah yang terjadwal dilaksanakan setiap bulan.</t>
  </si>
  <si>
    <t xml:space="preserve">A. Tingkat kepuasan mahasiswa terhadap proses pendidikan.
Tabel 5.c LKPS
"Tingkat kepuasan pengguna pada aspek:
TKM1: Reliability; TKM2: Responsiveness; TKM3: Assurance; TKM4: Empathy; TKM5: Tangible.
Tingkat kepuasan mahasiswa pada aspek ke-i dihitung dengan rumus sebagai berikut:
TKMi = (4 x ai) + (3 x bi) + (2 x ci) + di i = 1, 2, ..., 7
dimana :
ai = persentase “Sangat Baik”;
bi = persentase “Baik”;
ci = persentase “Cukup”;
di = persentase “Kurang”.
TKM = ƩTKMi / 5"
</t>
  </si>
  <si>
    <t xml:space="preserve">TKM ≥ 75%, maka 4
Jika 25% ≤ TKM &lt; 75% , maka Skor = (8 x TKM) - 2
Jika TKM &lt; 25% , maka Skor = 0</t>
  </si>
  <si>
    <t xml:space="preserve">% Sangat Baik</t>
  </si>
  <si>
    <t xml:space="preserve">% Baik</t>
  </si>
  <si>
    <t xml:space="preserve">% Cukup</t>
  </si>
  <si>
    <t xml:space="preserve">% Kurang</t>
  </si>
  <si>
    <t xml:space="preserve">Reliability
TKM1</t>
  </si>
  <si>
    <t xml:space="preserve">Responsiveness
TKM2</t>
  </si>
  <si>
    <t xml:space="preserve">Assurance
TKM3</t>
  </si>
  <si>
    <t xml:space="preserve">Empathy
TKM4</t>
  </si>
  <si>
    <t xml:space="preserve">Tangible
 TKM5</t>
  </si>
  <si>
    <t xml:space="preserve">TKM = ƩTKMi / 5</t>
  </si>
  <si>
    <t xml:space="preserve">B. Analisis dan tindak lanjut dari hasil pengukuran kepuasan mahasiswa.
Skor = (A + (2 x B)) / 3</t>
  </si>
  <si>
    <t xml:space="preserve"> Skor 0 = Tidak dilakukan analisis terhadap hasil pengukuran kepuasan terhadap proses pembelajaran.
Skor 1 = Hasil pengukuran dianalisis dan ditindaklanjuti, serta digunakan untuk perbaikan proses pembelajaran, namun dilakukan secara insidentil.
Skor 2 = Hasil pengukuran dianalisis dan ditindaklanjuti setiap tahun, serta digunakan untuk perbaikan proses pembelajaran.
Skor 3 = Hasil pengukuran dianalisis dan ditindaklanjuti setiap semester, serta digunakan untuk perbaikan proses pembelajaran dan menunjukkan peningkatan hasil pembelajaran.
Skor 4 = Hasil pengukuran dianalisis danditindaklanjuti minimal 2 kali setiap semester, serta digunakan untuk
perbaikan proses pembelajaran dan menunjukkan peningkatan hasil pembelajaran.</t>
  </si>
  <si>
    <t xml:space="preserve">Kriteria 7 - Penelitian</t>
  </si>
  <si>
    <t xml:space="preserve">
Relevansi penelitian pada UPPS mencakup unsur-unsur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</si>
  <si>
    <t xml:space="preserve"> Skor 0 = UPPS tidak mempunyai peta jalan penelitian dosen dan mahasiswa.
Skor 1 = UPPS memenuhi unsur pertama namun penelitian dosen dan mahasiswa tidak sesuai dengan peta
jalan.
Skor 2 = UPPS memenuhi unsur 1, dan 2 relevansi penelitian dosen dan mahasiswa.
Skor 3 = UPPS memenuhi unsur 1, 2, dan 3 relevansi penelitian dosen dan mahasiswa.
Skor 4 = UPPS memenuhi 4 unsur relevansi penelitian dosen dan mahasiswa.</t>
  </si>
  <si>
    <t xml:space="preserve">Penelitian DTPS yang dalam pelaksanaannya melibatkan mahasiswa program studi dalam 3 tahun terakhir.
Tabel 6.a LKPS</t>
  </si>
  <si>
    <t xml:space="preserve">Jika PPDM ≥ 25%, maka Skor = 4
Jika PPDM &lt; 25% , maka Skor = 2 + (8 x PPDM)</t>
  </si>
  <si>
    <t xml:space="preserve">NPM = Jumlah judul penelitian DTPS yang dalam pelaksanaannya melibatkan mahasiswa program studi dalam 3 tahun terakhir.</t>
  </si>
  <si>
    <t xml:space="preserve">NPD = Jumlah judul penelitian DTPS dalam 3 tahun terakhir.</t>
  </si>
  <si>
    <t xml:space="preserve">PPDM = (NPM / NPD) x 100%</t>
  </si>
  <si>
    <t xml:space="preserve">Kriteria 8 - Pengabdian kepada Masyarakat</t>
  </si>
  <si>
    <t xml:space="preserve">
Relevansi PkM pada UPPS mencakup unsur-unsur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</si>
  <si>
    <t xml:space="preserve"> Skor 0 = UPPS tidak mempunyai peta jalan PkM dosen dan mahasiswa.
Skor 1 = UPPS memenuhi unsur pertama namun PkM dosen dan mahasiswa tidak sesuai dengan peta jalan.
Skor 2 = UPPS memenuhi unsur 1, dan 2 relevansi penelitian dosen dan mahasiswa.
Skor 3 = UPPS memenuhi unsur 1, 2, dan 3 relevansi penelitian dosen dan mahasiswa.
Skor 4 = UPPS memenuhi 4 unsur relevansi penelitian dosen dan mahasiswa.</t>
  </si>
  <si>
    <t xml:space="preserve">PkM DTPS yang dalam pelaksanaannya melibatkan mahasiswa program studi dalam 3 tahun terakhir.
Tabel 7 LKPS</t>
  </si>
  <si>
    <t xml:space="preserve">Jika PPkMDM ≥ 25%, maka Skor = 4</t>
  </si>
  <si>
    <t xml:space="preserve">Jika PPkMDM &lt; 25% , maka Skor = 2 + (8 x PPDM)</t>
  </si>
  <si>
    <t xml:space="preserve">NPkMM = Jumlah judul PkM DTPS yang dalam pelaksanaannya melibatkan mahasiswa program studi dalam 3 tahun terakhir.</t>
  </si>
  <si>
    <t xml:space="preserve">NPkMD = Jumlah judul PkM DTPS dalam 3 tahun terakhir.</t>
  </si>
  <si>
    <t xml:space="preserve">PPkMDM = (NPkMM / NPkMD) x 100%</t>
  </si>
  <si>
    <t xml:space="preserve">Kriteria 9 - Luaran dan Capaian Tridharma</t>
  </si>
  <si>
    <t xml:space="preserve">Analisis pemenuhan capaian pembelajaran lulusan (CPL) yang diukur dengan metoda yang sahih dan relevan, mencakup aspek:
1) keserbacakupan,
2) kedalaman, dan
3) kebermanfaatan
analisis yang ditunjukkan dengan peningkatan CPL dari
waktu ke waktu dalam 3 tahun terakhir.</t>
  </si>
  <si>
    <t xml:space="preserve">Nilai 0 = Tidak dilakukan analisis capaian pembelajaran lulusan.
Nilai 1 = Analisis capaian pembelajaran lulusan tidak memenuhi ketiga aspek.
Nilai 2 = Analisis capaian pembelajaran lulusan memenuhi 1 aspek.
Nilai 3 = Analisis capaian pembelajaran lulusan memenuhi 2 aspek.
Nilai 4 = Analisis capaian pembelajaran lulusan memenuhi 3 aspek.</t>
  </si>
  <si>
    <t xml:space="preserve">IPK lulusan.
RIPK = Rata-rata IPK lulusan dalam 3 tahun terakhir.
Tabel 8.a LKPS</t>
  </si>
  <si>
    <t xml:space="preserve">    Jika RIPK ≥ 3,25, maka Skor = 4
    Jika 2,00 ≤ RIPK &lt; 3,25, maka Skor = ((8 x RIPK) - 6) / 5</t>
  </si>
  <si>
    <t xml:space="preserve">RIPK</t>
  </si>
  <si>
    <t xml:space="preserve">Prestasi mahasiswa di bidang akademik dalam 3 tahun terakhir.
Tabel 8.b.1) LKPS</t>
  </si>
  <si>
    <t xml:space="preserve">Jika RI ≥ a , maka Skor = 4
Jika RI &lt; a dan RN ≥ b , maka Skor = 3 + (RI / a)
Jika RI = 0 dan RN = 0 dan RW ≥ c , maka Skor = 2
Jika 0 &lt; RI &lt; a dan 0 &lt; RN &lt; b , maka Skor = 2 + (2 x (RI/a)) + (RN/b) - ((RI x RN)/(a x b))
Jika RI = 0 dan RN = 0 dan RW &lt; c , maka Skor = (2 x RW) / c
Keterangan :
Faktor: a = 0,1% , b = 1% , c = 2%</t>
  </si>
  <si>
    <t xml:space="preserve">NI = Jumlah prestasi akademik internasional.</t>
  </si>
  <si>
    <t xml:space="preserve">NN = Jumlah prestasi akademik nasional.</t>
  </si>
  <si>
    <t xml:space="preserve">NW = Jumlah prestasi akademik wilayah/lokal.</t>
  </si>
  <si>
    <t xml:space="preserve">RI = NI / NM</t>
  </si>
  <si>
    <t xml:space="preserve">RN = NN / NM</t>
  </si>
  <si>
    <t xml:space="preserve">RW = NW / NM</t>
  </si>
  <si>
    <t xml:space="preserve">Prestasi mahasiswa di bidang nonakademik dalam 3 tahun terakhir. Tabel 8.b.2) LKPS</t>
  </si>
  <si>
    <t xml:space="preserve">Jika RI ≥ a , maka Skor = 4
Jika RI &lt; a dan RN ≥ b , maka Skor = 3 + (RI / a)
Jika RI = 0 dan RN = 0 dan RW ≥ c , maka Skor = 2
Jika 0 &lt; RI &lt; a dan 0 &lt; RN &lt; b , maka Skor = 2 + (2 x (RI/a)) + (RN/b) - ((RI x RN)/(a x b))
Jika RI = 0 dan RN = 0 dan RW &lt; c , maka Skor = (2 x RW) / c
Faktor: a = 0,2% , b = 2% , c = 4%
</t>
  </si>
  <si>
    <t xml:space="preserve">RI = NI / NM ,</t>
  </si>
  <si>
    <t xml:space="preserve">RN = NN / NM ,</t>
  </si>
  <si>
    <t xml:space="preserve">NI = Jumlah prestasi nonakademik internasional.</t>
  </si>
  <si>
    <t xml:space="preserve">NN = Jumlah prestasi nonakademik nasional.</t>
  </si>
  <si>
    <t xml:space="preserve">NW = Jumlah prestasi nonakademik wilayah/lokal.</t>
  </si>
  <si>
    <t xml:space="preserve">Masa studi. 
MS = Rata-rata masa studi lulusan (tahun).
Tabel 8.c LKPS</t>
  </si>
  <si>
    <t xml:space="preserve">    Jika 3,5 &lt; MS ≤ 4,5 , maka Skor = 4
    Jika 3 &lt; MS ≤ 3,5 , maka Skor = (8 x MS) - 24
    Jika 4,5 &lt; MS ≤ 7 , maka Skor = (56 - (8 x MS)) / 5
    Jika MS ≤ 3 , maka skor =0 </t>
  </si>
  <si>
    <t xml:space="preserve">MS</t>
  </si>
  <si>
    <t xml:space="preserve">Kelulusan tepat waktu. 
PTW = Persentase kelulusan tepat waktu.
Tabel 8.c LKPS</t>
  </si>
  <si>
    <t xml:space="preserve">    Jika PTW ≥ 50% , maka Skor = 4
    Jika PTW &lt; 50% , maka Skor = 1 + (6 x PTW)</t>
  </si>
  <si>
    <t xml:space="preserve">PTW</t>
  </si>
  <si>
    <t xml:space="preserve">Keberhasilan studi.
PPS = Persentase keberhasilan studi.
Tabel 8.c LKPS</t>
  </si>
  <si>
    <t xml:space="preserve">    Jika PPS ≥ 85% , maka Skor = 4
    Jika 30% ≤ PPS &lt; 85% , maka Skor = ((80 x PPSi) - 24) / 11
    Jika PPS &lt; 30%, maka Skor = 0</t>
  </si>
  <si>
    <t xml:space="preserve">PPS</t>
  </si>
  <si>
    <t xml:space="preserve">
Tracer study mencakup lima aspek berikut:
1. Pelaksanaan tracer study terkoordinasi di tingkat perguruan tinggi,
2. Kegiatan tracer study dilakukan secara reguler setiap tahun dan terdokumentasi,
3. Isi kuesioner mencakup seluruh pertanyaan inti tracer study dari DIKTI,
4. Ditargetkan pada seluruh populasi (lulusan TS-4 hingga TS-2),
5. Hasilnya disosialisasikan dan digunakan untuk pengembangan kurikulum dan pembelajaran.</t>
  </si>
  <si>
    <t xml:space="preserve">Skor 0 = UPPS tidak melaksanakan tracer study.
Skor 1 = Tracer study yang dilakukan UPPS telah mencakup 2 aspek.
Skor 2 = Tracer study yang dilakukan UPPS telah mencakup 3 aspek.
Skor 3 = Tracer study yang dilakukan UPPS telah mencakup 4 aspek.
Skor 4 = Tracer study yang dilakukan UPPS telah mencakup 5 aspek.</t>
  </si>
  <si>
    <t xml:space="preserve">"Waktu tunggu.
WT = waktu tunggu lulusan untuk mendapatkan pekerjaan pertama dalam 3 tahun, mulai TS-4 s.d. TS-2.
Tabel 8.d.1) LKPS"
</t>
  </si>
  <si>
    <t xml:space="preserve">NL4 = Jumlah lulusan pada TS-4</t>
  </si>
  <si>
    <t xml:space="preserve">NL3 = Jumlah lulusan pada TS-3</t>
  </si>
  <si>
    <t xml:space="preserve">NL2 = Jumlah lulusan pada TS-2</t>
  </si>
  <si>
    <t xml:space="preserve">NJ4 = Jumlah lulusan pada TS-4 yang terlacak</t>
  </si>
  <si>
    <t xml:space="preserve">NJ3 = Jumlah lulusan pada TS-3 yang terlacak</t>
  </si>
  <si>
    <t xml:space="preserve">NJ2 = Jumlah lulusan pada TS-2 yang terlacak</t>
  </si>
  <si>
    <t xml:space="preserve">Ketentuan persentase responden lulusan:
- untuk program studi dengan jumlah lulusan dalam 3 tahun (TS-4 s.d. TS-2) ≥ 300 orang, maka Prmin = 30%.
- untuk program studi dengan jumlah lulusan dalam 3 tahun (TS-4 s.d. TS-2) &lt; 300 orang, maka Prmin = 50% - ((NL / 300) x 20%)</t>
  </si>
  <si>
    <t xml:space="preserve">PJ = Persentase lulusan yang terlacak</t>
  </si>
  <si>
    <t xml:space="preserve">Prmin = Persentase responden minimum</t>
  </si>
  <si>
    <t xml:space="preserve">Thn Lulus TS-4 </t>
  </si>
  <si>
    <t xml:space="preserve">Jumlah lulusan dengan WT &lt; 6 bulan</t>
  </si>
  <si>
    <t xml:space="preserve">Jumlah lulusan dengan 6 bulan ≤ WT ≤ 18 bulan</t>
  </si>
  <si>
    <t xml:space="preserve">Jumlah lulusan dengan WT &gt; 18 bulan</t>
  </si>
  <si>
    <t xml:space="preserve">Thn Lulus TS-3
</t>
  </si>
  <si>
    <t xml:space="preserve">Thn Lulus TS-2
</t>
  </si>
  <si>
    <t xml:space="preserve">WT = waktu tunggu lulusan untuk mendapatkan pekerjaan pertama</t>
  </si>
  <si>
    <t xml:space="preserve">WT &gt; 18 bulan, maka Skor = 0
Jika 6 ≤ WT ≤ 18, maka Skor = (18 – WT) / 3.
Jika WT &lt; 6 bulan, maka Skor = 4.</t>
  </si>
  <si>
    <t xml:space="preserve">Jika persentase responden memenuhi ketentuan diatas, maka Skor akhir = Skor.
Jika persentase responden tidak memenuhi ketentuan diatas, maka berlaku penyesuaian sebagai berikut:
Skor akhir = (PJ / Prmin) x Skor.</t>
  </si>
  <si>
    <t xml:space="preserve">Kesesuaian bidang kerja.
PBS = Kesesuaian bidang kerja lulusan saat mendapatkan pekerjaan pertama dalam 3 tahun, mulai TS-4 s.d. TS-2.
Tabel 8.d.2) LKPS</t>
  </si>
  <si>
    <t xml:space="preserve">Ketentuan persentase responden lulusan:
- untuk program studi dengan jumlah lulusan dalam 3 tahun (TS-4 s.d. TS-2) ≥ 300 orang, maka Prmin = 30%.
- untuk program studi dengan jumlah lulusan dalam 3 tahun (TS-4 s.d. TS-2) &lt; 300 orang, maka Prmin = 50% - ((NL / 300) x 20%)"
</t>
  </si>
  <si>
    <t xml:space="preserve">PJ = Persentase lulusan yang terlacak = (NL / NJ) x 100%</t>
  </si>
  <si>
    <t xml:space="preserve">Thn Lulus TS-4 = Jumlah Kesesuaian bidang kerja lulusan saat mendapatkan pekerjaan pertama</t>
  </si>
  <si>
    <t xml:space="preserve">Thn Lulus TS-3  = Jumlah Kesesuaian bidang kerja lulusan saat mendapatkan pekerjaan pertama</t>
  </si>
  <si>
    <t xml:space="preserve">Thn Lulus TS-2  = Jumlah Kesesuaian bidang kerja lulusan saat mendapatkan pekerjaan pertama</t>
  </si>
  <si>
    <t xml:space="preserve">PBS</t>
  </si>
  <si>
    <t xml:space="preserve">Jika PBS ≥ 60% , maka Skor = 4
Jika PBS &lt; 60%, maka Skor = (20 x PBS) / 3</t>
  </si>
  <si>
    <t xml:space="preserve">Jika persentase responden memenuhi ketentuan diatas, maka Skor akhir = Skor.
Jika persentase responden tidak memenuhi ketentuan diatas, maka berlaku penyesuaian sebagai berikut: Skor akhir = (PJ / Prmin) x Skor.</t>
  </si>
  <si>
    <t xml:space="preserve">Tingkat dan ukuran tempat kerja lulusan.
Tabel 8.e.1) LKPS</t>
  </si>
  <si>
    <t xml:space="preserve">Tahun Lulus TS-2</t>
  </si>
  <si>
    <t xml:space="preserve">NI = Jumlah lulusan yang bekerja di badan usaha tingkat multi nasional/internasional.</t>
  </si>
  <si>
    <t xml:space="preserve">NN = Jumlah lulusan yang bekerja di badan usaha tingkat nasional atau berwirausaha yang berizin.</t>
  </si>
  <si>
    <t xml:space="preserve">NW = Jumlah lulusan yang bekerja di badan usaha tingkat wilayah/lokal atau berwirausaha tidak berizin.</t>
  </si>
  <si>
    <t xml:space="preserve">Tahun Lulus TS-3</t>
  </si>
  <si>
    <t xml:space="preserve">Tahun Lulus TS-4</t>
  </si>
  <si>
    <t xml:space="preserve">NJ4 = Jumlah lulusan pada TS-4 yang bekerja/berwirausaha</t>
  </si>
  <si>
    <t xml:space="preserve">NJ3 = Jumlah lulusan pada TS-3 yang bekerja/berwirausaha</t>
  </si>
  <si>
    <t xml:space="preserve">NJ2 = Jumlah lulusan pada TS-2 yang bekerja/berwirausaha</t>
  </si>
  <si>
    <t xml:space="preserve">Ketentuan persentase responden lulusan:
untuk program studi dengan jumlah lulusan dalam 3 tahun (TS-4 s.d. TS-2) ≥ 300 orang, maka Prmin = 30%.
untuk program studi dengan jumlah lulusan dalam 3 tahun (TS-4 s.d. TS-2) &lt; 300 orang, maka Prmin = 50% - ((NL / 300) x 20%</t>
  </si>
  <si>
    <t xml:space="preserve">RI = (NI / NL) x 100% ,</t>
  </si>
  <si>
    <t xml:space="preserve">RN = (NN / NL) x 100% ,</t>
  </si>
  <si>
    <t xml:space="preserve">RW = (NW / NL) x 100%</t>
  </si>
  <si>
    <t xml:space="preserve">Faktor: a = 5% , b = 20% , c = 90% .</t>
  </si>
  <si>
    <t xml:space="preserve">Jika RI ≥ a, maka Skor = 4
Jika RI &lt; a dan RN ≥ b , maka Skor = 3 + (RI / a)
Jika RI = 0 dan RN = 0 dan RW ≥ c , maka Skor = 2
Jika 0 &lt; RI &lt; a dan 0 &lt; RN &lt; b , maka Skor = 2 + (2 x (RI/a)) + (RN/b) - ((RI x RN)/(a x b))
Jika RI = 0 dan RN = 0 dan RW &lt; c , maka Skor = (2 x RW) / c</t>
  </si>
  <si>
    <t xml:space="preserve">Jika persentase responden tidak memenuhi ketentuan diatas, maka berlaku penyesuaian sebagai berikut: Skor akhir = (PJ / Prmin) x Skor.
Jika persentase responden memenuhi ketentuan diatas, maka Skor akhir = Skor.</t>
  </si>
  <si>
    <t xml:space="preserve">Tingkat kepuasan pengguna lulusan.
Tabel 8.e.2) LKPS</t>
  </si>
  <si>
    <r>
      <rPr>
        <sz val="11"/>
        <color rgb="FF000000"/>
        <rFont val="Calibri"/>
        <family val="0"/>
        <charset val="1"/>
      </rPr>
      <t xml:space="preserve">N</t>
    </r>
    <r>
      <rPr>
        <vertAlign val="subscript"/>
        <sz val="11"/>
        <color rgb="FF000000"/>
        <rFont val="Calibri"/>
        <family val="0"/>
        <charset val="1"/>
      </rPr>
      <t xml:space="preserve">L4</t>
    </r>
    <r>
      <rPr>
        <sz val="11"/>
        <color rgb="FF000000"/>
        <rFont val="Calibri"/>
        <family val="0"/>
        <charset val="1"/>
      </rPr>
      <t xml:space="preserve"> = Jumlah lulusan pada TS-4</t>
    </r>
  </si>
  <si>
    <r>
      <rPr>
        <sz val="11"/>
        <color rgb="FF000000"/>
        <rFont val="Calibri"/>
        <family val="0"/>
        <charset val="1"/>
      </rPr>
      <t xml:space="preserve">N</t>
    </r>
    <r>
      <rPr>
        <vertAlign val="subscript"/>
        <sz val="11"/>
        <color rgb="FF000000"/>
        <rFont val="Calibri"/>
        <family val="0"/>
        <charset val="1"/>
      </rPr>
      <t xml:space="preserve">L3</t>
    </r>
    <r>
      <rPr>
        <sz val="11"/>
        <color rgb="FF000000"/>
        <rFont val="Calibri"/>
        <family val="0"/>
        <charset val="1"/>
      </rPr>
      <t xml:space="preserve"> = Jumlah lulusan pada TS-3</t>
    </r>
  </si>
  <si>
    <r>
      <rPr>
        <sz val="11"/>
        <color rgb="FF000000"/>
        <rFont val="Calibri"/>
        <family val="0"/>
        <charset val="1"/>
      </rPr>
      <t xml:space="preserve">N</t>
    </r>
    <r>
      <rPr>
        <vertAlign val="subscript"/>
        <sz val="11"/>
        <color rgb="FF000000"/>
        <rFont val="Calibri"/>
        <family val="0"/>
        <charset val="1"/>
      </rPr>
      <t xml:space="preserve">L2</t>
    </r>
    <r>
      <rPr>
        <sz val="11"/>
        <color rgb="FF000000"/>
        <rFont val="Calibri"/>
        <family val="0"/>
        <charset val="1"/>
      </rPr>
      <t xml:space="preserve"> = Jumlah lulusan pada TS-2</t>
    </r>
  </si>
  <si>
    <t xml:space="preserve">NJ4 = Jumlah pengguna lulusan pada TS-4 yang memberi tanggapan atas studi pelacakan lulusan</t>
  </si>
  <si>
    <t xml:space="preserve">NJ3 = Jumlah pengguna lulusan pada TS-3 yang memberi tanggapan atas studi pelacakan lulusan</t>
  </si>
  <si>
    <t xml:space="preserve">NJ2 = Jumlah pengguna lulusan pada TS-2 yang memberi tanggapan atas studi pelacakan lulusan</t>
  </si>
  <si>
    <t xml:space="preserve">Ketentuan persentase responden pengguna lulusan:
1 = untuk program studi dengan jumlah lulusan dalam 3 tahun (TS-4 s.d. TS-2) ≥ 300 orang, maka Prmin = 30%.
2 =  untuk program studi dengan jumlah lulusan dalam 3 tahun (TS-4 s.d. TS-2) &lt; 300 orang, maka Prmin = 50% - ((NL / 300) x 20%)</t>
  </si>
  <si>
    <t xml:space="preserve">PJ = Persentase pengguna lulusan yang memberi tanggapan </t>
  </si>
  <si>
    <t xml:space="preserve">TK1 (ASPEK 1)</t>
  </si>
  <si>
    <t xml:space="preserve">TK2 (ASPEK 2)</t>
  </si>
  <si>
    <t xml:space="preserve">TK3 (ASPEK 3)</t>
  </si>
  <si>
    <t xml:space="preserve">TK4 (ASPEK 4)</t>
  </si>
  <si>
    <t xml:space="preserve">TK5 (ASPEK 5)</t>
  </si>
  <si>
    <t xml:space="preserve">TK6 (ASPEK 6)</t>
  </si>
  <si>
    <t xml:space="preserve">TK7 (ASPEK 7)</t>
  </si>
  <si>
    <t xml:space="preserve">Skor = STKi / 7</t>
  </si>
  <si>
    <t xml:space="preserve">Jika persentase responden memenuhi ketentuan diatas, maka Skor akhir = Skor.
Jika persentase responden tidak memenuhi ketentuan diatas, maka berlaku penyesuaian sebagai berikut: Skor akhir = (PJ / Prmin) x Skor.</t>
  </si>
  <si>
    <t xml:space="preserve">Publikasi ilmiah mahasiswa, yang dihasilkan secara mandiri atau bersama DTPS, dengan judul yang relevan dengan bidang program studi dalam 3 tahun terakhir.
Tabel 8.f.1) LKPS</t>
  </si>
  <si>
    <t xml:space="preserve">Jika RI ≥ a, maka Skor = 4
Jika RI &lt; a dan RN ≥ b , maka Skor = 3 + (RI / a)
Jika RI = 0 dan RN = 0 dan RL ≥ c , maka Skor = 2
Jika 0 &lt; RI &lt; a dan 0 &lt; RN &lt; b , maka Skor = 2 + (2 x (RI/a)) + (RN/b) - ((RI x RN)/(a x b)) 
Jika RI = 0 dan RN = 0 dan RL &lt; c , maka Skor = (2 x RL) / c
Keterangan : Faktor: a = 1% , b = 10% , c = 50%</t>
  </si>
  <si>
    <t xml:space="preserve">RN = ((NA2 + NA3 + NB2 + NC2) / NM) x 100% ,</t>
  </si>
  <si>
    <t xml:space="preserve">RI = ((NA4 + NB3 + NC3) / NM) x 100%</t>
  </si>
  <si>
    <t xml:space="preserve">RL = ((NA1 + NB1 + NC1) / NM) x 100% ,</t>
  </si>
  <si>
    <t xml:space="preserve">NA1 = Jumlah publikasi mahasiswa di jurnal nasional tidak terakreditasi.</t>
  </si>
  <si>
    <t xml:space="preserve">NA2 = Jumlah publikasi mahasiswa di jurnal nasional terakreditasi.</t>
  </si>
  <si>
    <t xml:space="preserve">NA3 = Jumlah publikasi mahasiswa di jurnal internasional.</t>
  </si>
  <si>
    <t xml:space="preserve">NA4 = Jumlah publikasi mahasiswa di jurnal internasional bereputasi.</t>
  </si>
  <si>
    <t xml:space="preserve">NB1 = Jumlah publikasi mahasiswa di seminar wilayah/lokal/PT.</t>
  </si>
  <si>
    <t xml:space="preserve">NB2 = Jumlah publikasi mahasiswa di seminar nasional.</t>
  </si>
  <si>
    <t xml:space="preserve">NB3 = Jumlah publikasi mahasiswa di seminar internasional.</t>
  </si>
  <si>
    <t xml:space="preserve">NC1 = Jumlah tulisan mahasiswa di media massa wilayah.</t>
  </si>
  <si>
    <t xml:space="preserve">NC2 = Jumlah tulisan mahasiswa di media massa nasional.</t>
  </si>
  <si>
    <t xml:space="preserve">NC3 = Jumlah tulisan mahasiswa di media massa internasional.</t>
  </si>
  <si>
    <t xml:space="preserve">Luaran penelitian dan PkM yang dihasilkan mahasiswa, baik secara mandiri atau bersama DTPS dalam 3 tahun
terakhir. Tabel 8.f.4) LKPS</t>
  </si>
  <si>
    <t xml:space="preserve">Jika NLP &lt; 1 , maka Skor = 2 + (2 x NLP) .</t>
  </si>
  <si>
    <t xml:space="preserve">Jika NLP ≥ 1 , maka Skor 4 .</t>
  </si>
  <si>
    <t xml:space="preserve">NLP = 2 x (NA + NB + NC) + ND</t>
  </si>
  <si>
    <t xml:space="preserve">NA = Jumlah luaran penelitian/PkM mahasiswa yang mendapat pengakuan HKI (Paten, Paten Sederhana)</t>
  </si>
  <si>
    <t xml:space="preserve">NB = Jumlah luaran penelitian/PkM mahasiswa yang mendapat pengakuan HKI (Hak Cipta, Desain Produk Industri, Perlindungan Varietas Tanaman, Desain Tata Letak Sirkuit Terpadu, dll.)</t>
  </si>
  <si>
    <t xml:space="preserve">NC = Jumlah luaran penelitian/PkM mahasiswa dalam bentuk Teknologi Tepat Guna, Produk (Produk Terstandarisasi, Produk Tersertifikasi), Karya Seni, Rekayasa Sosial.</t>
  </si>
  <si>
    <t xml:space="preserve">ND = Jumlah luaran penelitian/PkM mahasiswa yang diterbitkan dalam bentuk Buku ber-ISBN, Book Chapter.</t>
  </si>
  <si>
    <t xml:space="preserve">Analisis dan Penetapan Program Pengembangan</t>
  </si>
  <si>
    <t xml:space="preserve">Keserbacakupan (kelengkapan, keluasan, dan kedalaman), ketepatan, ketajaman, dan kesesuaian analisis capaian kinerja serta konsistensi dengan setiap kriteria.</t>
  </si>
  <si>
    <t xml:space="preserve">Skor 0
UPPS tidak melakukan analisis capaian kinerja.
Skor 1
UPPS telah melakukan analisis capaian kinerja yang:
— Tidak sepenuhnya didukung oleh data/informasi yang relevan (mengacu pada standar mutu perguruan tinggi) dan berkualitas (andal dan memadai)
— Konsisten dengan sebagian kecil (kurang dari 5) kriteria yang diuraikan sebelumnya
— Analisis tidak dilakukan secara komprehensif untuk mengidentifikasi akar masalah di UPPS
— Hasil analisis tidak dipublikasikan
Skor 2
UPPS telah melakukan analisis capaian kinerja yang:
— Didukung oleh data/informasi yang relevan dan berkualitas (andal dan memadai)
— Konsisten dengan sebagian (5–6) kriteria yang diuraikan sebelumnya
— Dilakukan secara komprehensif untuk mengidentifikasi akar masalah di UPPS
— Hasilnya dipublikasikan kepada pemangku kepentingan internal
Skor 3
UPPS telah melakukan analisis capaian kinerja yang:
— Didukung oleh data/informasi yang relevan dan berkualitas, serta oleh pangkalan data institusi yang belum terintegrasi
— Konsisten dengan sebagian besar (7–8) kriteria yang diuraikan sebelumnya
— Dilakukan secara komprehensif dan tepat untuk mengidentifikasi akar masalah di UPPS
— Hasilnya dipublikasikan kepada pemangku kepentingan internal dan mudah diakses
Skor 4
UPPS telah melakukan analisis capaian kinerja yang:
— Didukung oleh data/informasi relevan dan berkualitas, serta pangkalan data institusi yang terintegrasi
— Konsisten dengan seluruh kriteria yang diuraikan sebelumnya
— Dilakukan secara komprehensif, tepat, dan tajam untuk mengidentifikasi akar masalah di UPPS
— Hasilnya dipublikasikan kepada pemangku kepentingan internal dan eksternal serta mudah diakses</t>
  </si>
  <si>
    <t xml:space="preserve"> Ketepatan analisis SWOT atau analisis yang relevan di dalam mengembangkan strategi. </t>
  </si>
  <si>
    <t xml:space="preserve">Skor 0
UPPS tidak menetapkan prioritas program pengembangan.
Skor 1
UPPS menetapkan prioritas program pengembangan, namun belum mempertimbangkan secara komprehensif:
— Melakukan identifikasi kekuatan/faktor pendorong, kelemahan/faktor penghambat, peluang, dan ancaman yang dihadapi UPPS
— Memiliki keterkaitan dengan hasil analisis capaian kinerja, namun tidak terstruktur dan tidak sistematis
Skor 2
UPPS melakukan analisis SWOT atau analisis lain yang relevan, serta memenuhi:
— Identifikasi kekuatan, kelemahan, peluang, dan ancaman dilakukan secara tepat
— Memiliki keterkaitan dengan hasil analisis capaian kinerja
Skor 3
UPPS melakukan analisis SWOT atau analisis lain yang relevan, serta memenuhi:
— Identifikasi kekuatan, kelemahan, peluang, dan ancaman dilakukan secara tepat
— Memiliki keterkaitan dengan hasil analisis capaian kinerja
— Analisis dilakukan secara komprehensif dan tepat untuk mengidentifikasi akar masalah di UPPS
— Merumuskan strategi pengembangan UPPS yang berkesesuaian
Skor 4
UPPS melakukan analisis SWOT atau analisis lain yang relevan, serta memenuhi:
— Identifikasi kekuatan, kelemahan, peluang, dan ancaman dilakukan secara tepat
— Memiliki keterkaitan dengan hasil analisis capaian kinerja
— Merumuskan strategi pengembangan UPPS yang berkesesuaian
— Menghasilkan program-program pengembangan alternatif yang tepat</t>
  </si>
  <si>
    <t xml:space="preserve">Ketepatan di dalam menetapkan prioritas program pengembangan.</t>
  </si>
  <si>
    <t xml:space="preserve">Skor 0
UPPS tidak melakukan analisis untuk mengembangkan strategi.
Skor 1
UPPS melakukan analisis SWOT atau analisis lain yang memenuhi aspek-aspek:
— Kapasitas UPPS
— Kebutuhan UPPS dan Program Studi
— Rencana strategis UPPS yang berlaku
Skor 2
UPPS menetapkan prioritas program pengembangan berdasarkan hasil analisis SWOT atau analisis lainnya yang mempertimbangkan secara komprehensif:
— Kapasitas UPPS
— Kebutuhan UPPS dan PS di masa depan
— Rencana strategis UPPS yang berlaku
Skor 3
UPPS menetapkan prioritas program pengembangan berdasarkan hasil analisis SWOT atau analisis lainnya yang mempertimbangkan secara komprehensif:
— Kapasitas UPPS
— Kebutuhan UPPS dan PS di masa depan
— Aspirasi dari pemangku kepentingan internal
Skor 4
UPPS menetapkan prioritas program pengembangan berdasarkan hasil analisis SWOT atau analisis lainnya yang mempertimbangkan secara komprehensif:
— Kapasitas UPPS
— Kebutuhan UPPS dan PS di masa depan
— Aspirasi dari pemangku kepentingan internal dan eksternal
— Program yang menjamin keberlanjutan</t>
  </si>
  <si>
    <t xml:space="preserve">UPPS memiliki kebijakan, ketersediaan sumberdaya, kemampuan melaksanakan, dan kerealistikan program.</t>
  </si>
  <si>
    <t xml:space="preserve">Skor 0
UPPS tidak memiliki kebijakan dan upaya untuk menjamin keberlanjutan program.
Skor 1
UPPS memiliki kebijakan dan upaya, namun belum cukup untuk menjamin keberlanjutan program.
Skor 2
UPPS memiliki kebijakan dan upaya untuk menjamin keberlanjutan program yang mencakup:
— Alokasi sumber daya
— Kemampuan melaksanakan program pengembangan
— Rencana penjaminan mutu yang berkelanjutan
Skor 3
UPPS memiliki kebijakan dan upaya yang diturunkan ke dalam berbagai peraturan untuk menjamin keberlanjutan program yang mencakup:
— Alokasi sumber daya
— Kemampuan melaksanakan program pengembangan
— Rencana penjaminan mutu yang berkelanjutan
Skor 4
UPPS memiliki kebijakan dan upaya yang diturunkan ke dalam berbagai peraturan untuk menjamin keberlanjutan program yang mencakup:
— Alokasi sumber daya
— Kemampuan melaksanakan program pengembangan
— Rencana penjaminan mutu yang berkelanjutan
— Keberadaan dukungan pemangku kepentingan eksternal</t>
  </si>
  <si>
    <t xml:space="preserve">NO</t>
  </si>
  <si>
    <t xml:space="preserve">Rekomendasi</t>
  </si>
  <si>
    <t xml:space="preserve">dst.</t>
  </si>
  <si>
    <t xml:space="preserve">Job ID</t>
  </si>
  <si>
    <t xml:space="preserve">Job Name</t>
  </si>
  <si>
    <t xml:space="preserve">Template ID</t>
  </si>
  <si>
    <t xml:space="preserve">Data Sheet ID</t>
  </si>
  <si>
    <t xml:space="preserve">Header Row</t>
  </si>
  <si>
    <t xml:space="preserve">First Data Row</t>
  </si>
  <si>
    <t xml:space="preserve">File Name</t>
  </si>
  <si>
    <t xml:space="preserve">File Type</t>
  </si>
  <si>
    <t xml:space="preserve">Share As</t>
  </si>
  <si>
    <t xml:space="preserve">Folders</t>
  </si>
  <si>
    <t xml:space="preserve">Dynamic Folder Reference</t>
  </si>
  <si>
    <t xml:space="preserve">Conditionals</t>
  </si>
  <si>
    <t xml:space="preserve">Mode</t>
  </si>
  <si>
    <t xml:space="preserve">Append Breaks</t>
  </si>
  <si>
    <t xml:space="preserve">Tags</t>
  </si>
  <si>
    <t xml:space="preserve">Run On Time Trigger</t>
  </si>
  <si>
    <t xml:space="preserve">Time Trigger Frequency</t>
  </si>
  <si>
    <t xml:space="preserve">Run On Form Trigger</t>
  </si>
  <si>
    <t xml:space="preserve">Send Email And Share</t>
  </si>
  <si>
    <t xml:space="preserve">Email To</t>
  </si>
  <si>
    <t xml:space="preserve">Email CC</t>
  </si>
  <si>
    <t xml:space="preserve">Email BCC</t>
  </si>
  <si>
    <t xml:space="preserve">Email Reply To</t>
  </si>
  <si>
    <t xml:space="preserve">Email No Reply</t>
  </si>
  <si>
    <t xml:space="preserve">Email Subject</t>
  </si>
  <si>
    <t xml:space="preserve">Email Body</t>
  </si>
  <si>
    <t xml:space="preserve">Prevent Resharing</t>
  </si>
  <si>
    <t xml:space="preserve">Time Trigger Timestamp</t>
  </si>
  <si>
    <t xml:space="preserve">Form Trigger Timestamp</t>
  </si>
</sst>
</file>

<file path=xl/styles.xml><?xml version="1.0" encoding="utf-8"?>
<styleSheet xmlns="http://schemas.openxmlformats.org/spreadsheetml/2006/main">
  <numFmts count="5">
    <numFmt numFmtId="164" formatCode="General"/>
    <numFmt numFmtId="165" formatCode="General"/>
    <numFmt numFmtId="166" formatCode="0.00%"/>
    <numFmt numFmtId="167" formatCode="#,##0.00"/>
    <numFmt numFmtId="168" formatCode="0.0%"/>
  </numFmts>
  <fonts count="23">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b val="true"/>
      <sz val="27"/>
      <color rgb="FFFFFFFF"/>
      <name val="Calibri"/>
      <family val="0"/>
      <charset val="1"/>
    </font>
    <font>
      <b val="true"/>
      <sz val="21"/>
      <color rgb="FFFFFFFF"/>
      <name val="Calibri"/>
      <family val="0"/>
      <charset val="1"/>
    </font>
    <font>
      <b val="true"/>
      <sz val="23"/>
      <color rgb="FFFFFFFF"/>
      <name val="Calibri"/>
      <family val="0"/>
      <charset val="1"/>
    </font>
    <font>
      <b val="true"/>
      <sz val="16"/>
      <color rgb="FFFFFFFF"/>
      <name val="Calibri"/>
      <family val="0"/>
      <charset val="1"/>
    </font>
    <font>
      <sz val="11"/>
      <color rgb="FF000000"/>
      <name val="Calibri"/>
      <family val="0"/>
      <charset val="1"/>
    </font>
    <font>
      <b val="true"/>
      <sz val="15"/>
      <color rgb="FFFFFFFF"/>
      <name val="Calibri"/>
      <family val="0"/>
      <charset val="1"/>
    </font>
    <font>
      <b val="true"/>
      <sz val="14"/>
      <color rgb="FFFFFFFF"/>
      <name val="Calibri"/>
      <family val="0"/>
      <charset val="1"/>
    </font>
    <font>
      <b val="true"/>
      <sz val="17"/>
      <color rgb="FFFFFFFF"/>
      <name val="Calibri"/>
      <family val="0"/>
      <charset val="1"/>
    </font>
    <font>
      <b val="true"/>
      <sz val="17"/>
      <color rgb="FFFF0000"/>
      <name val="Calibri"/>
      <family val="0"/>
      <charset val="1"/>
    </font>
    <font>
      <b val="true"/>
      <sz val="13"/>
      <color rgb="FF000000"/>
      <name val="Calibri"/>
      <family val="0"/>
      <charset val="1"/>
    </font>
    <font>
      <b val="true"/>
      <sz val="13"/>
      <color theme="1"/>
      <name val="Calibri"/>
      <family val="0"/>
      <charset val="1"/>
    </font>
    <font>
      <b val="true"/>
      <sz val="11"/>
      <color rgb="FF000000"/>
      <name val="Calibri"/>
      <family val="0"/>
      <charset val="1"/>
    </font>
    <font>
      <b val="true"/>
      <sz val="11"/>
      <color theme="1"/>
      <name val="Calibri"/>
      <family val="0"/>
      <charset val="1"/>
    </font>
    <font>
      <b val="true"/>
      <sz val="28"/>
      <color rgb="FF000000"/>
      <name val="Calibri"/>
      <family val="0"/>
      <charset val="1"/>
    </font>
    <font>
      <b val="true"/>
      <sz val="11"/>
      <color theme="1"/>
      <name val="Arial"/>
      <family val="0"/>
      <charset val="1"/>
    </font>
    <font>
      <b val="true"/>
      <sz val="28"/>
      <color theme="1"/>
      <name val="Arial"/>
      <family val="0"/>
      <charset val="1"/>
    </font>
    <font>
      <sz val="11"/>
      <color theme="1"/>
      <name val="Calibri"/>
      <family val="0"/>
      <charset val="1"/>
    </font>
    <font>
      <vertAlign val="subscript"/>
      <sz val="11"/>
      <color rgb="FF000000"/>
      <name val="Calibri"/>
      <family val="0"/>
      <charset val="1"/>
    </font>
  </fonts>
  <fills count="12">
    <fill>
      <patternFill patternType="none"/>
    </fill>
    <fill>
      <patternFill patternType="gray125"/>
    </fill>
    <fill>
      <patternFill patternType="solid">
        <fgColor rgb="FF0B5394"/>
        <bgColor rgb="FF003366"/>
      </patternFill>
    </fill>
    <fill>
      <patternFill patternType="solid">
        <fgColor rgb="FFFF0000"/>
        <bgColor rgb="FF993300"/>
      </patternFill>
    </fill>
    <fill>
      <patternFill patternType="solid">
        <fgColor rgb="FFCFE2F3"/>
        <bgColor rgb="FFD9EAD3"/>
      </patternFill>
    </fill>
    <fill>
      <patternFill patternType="solid">
        <fgColor theme="0"/>
        <bgColor rgb="FFF3F3F3"/>
      </patternFill>
    </fill>
    <fill>
      <patternFill patternType="solid">
        <fgColor rgb="FFFFFF00"/>
        <bgColor rgb="FFFFFF00"/>
      </patternFill>
    </fill>
    <fill>
      <patternFill patternType="solid">
        <fgColor rgb="FF00FF00"/>
        <bgColor rgb="FF66FF33"/>
      </patternFill>
    </fill>
    <fill>
      <patternFill patternType="solid">
        <fgColor rgb="FFFFF2CC"/>
        <bgColor rgb="FFF3F3F3"/>
      </patternFill>
    </fill>
    <fill>
      <patternFill patternType="solid">
        <fgColor rgb="FFD9EAD3"/>
        <bgColor rgb="FFCFE2F3"/>
      </patternFill>
    </fill>
    <fill>
      <patternFill patternType="solid">
        <fgColor rgb="FFF3F3F3"/>
        <bgColor rgb="FFFFFFFF"/>
      </patternFill>
    </fill>
    <fill>
      <patternFill patternType="solid">
        <fgColor rgb="FF66FF33"/>
        <bgColor rgb="FF00FF00"/>
      </patternFill>
    </fill>
  </fills>
  <borders count="15">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medium"/>
      <top/>
      <bottom/>
      <diagonal/>
    </border>
    <border diagonalUp="false" diagonalDown="false">
      <left style="medium"/>
      <right style="medium"/>
      <top/>
      <bottom/>
      <diagonal/>
    </border>
    <border diagonalUp="false" diagonalDown="false">
      <left style="medium"/>
      <right/>
      <top style="thin"/>
      <bottom style="thin"/>
      <diagonal/>
    </border>
    <border diagonalUp="false" diagonalDown="false">
      <left style="thin"/>
      <right/>
      <top/>
      <bottom/>
      <diagonal/>
    </border>
    <border diagonalUp="false" diagonalDown="false">
      <left/>
      <right style="medium"/>
      <top style="thin"/>
      <bottom style="medium"/>
      <diagonal/>
    </border>
    <border diagonalUp="false" diagonalDown="false">
      <left/>
      <right style="medium"/>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7" fillId="2" borderId="3"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tru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4" fontId="12" fillId="2" borderId="4"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4" fontId="12" fillId="2" borderId="6" xfId="0" applyFont="true" applyBorder="true" applyAlignment="true" applyProtection="false">
      <alignment horizontal="center" vertical="center" textRotation="0" wrapText="true" indent="0" shrinkToFit="false"/>
      <protection locked="true" hidden="false"/>
    </xf>
    <xf numFmtId="164" fontId="9" fillId="0" borderId="7" xfId="0" applyFont="true" applyBorder="true" applyAlignment="true" applyProtection="false">
      <alignment horizontal="left" vertical="center" textRotation="0" wrapText="true" indent="0" shrinkToFit="false"/>
      <protection locked="true" hidden="false"/>
    </xf>
    <xf numFmtId="164" fontId="14" fillId="4" borderId="8" xfId="0" applyFont="true" applyBorder="true" applyAlignment="true" applyProtection="false">
      <alignment horizontal="center" vertical="center" textRotation="0" wrapText="true" indent="0" shrinkToFit="false"/>
      <protection locked="true" hidden="false"/>
    </xf>
    <xf numFmtId="164" fontId="12" fillId="2" borderId="7" xfId="0" applyFont="true" applyBorder="true" applyAlignment="true" applyProtection="false">
      <alignment horizontal="center" vertical="center" textRotation="0" wrapText="true" indent="0" shrinkToFit="false"/>
      <protection locked="true" hidden="false"/>
    </xf>
    <xf numFmtId="164" fontId="15" fillId="4" borderId="9" xfId="0" applyFont="true" applyBorder="true" applyAlignment="true" applyProtection="false">
      <alignment horizontal="center" vertical="center" textRotation="0" wrapText="true" indent="0" shrinkToFit="false"/>
      <protection locked="true" hidden="false"/>
    </xf>
    <xf numFmtId="164" fontId="14" fillId="4" borderId="9" xfId="0" applyFont="true" applyBorder="true" applyAlignment="true" applyProtection="false">
      <alignment horizontal="center" vertical="center" textRotation="0" wrapText="true" indent="0" shrinkToFit="false"/>
      <protection locked="true" hidden="false"/>
    </xf>
    <xf numFmtId="164" fontId="16" fillId="5" borderId="6" xfId="0" applyFont="true" applyBorder="true" applyAlignment="true" applyProtection="false">
      <alignment horizontal="left" vertical="center" textRotation="0" wrapText="true" indent="0" shrinkToFit="false"/>
      <protection locked="true" hidden="false"/>
    </xf>
    <xf numFmtId="164" fontId="9" fillId="5" borderId="6" xfId="0" applyFont="true" applyBorder="true" applyAlignment="true" applyProtection="false">
      <alignment horizontal="left" vertical="center" textRotation="0" wrapText="true" indent="0" shrinkToFit="false"/>
      <protection locked="true" hidden="false"/>
    </xf>
    <xf numFmtId="164" fontId="16" fillId="6" borderId="6" xfId="0" applyFont="true" applyBorder="true" applyAlignment="true" applyProtection="false">
      <alignment horizontal="left" vertical="center" textRotation="0" wrapText="true" indent="0" shrinkToFit="false"/>
      <protection locked="true" hidden="false"/>
    </xf>
    <xf numFmtId="165" fontId="16" fillId="7" borderId="6" xfId="0" applyFont="true" applyBorder="true" applyAlignment="true" applyProtection="false">
      <alignment horizontal="left" vertical="center" textRotation="0" wrapText="true" indent="0" shrinkToFit="false"/>
      <protection locked="true" hidden="false"/>
    </xf>
    <xf numFmtId="164" fontId="17" fillId="5" borderId="6" xfId="0" applyFont="true" applyBorder="true" applyAlignment="true" applyProtection="false">
      <alignment horizontal="left" vertical="center" textRotation="0" wrapText="true" indent="0" shrinkToFit="false"/>
      <protection locked="true" hidden="false"/>
    </xf>
    <xf numFmtId="164" fontId="16" fillId="0" borderId="6" xfId="0" applyFont="true" applyBorder="true" applyAlignment="true" applyProtection="false">
      <alignment horizontal="left" vertical="center" textRotation="0" wrapText="true" indent="0" shrinkToFit="false"/>
      <protection locked="true" hidden="false"/>
    </xf>
    <xf numFmtId="164" fontId="4" fillId="3" borderId="6" xfId="0" applyFont="true" applyBorder="true" applyAlignment="true" applyProtection="false">
      <alignment horizontal="general" vertical="center" textRotation="0" wrapText="false" indent="0" shrinkToFit="false"/>
      <protection locked="true" hidden="false"/>
    </xf>
    <xf numFmtId="164" fontId="4" fillId="5" borderId="6" xfId="0" applyFont="true" applyBorder="true" applyAlignment="true" applyProtection="false">
      <alignment horizontal="general" vertical="center" textRotation="0" wrapText="true" indent="0" shrinkToFit="false"/>
      <protection locked="true" hidden="false"/>
    </xf>
    <xf numFmtId="165" fontId="18" fillId="8" borderId="6" xfId="0" applyFont="true" applyBorder="true" applyAlignment="true" applyProtection="false">
      <alignment horizontal="center" vertical="top" textRotation="0" wrapText="true" indent="0" shrinkToFit="false"/>
      <protection locked="true" hidden="false"/>
    </xf>
    <xf numFmtId="164" fontId="19" fillId="0" borderId="6" xfId="0" applyFont="true" applyBorder="true" applyAlignment="true" applyProtection="false">
      <alignment horizontal="general" vertical="center" textRotation="0" wrapText="true" indent="0" shrinkToFit="false"/>
      <protection locked="true" hidden="false"/>
    </xf>
    <xf numFmtId="165" fontId="18" fillId="9" borderId="6" xfId="0" applyFont="true" applyBorder="true" applyAlignment="true" applyProtection="false">
      <alignment horizontal="center" vertical="top" textRotation="0" wrapText="true" indent="0" shrinkToFit="false"/>
      <protection locked="true" hidden="false"/>
    </xf>
    <xf numFmtId="164" fontId="9" fillId="9" borderId="6" xfId="0" applyFont="true" applyBorder="true" applyAlignment="true" applyProtection="false">
      <alignment horizontal="left" vertical="center" textRotation="0" wrapText="true" indent="0" shrinkToFit="false"/>
      <protection locked="true" hidden="false"/>
    </xf>
    <xf numFmtId="165" fontId="16" fillId="7" borderId="4" xfId="0" applyFont="true" applyBorder="true" applyAlignment="true" applyProtection="false">
      <alignment horizontal="left" vertical="center" textRotation="0" wrapText="true" indent="0" shrinkToFit="false"/>
      <protection locked="true" hidden="false"/>
    </xf>
    <xf numFmtId="164" fontId="16" fillId="9" borderId="6" xfId="0" applyFont="true" applyBorder="true" applyAlignment="true" applyProtection="false">
      <alignment horizontal="left" vertical="center" textRotation="0" wrapText="true" indent="0" shrinkToFit="false"/>
      <protection locked="true" hidden="false"/>
    </xf>
    <xf numFmtId="164" fontId="16" fillId="5" borderId="5" xfId="0" applyFont="true" applyBorder="true" applyAlignment="true" applyProtection="false">
      <alignment horizontal="left" vertical="center" textRotation="0" wrapText="true" indent="0" shrinkToFit="false"/>
      <protection locked="true" hidden="false"/>
    </xf>
    <xf numFmtId="164" fontId="4" fillId="5" borderId="5" xfId="0" applyFont="true" applyBorder="true" applyAlignment="true" applyProtection="false">
      <alignment horizontal="general" vertical="center" textRotation="0" wrapText="false" indent="0" shrinkToFit="false"/>
      <protection locked="true" hidden="false"/>
    </xf>
    <xf numFmtId="164" fontId="4" fillId="5" borderId="5" xfId="0" applyFont="true" applyBorder="true" applyAlignment="true" applyProtection="false">
      <alignment horizontal="general" vertical="center" textRotation="0" wrapText="true" indent="0" shrinkToFit="false"/>
      <protection locked="true" hidden="false"/>
    </xf>
    <xf numFmtId="164" fontId="4" fillId="9" borderId="6" xfId="0" applyFont="true" applyBorder="true" applyAlignment="true" applyProtection="false">
      <alignment horizontal="general" vertical="center" textRotation="0" wrapText="true" indent="0" shrinkToFit="false"/>
      <protection locked="true" hidden="false"/>
    </xf>
    <xf numFmtId="164" fontId="16" fillId="10" borderId="7" xfId="0" applyFont="true" applyBorder="true" applyAlignment="true" applyProtection="false">
      <alignment horizontal="left" vertical="center" textRotation="0" wrapText="true" indent="0" shrinkToFit="false"/>
      <protection locked="true" hidden="false"/>
    </xf>
    <xf numFmtId="164" fontId="4" fillId="5" borderId="7" xfId="0" applyFont="true" applyBorder="true" applyAlignment="true" applyProtection="false">
      <alignment horizontal="general" vertical="center" textRotation="0" wrapText="false" indent="0" shrinkToFit="false"/>
      <protection locked="true" hidden="false"/>
    </xf>
    <xf numFmtId="164" fontId="4" fillId="5" borderId="7" xfId="0" applyFont="true" applyBorder="true" applyAlignment="true" applyProtection="false">
      <alignment horizontal="general" vertical="center" textRotation="0" wrapText="true" indent="0" shrinkToFit="false"/>
      <protection locked="true" hidden="false"/>
    </xf>
    <xf numFmtId="164" fontId="19" fillId="9" borderId="6" xfId="0" applyFont="true" applyBorder="true" applyAlignment="true" applyProtection="false">
      <alignment horizontal="general" vertical="center" textRotation="0" wrapText="true" indent="0" shrinkToFit="false"/>
      <protection locked="true" hidden="false"/>
    </xf>
    <xf numFmtId="164" fontId="16" fillId="5" borderId="7"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general" vertical="center" textRotation="0" wrapText="true" indent="0" shrinkToFit="false"/>
      <protection locked="true" hidden="false"/>
    </xf>
    <xf numFmtId="164" fontId="16" fillId="5" borderId="4" xfId="0" applyFont="true" applyBorder="true" applyAlignment="true" applyProtection="false">
      <alignment horizontal="left" vertical="center" textRotation="0" wrapText="true" indent="0" shrinkToFit="false"/>
      <protection locked="true" hidden="false"/>
    </xf>
    <xf numFmtId="165" fontId="20" fillId="8" borderId="6" xfId="0" applyFont="true" applyBorder="true" applyAlignment="true" applyProtection="false">
      <alignment horizontal="center" vertical="top" textRotation="0" wrapText="true" indent="0" shrinkToFit="false"/>
      <protection locked="true" hidden="false"/>
    </xf>
    <xf numFmtId="164" fontId="16" fillId="3" borderId="6" xfId="0" applyFont="true" applyBorder="true" applyAlignment="true" applyProtection="false">
      <alignment horizontal="left" vertical="center" textRotation="0" wrapText="true" indent="0" shrinkToFit="false"/>
      <protection locked="true" hidden="false"/>
    </xf>
    <xf numFmtId="164" fontId="16" fillId="7" borderId="6" xfId="0" applyFont="true" applyBorder="true" applyAlignment="true" applyProtection="false">
      <alignment horizontal="left" vertical="center" textRotation="0" wrapText="true" indent="0" shrinkToFit="false"/>
      <protection locked="true" hidden="false"/>
    </xf>
    <xf numFmtId="166" fontId="16" fillId="7" borderId="6" xfId="0" applyFont="true" applyBorder="true" applyAlignment="true" applyProtection="false">
      <alignment horizontal="left" vertical="center" textRotation="0" wrapText="true" indent="0" shrinkToFit="false"/>
      <protection locked="true" hidden="false"/>
    </xf>
    <xf numFmtId="164" fontId="21" fillId="0" borderId="6" xfId="0" applyFont="true" applyBorder="true" applyAlignment="true" applyProtection="false">
      <alignment horizontal="general" vertical="center" textRotation="0" wrapText="true" indent="0" shrinkToFit="false"/>
      <protection locked="true" hidden="false"/>
    </xf>
    <xf numFmtId="166" fontId="16" fillId="6" borderId="6" xfId="0" applyFont="true" applyBorder="true" applyAlignment="true" applyProtection="false">
      <alignment horizontal="left" vertical="center" textRotation="0" wrapText="true" indent="0" shrinkToFit="false"/>
      <protection locked="true" hidden="false"/>
    </xf>
    <xf numFmtId="167" fontId="16" fillId="7" borderId="6" xfId="0" applyFont="true" applyBorder="true" applyAlignment="true" applyProtection="false">
      <alignment horizontal="left" vertical="center" textRotation="0" wrapText="true" indent="0" shrinkToFit="false"/>
      <protection locked="true" hidden="false"/>
    </xf>
    <xf numFmtId="166" fontId="4" fillId="6" borderId="6" xfId="0" applyFont="true" applyBorder="true" applyAlignment="true" applyProtection="false">
      <alignment horizontal="general" vertical="center" textRotation="0" wrapText="false" indent="0" shrinkToFit="false"/>
      <protection locked="true" hidden="false"/>
    </xf>
    <xf numFmtId="164" fontId="19" fillId="9" borderId="4" xfId="0" applyFont="true" applyBorder="true" applyAlignment="true" applyProtection="false">
      <alignment horizontal="general" vertical="center" textRotation="0" wrapText="true" indent="0" shrinkToFit="false"/>
      <protection locked="true" hidden="false"/>
    </xf>
    <xf numFmtId="165" fontId="20" fillId="9" borderId="6" xfId="0" applyFont="true" applyBorder="true" applyAlignment="true" applyProtection="false">
      <alignment horizontal="center" vertical="top" textRotation="0" wrapText="tru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7" fontId="16" fillId="6" borderId="6" xfId="0" applyFont="true" applyBorder="true" applyAlignment="true" applyProtection="false">
      <alignment horizontal="left" vertical="center" textRotation="0" wrapText="true" indent="0" shrinkToFit="false"/>
      <protection locked="true" hidden="false"/>
    </xf>
    <xf numFmtId="164" fontId="19" fillId="8" borderId="6" xfId="0" applyFont="true" applyBorder="true" applyAlignment="true" applyProtection="false">
      <alignment horizontal="general" vertical="center" textRotation="0" wrapText="true" indent="0" shrinkToFit="false"/>
      <protection locked="true" hidden="false"/>
    </xf>
    <xf numFmtId="164" fontId="4" fillId="7" borderId="6"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5" fontId="16" fillId="7" borderId="3"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21" fillId="6" borderId="2" xfId="0" applyFont="true" applyBorder="true" applyAlignment="true" applyProtection="false">
      <alignment horizontal="general" vertical="center" textRotation="0" wrapText="true" indent="0" shrinkToFit="false"/>
      <protection locked="true" hidden="false"/>
    </xf>
    <xf numFmtId="164" fontId="21" fillId="0" borderId="10"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5" borderId="1" xfId="0" applyFont="true" applyBorder="true" applyAlignment="true" applyProtection="false">
      <alignment horizontal="general" vertical="center" textRotation="0" wrapText="true" indent="0" shrinkToFit="false"/>
      <protection locked="true" hidden="false"/>
    </xf>
    <xf numFmtId="164" fontId="4" fillId="5" borderId="11" xfId="0" applyFont="true" applyBorder="true" applyAlignment="true" applyProtection="false">
      <alignment horizontal="general" vertical="center" textRotation="0" wrapText="false" indent="0" shrinkToFit="false"/>
      <protection locked="true" hidden="false"/>
    </xf>
    <xf numFmtId="164" fontId="4" fillId="5" borderId="11" xfId="0" applyFont="true" applyBorder="true" applyAlignment="true" applyProtection="false">
      <alignment horizontal="general" vertical="center" textRotation="0" wrapText="true" indent="0" shrinkToFit="false"/>
      <protection locked="true" hidden="false"/>
    </xf>
    <xf numFmtId="164" fontId="21" fillId="0" borderId="2" xfId="0" applyFont="true" applyBorder="true" applyAlignment="true" applyProtection="false">
      <alignment horizontal="general" vertical="center" textRotation="0" wrapText="true" indent="0" shrinkToFit="false"/>
      <protection locked="true" hidden="false"/>
    </xf>
    <xf numFmtId="164" fontId="4" fillId="5" borderId="6"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center" textRotation="0" wrapText="false" indent="0" shrinkToFit="false"/>
      <protection locked="true" hidden="false"/>
    </xf>
    <xf numFmtId="168" fontId="9" fillId="11" borderId="12" xfId="0" applyFont="true" applyBorder="true" applyAlignment="true" applyProtection="false">
      <alignment horizontal="center" vertical="center" textRotation="0" wrapText="false" indent="0" shrinkToFit="false"/>
      <protection locked="true" hidden="false"/>
    </xf>
    <xf numFmtId="168" fontId="9" fillId="11" borderId="13" xfId="0" applyFont="true" applyBorder="true" applyAlignment="true" applyProtection="false">
      <alignment horizontal="center" vertical="center" textRotation="0" wrapText="false" indent="0" shrinkToFit="false"/>
      <protection locked="true" hidden="false"/>
    </xf>
    <xf numFmtId="166" fontId="16" fillId="7" borderId="1" xfId="0" applyFont="true" applyBorder="true" applyAlignment="true" applyProtection="false">
      <alignment horizontal="left" vertical="center" textRotation="0" wrapText="true" indent="0" shrinkToFit="false"/>
      <protection locked="true" hidden="false"/>
    </xf>
    <xf numFmtId="164" fontId="21" fillId="0" borderId="3" xfId="0" applyFont="true" applyBorder="true" applyAlignment="true" applyProtection="false">
      <alignment horizontal="general" vertical="center" textRotation="0" wrapText="true" indent="0" shrinkToFit="false"/>
      <protection locked="true" hidden="false"/>
    </xf>
    <xf numFmtId="166" fontId="4" fillId="6" borderId="13" xfId="0" applyFont="true" applyBorder="true" applyAlignment="true" applyProtection="false">
      <alignment horizontal="general" vertical="center" textRotation="0" wrapText="false" indent="0" shrinkToFit="false"/>
      <protection locked="true" hidden="false"/>
    </xf>
    <xf numFmtId="165" fontId="16" fillId="7" borderId="1" xfId="0" applyFont="true" applyBorder="true" applyAlignment="true" applyProtection="false">
      <alignment horizontal="left" vertical="center" textRotation="0" wrapText="true" indent="0" shrinkToFit="false"/>
      <protection locked="true" hidden="false"/>
    </xf>
    <xf numFmtId="164" fontId="4" fillId="5" borderId="14" xfId="0" applyFont="true" applyBorder="true" applyAlignment="true" applyProtection="false">
      <alignment horizontal="general" vertical="center" textRotation="0" wrapText="false" indent="0" shrinkToFit="false"/>
      <protection locked="true" hidden="false"/>
    </xf>
    <xf numFmtId="164" fontId="4" fillId="5" borderId="14"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FF0000"/>
        </patternFill>
      </fill>
    </dxf>
    <dxf>
      <fill>
        <patternFill>
          <bgColor rgb="FF00FF00"/>
        </patternFill>
      </fill>
    </dxf>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F3F3F3"/>
      <rgbColor rgb="FF660066"/>
      <rgbColor rgb="FFFF8080"/>
      <rgbColor rgb="FF0B5394"/>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66FF33"/>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0</v>
      </c>
      <c r="B1" s="1" t="s">
        <v>1</v>
      </c>
    </row>
    <row r="2" customFormat="false" ht="15.75" hidden="false" customHeight="false" outlineLevel="0" collapsed="false">
      <c r="A2" s="2" t="s">
        <v>2</v>
      </c>
      <c r="B2" s="2" t="s">
        <v>3</v>
      </c>
    </row>
    <row r="3" customFormat="false" ht="15.75" hidden="false" customHeight="false" outlineLevel="0" collapsed="false">
      <c r="A3" s="2" t="s">
        <v>4</v>
      </c>
      <c r="B3" s="2" t="s">
        <v>5</v>
      </c>
    </row>
    <row r="4" customFormat="false" ht="15.75" hidden="false" customHeight="false" outlineLevel="0" collapsed="false">
      <c r="A4" s="2" t="s">
        <v>6</v>
      </c>
      <c r="B4" s="2" t="s">
        <v>7</v>
      </c>
    </row>
    <row r="5" customFormat="false" ht="15.75" hidden="false" customHeight="false" outlineLevel="0" collapsed="false">
      <c r="A5" s="2" t="s">
        <v>8</v>
      </c>
      <c r="B5" s="2" t="s">
        <v>9</v>
      </c>
    </row>
    <row r="6" customFormat="false" ht="15.75" hidden="false" customHeight="false" outlineLevel="0" collapsed="false">
      <c r="A6" s="2" t="s">
        <v>10</v>
      </c>
      <c r="B6" s="2" t="s">
        <v>5</v>
      </c>
    </row>
    <row r="7" customFormat="false" ht="15.75" hidden="false" customHeight="false" outlineLevel="0" collapsed="false">
      <c r="A7" s="2" t="s">
        <v>11</v>
      </c>
      <c r="B7" s="2" t="s">
        <v>12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446"/>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5" topLeftCell="A436" activePane="bottomLeft" state="frozen"/>
      <selection pane="topLeft" activeCell="E1" activeCellId="0" sqref="E1"/>
      <selection pane="bottomLeft" activeCell="J444" activeCellId="0" sqref="J444"/>
    </sheetView>
  </sheetViews>
  <sheetFormatPr defaultColWidth="12.6328125" defaultRowHeight="15.75" zeroHeight="false" outlineLevelRow="0" outlineLevelCol="0"/>
  <cols>
    <col collapsed="false" customWidth="true" hidden="false" outlineLevel="0" max="1" min="1" style="0" width="18.63"/>
    <col collapsed="false" customWidth="true" hidden="false" outlineLevel="0" max="2" min="2" style="0" width="49.25"/>
    <col collapsed="false" customWidth="true" hidden="false" outlineLevel="0" max="3" min="3" style="0" width="58.38"/>
    <col collapsed="false" customWidth="true" hidden="false" outlineLevel="0" max="4" min="4" style="0" width="8.88"/>
    <col collapsed="false" customWidth="true" hidden="false" outlineLevel="0" max="5" min="5" style="0" width="18.13"/>
    <col collapsed="false" customWidth="true" hidden="false" outlineLevel="0" max="6" min="6" style="0" width="16"/>
    <col collapsed="false" customWidth="true" hidden="false" outlineLevel="0" max="7" min="7" style="0" width="10.63"/>
    <col collapsed="false" customWidth="true" hidden="false" outlineLevel="0" max="8" min="8" style="0" width="5"/>
    <col collapsed="false" customWidth="true" hidden="false" outlineLevel="0" max="9" min="9" style="0" width="25.38"/>
    <col collapsed="false" customWidth="true" hidden="false" outlineLevel="0" max="10" min="10" style="0" width="21.5"/>
    <col collapsed="false" customWidth="true" hidden="false" outlineLevel="0" max="11" min="11" style="0" width="12.38"/>
    <col collapsed="false" customWidth="true" hidden="false" outlineLevel="0" max="12" min="12" style="0" width="15.75"/>
    <col collapsed="false" customWidth="true" hidden="false" outlineLevel="0" max="13" min="13" style="0" width="21.38"/>
    <col collapsed="false" customWidth="true" hidden="false" outlineLevel="0" max="14" min="14" style="0" width="14.75"/>
    <col collapsed="false" customWidth="true" hidden="false" outlineLevel="0" max="15" min="15" style="0" width="35.38"/>
    <col collapsed="false" customWidth="true" hidden="false" outlineLevel="0" max="16" min="16" style="0" width="21.5"/>
    <col collapsed="false" customWidth="true" hidden="false" outlineLevel="0" max="17" min="17" style="0" width="27.25"/>
    <col collapsed="false" customWidth="true" hidden="false" outlineLevel="0" max="19" min="18" style="0" width="15.63"/>
  </cols>
  <sheetData>
    <row r="1" customFormat="false" ht="25.5" hidden="false" customHeight="true" outlineLevel="0" collapsed="false">
      <c r="A1" s="3"/>
      <c r="B1" s="4" t="s">
        <v>13</v>
      </c>
      <c r="C1" s="4"/>
      <c r="D1" s="5"/>
      <c r="E1" s="6"/>
      <c r="F1" s="5"/>
      <c r="G1" s="5"/>
      <c r="H1" s="5"/>
      <c r="I1" s="5"/>
      <c r="J1" s="5"/>
      <c r="K1" s="5"/>
      <c r="L1" s="7"/>
      <c r="M1" s="8"/>
      <c r="N1" s="8"/>
      <c r="O1" s="8"/>
      <c r="P1" s="9"/>
      <c r="Q1" s="9"/>
      <c r="R1" s="10"/>
      <c r="S1" s="10"/>
    </row>
    <row r="2" customFormat="false" ht="6" hidden="false" customHeight="true" outlineLevel="0" collapsed="false">
      <c r="A2" s="11"/>
      <c r="B2" s="12"/>
      <c r="C2" s="12"/>
      <c r="D2" s="12"/>
      <c r="E2" s="12"/>
      <c r="F2" s="12"/>
      <c r="G2" s="12"/>
      <c r="H2" s="12"/>
      <c r="I2" s="12"/>
      <c r="J2" s="12"/>
      <c r="K2" s="12"/>
      <c r="L2" s="12"/>
      <c r="M2" s="11"/>
      <c r="N2" s="11"/>
      <c r="O2" s="11"/>
      <c r="P2" s="11"/>
      <c r="Q2" s="10"/>
      <c r="R2" s="10"/>
      <c r="S2" s="10"/>
    </row>
    <row r="3" customFormat="false" ht="19.7" hidden="false" customHeight="true" outlineLevel="0" collapsed="false">
      <c r="A3" s="13" t="s">
        <v>14</v>
      </c>
      <c r="B3" s="13"/>
      <c r="C3" s="13"/>
      <c r="E3" s="14"/>
      <c r="F3" s="14"/>
      <c r="G3" s="14"/>
      <c r="H3" s="14"/>
      <c r="I3" s="14"/>
      <c r="J3" s="14"/>
      <c r="K3" s="14"/>
      <c r="L3" s="14"/>
      <c r="M3" s="14"/>
      <c r="N3" s="14"/>
      <c r="O3" s="14"/>
      <c r="P3" s="14"/>
      <c r="Q3" s="14"/>
      <c r="R3" s="10"/>
      <c r="S3" s="10"/>
    </row>
    <row r="4" customFormat="false" ht="43.25" hidden="false" customHeight="true" outlineLevel="0" collapsed="false">
      <c r="A4" s="15"/>
      <c r="B4" s="15"/>
      <c r="C4" s="15"/>
      <c r="D4" s="16"/>
      <c r="E4" s="17" t="s">
        <v>15</v>
      </c>
      <c r="F4" s="17"/>
      <c r="G4" s="17"/>
      <c r="H4" s="17"/>
      <c r="I4" s="17"/>
      <c r="J4" s="17"/>
      <c r="K4" s="16"/>
      <c r="L4" s="17" t="s">
        <v>16</v>
      </c>
      <c r="M4" s="17"/>
      <c r="N4" s="17"/>
      <c r="O4" s="17"/>
      <c r="P4" s="17"/>
      <c r="Q4" s="17"/>
      <c r="R4" s="10"/>
      <c r="S4" s="10"/>
    </row>
    <row r="5" customFormat="false" ht="33" hidden="false" customHeight="true" outlineLevel="0" collapsed="false">
      <c r="A5" s="15" t="s">
        <v>17</v>
      </c>
      <c r="B5" s="15" t="s">
        <v>18</v>
      </c>
      <c r="C5" s="15" t="s">
        <v>19</v>
      </c>
      <c r="D5" s="18"/>
      <c r="E5" s="19" t="s">
        <v>20</v>
      </c>
      <c r="F5" s="19"/>
      <c r="G5" s="15" t="s">
        <v>21</v>
      </c>
      <c r="H5" s="18"/>
      <c r="I5" s="20" t="s">
        <v>22</v>
      </c>
      <c r="J5" s="20"/>
      <c r="K5" s="18"/>
      <c r="L5" s="19" t="s">
        <v>20</v>
      </c>
      <c r="M5" s="19"/>
      <c r="N5" s="15" t="s">
        <v>21</v>
      </c>
      <c r="O5" s="21" t="s">
        <v>23</v>
      </c>
      <c r="P5" s="22" t="s">
        <v>24</v>
      </c>
      <c r="Q5" s="22" t="s">
        <v>25</v>
      </c>
      <c r="R5" s="10" t="s">
        <v>26</v>
      </c>
      <c r="S5" s="10" t="s">
        <v>17</v>
      </c>
    </row>
    <row r="6" customFormat="false" ht="444.75" hidden="false" customHeight="true" outlineLevel="0" collapsed="false">
      <c r="A6" s="23" t="s">
        <v>27</v>
      </c>
      <c r="B6" s="24" t="s">
        <v>28</v>
      </c>
      <c r="C6" s="24" t="s">
        <v>29</v>
      </c>
      <c r="D6" s="23" t="s">
        <v>30</v>
      </c>
      <c r="E6" s="25" t="n">
        <v>3</v>
      </c>
      <c r="F6" s="23"/>
      <c r="G6" s="26" t="n">
        <f aca="false">E6</f>
        <v>3</v>
      </c>
      <c r="H6" s="23"/>
      <c r="I6" s="27"/>
      <c r="J6" s="28" t="str">
        <f aca="false">IF(ISBLANK(I6), "❌ BELUM ADA DOKUMEN PENDUKUNG", "✅ SILAHKAN AUDITOR MELAKUKAN VERIFIKASI DOKUMEN PENDUKUNGNYA")</f>
        <v>❌ BELUM ADA DOKUMEN PENDUKUNG</v>
      </c>
      <c r="K6" s="23"/>
      <c r="L6" s="25" t="n">
        <v>3</v>
      </c>
      <c r="M6" s="23"/>
      <c r="N6" s="26" t="n">
        <f aca="false">L6</f>
        <v>3</v>
      </c>
      <c r="O6" s="29"/>
      <c r="P6" s="30"/>
      <c r="Q6" s="31" t="n">
        <f aca="false">N6</f>
        <v>3</v>
      </c>
      <c r="R6" s="10" t="n">
        <f aca="false">Q6</f>
        <v>3</v>
      </c>
      <c r="S6" s="10" t="str">
        <f aca="false">A6</f>
        <v>Kondisi Eksternal</v>
      </c>
    </row>
    <row r="7" customFormat="false" ht="444.75" hidden="false" customHeight="false" outlineLevel="0" collapsed="false">
      <c r="A7" s="32" t="s">
        <v>28</v>
      </c>
      <c r="B7" s="24" t="s">
        <v>31</v>
      </c>
      <c r="C7" s="24" t="s">
        <v>32</v>
      </c>
      <c r="D7" s="23"/>
      <c r="E7" s="25"/>
      <c r="F7" s="23"/>
      <c r="G7" s="26" t="n">
        <f aca="false">E7</f>
        <v>0</v>
      </c>
      <c r="H7" s="23"/>
      <c r="I7" s="23"/>
      <c r="J7" s="28" t="str">
        <f aca="false">IF(ISBLANK(I7), "❌ BELUM ADA DOKUMEN PENDUKUNG", "✅ SILAHKAN AUDITOR MELAKUKAN VERIFIKASI DOKUMEN PENDUKUNGNYA")</f>
        <v>❌ BELUM ADA DOKUMEN PENDUKUNG</v>
      </c>
      <c r="K7" s="23"/>
      <c r="L7" s="25" t="n">
        <v>3.5</v>
      </c>
      <c r="M7" s="23"/>
      <c r="N7" s="26" t="n">
        <f aca="false">L7</f>
        <v>3.5</v>
      </c>
      <c r="O7" s="29"/>
      <c r="P7" s="30"/>
      <c r="Q7" s="33" t="n">
        <f aca="false">N7</f>
        <v>3.5</v>
      </c>
      <c r="R7" s="10" t="n">
        <f aca="false">Q7</f>
        <v>3.5</v>
      </c>
      <c r="S7" s="10" t="str">
        <f aca="false">A7</f>
        <v>Konsistensi dengan hasil analisis SWOT dan/atau analisis lain serta rencana pengembangan ke depan.</v>
      </c>
    </row>
    <row r="8" customFormat="false" ht="498.5" hidden="false" customHeight="true" outlineLevel="0" collapsed="false">
      <c r="A8" s="23" t="s">
        <v>33</v>
      </c>
      <c r="B8" s="24" t="s">
        <v>34</v>
      </c>
      <c r="C8" s="24" t="s">
        <v>35</v>
      </c>
      <c r="D8" s="23"/>
      <c r="E8" s="25"/>
      <c r="F8" s="23"/>
      <c r="G8" s="26" t="n">
        <f aca="false">E8</f>
        <v>0</v>
      </c>
      <c r="H8" s="23"/>
      <c r="I8" s="23"/>
      <c r="J8" s="28" t="str">
        <f aca="false">IF(ISBLANK(I8), "❌ BELUM ADA DOKUMEN PENDUKUNG", "✅ SILAHKAN AUDITOR MELAKUKAN VERIFIKASI DOKUMEN PENDUKUNGNYA")</f>
        <v>❌ BELUM ADA DOKUMEN PENDUKUNG</v>
      </c>
      <c r="K8" s="23"/>
      <c r="L8" s="25" t="n">
        <v>3.5</v>
      </c>
      <c r="M8" s="23"/>
      <c r="N8" s="26" t="n">
        <f aca="false">L8</f>
        <v>3.5</v>
      </c>
      <c r="O8" s="29"/>
      <c r="P8" s="30"/>
      <c r="Q8" s="31" t="n">
        <f aca="false">AVERAGE(N8:N10)</f>
        <v>3.08333333333333</v>
      </c>
      <c r="R8" s="10" t="n">
        <f aca="false">Q8</f>
        <v>3.08333333333333</v>
      </c>
      <c r="S8" s="10" t="str">
        <f aca="false">A8</f>
        <v>Kriteria 1 - Visi, Misi,Tujuan dan Strategi</v>
      </c>
    </row>
    <row r="9" customFormat="false" ht="417.9" hidden="false" customHeight="false" outlineLevel="0" collapsed="false">
      <c r="A9" s="23"/>
      <c r="B9" s="24" t="s">
        <v>36</v>
      </c>
      <c r="C9" s="24" t="s">
        <v>37</v>
      </c>
      <c r="D9" s="23"/>
      <c r="E9" s="25"/>
      <c r="F9" s="23"/>
      <c r="G9" s="26" t="n">
        <f aca="false">E9</f>
        <v>0</v>
      </c>
      <c r="H9" s="23"/>
      <c r="I9" s="23"/>
      <c r="J9" s="28" t="str">
        <f aca="false">IF(ISBLANK(I9), "❌ BELUM ADA DOKUMEN PENDUKUNG", "✅ SILAHKAN AUDITOR MELAKUKAN VERIFIKASI DOKUMEN PENDUKUNGNYA")</f>
        <v>❌ BELUM ADA DOKUMEN PENDUKUNG</v>
      </c>
      <c r="K9" s="23"/>
      <c r="L9" s="25" t="n">
        <v>2.75</v>
      </c>
      <c r="M9" s="23"/>
      <c r="N9" s="26" t="n">
        <f aca="false">L9</f>
        <v>2.75</v>
      </c>
      <c r="O9" s="29"/>
      <c r="P9" s="30"/>
      <c r="Q9" s="31"/>
      <c r="R9" s="10" t="n">
        <f aca="false">Q9</f>
        <v>0</v>
      </c>
      <c r="S9" s="10" t="n">
        <f aca="false">A9</f>
        <v>0</v>
      </c>
    </row>
    <row r="10" customFormat="false" ht="256.7" hidden="false" customHeight="false" outlineLevel="0" collapsed="false">
      <c r="A10" s="23"/>
      <c r="B10" s="24" t="s">
        <v>38</v>
      </c>
      <c r="C10" s="24" t="s">
        <v>39</v>
      </c>
      <c r="D10" s="23"/>
      <c r="E10" s="25"/>
      <c r="F10" s="23"/>
      <c r="G10" s="26" t="n">
        <f aca="false">E10</f>
        <v>0</v>
      </c>
      <c r="H10" s="23"/>
      <c r="I10" s="23"/>
      <c r="J10" s="28" t="str">
        <f aca="false">IF(ISBLANK(I10), "❌ BELUM ADA DOKUMEN PENDUKUNG", "✅ SILAHKAN AUDITOR MELAKUKAN VERIFIKASI DOKUMEN PENDUKUNGNYA")</f>
        <v>❌ BELUM ADA DOKUMEN PENDUKUNG</v>
      </c>
      <c r="K10" s="23"/>
      <c r="L10" s="25" t="n">
        <v>3</v>
      </c>
      <c r="M10" s="23"/>
      <c r="N10" s="26" t="n">
        <f aca="false">L10</f>
        <v>3</v>
      </c>
      <c r="O10" s="29"/>
      <c r="P10" s="30"/>
      <c r="Q10" s="31"/>
      <c r="R10" s="10" t="n">
        <f aca="false">Q10</f>
        <v>0</v>
      </c>
      <c r="S10" s="10" t="n">
        <f aca="false">A10</f>
        <v>0</v>
      </c>
    </row>
    <row r="11" customFormat="false" ht="229.85" hidden="false" customHeight="true" outlineLevel="0" collapsed="false">
      <c r="A11" s="23" t="s">
        <v>40</v>
      </c>
      <c r="B11" s="34" t="s">
        <v>41</v>
      </c>
      <c r="C11" s="24" t="s">
        <v>42</v>
      </c>
      <c r="D11" s="23"/>
      <c r="E11" s="25"/>
      <c r="F11" s="23"/>
      <c r="G11" s="35" t="n">
        <f aca="false">E13</f>
        <v>0</v>
      </c>
      <c r="H11" s="23"/>
      <c r="I11" s="23"/>
      <c r="J11" s="28" t="str">
        <f aca="false">IF(ISBLANK(I11), "❌ BELUM ADA DOKUMEN PENDUKUNG", "✅ SILAHKAN AUDITOR MELAKUKAN VERIFIKASI DOKUMEN PENDUKUNGNYA")</f>
        <v>❌ BELUM ADA DOKUMEN PENDUKUNG</v>
      </c>
      <c r="K11" s="23"/>
      <c r="L11" s="25" t="n">
        <v>4</v>
      </c>
      <c r="M11" s="23"/>
      <c r="N11" s="35" t="n">
        <f aca="false">L13</f>
        <v>3.66666666666667</v>
      </c>
      <c r="O11" s="29"/>
      <c r="P11" s="30"/>
      <c r="Q11" s="33" t="n">
        <f aca="false">AVERAGE(N11,N14,N17,N18,N38,N39,N40,N41)</f>
        <v>3.40972222222222</v>
      </c>
      <c r="R11" s="10" t="n">
        <f aca="false">Q11</f>
        <v>3.40972222222222</v>
      </c>
      <c r="S11" s="10" t="str">
        <f aca="false">A11</f>
        <v>Kriteria 2- Tata Pamong, Tata Kelola dan Kerjasama</v>
      </c>
    </row>
    <row r="12" customFormat="false" ht="256.7" hidden="false" customHeight="false" outlineLevel="0" collapsed="false">
      <c r="A12" s="23"/>
      <c r="B12" s="36" t="s">
        <v>43</v>
      </c>
      <c r="C12" s="24" t="s">
        <v>44</v>
      </c>
      <c r="D12" s="23"/>
      <c r="E12" s="25"/>
      <c r="F12" s="23"/>
      <c r="G12" s="37"/>
      <c r="H12" s="23"/>
      <c r="I12" s="23"/>
      <c r="J12" s="28" t="str">
        <f aca="false">IF(ISBLANK(I12), "❌ BELUM ADA DOKUMEN PENDUKUNG", "✅ SILAHKAN AUDITOR MELAKUKAN VERIFIKASI DOKUMEN PENDUKUNGNYA")</f>
        <v>❌ BELUM ADA DOKUMEN PENDUKUNG</v>
      </c>
      <c r="K12" s="23"/>
      <c r="L12" s="25" t="n">
        <v>3.5</v>
      </c>
      <c r="M12" s="23"/>
      <c r="N12" s="37"/>
      <c r="O12" s="38"/>
      <c r="P12" s="39"/>
      <c r="Q12" s="33"/>
      <c r="R12" s="10" t="n">
        <f aca="false">Q12</f>
        <v>0</v>
      </c>
      <c r="S12" s="10" t="n">
        <f aca="false">A12</f>
        <v>0</v>
      </c>
    </row>
    <row r="13" customFormat="false" ht="20.85" hidden="false" customHeight="false" outlineLevel="0" collapsed="false">
      <c r="A13" s="23"/>
      <c r="B13" s="36"/>
      <c r="C13" s="40" t="s">
        <v>45</v>
      </c>
      <c r="D13" s="23"/>
      <c r="E13" s="26" t="n">
        <f aca="false">(E11+(2*E12))/3</f>
        <v>0</v>
      </c>
      <c r="F13" s="23"/>
      <c r="G13" s="41"/>
      <c r="H13" s="23"/>
      <c r="I13" s="23"/>
      <c r="J13" s="28"/>
      <c r="K13" s="23"/>
      <c r="L13" s="26" t="n">
        <f aca="false">(L11+(2*L12))/3</f>
        <v>3.66666666666667</v>
      </c>
      <c r="M13" s="23"/>
      <c r="N13" s="41"/>
      <c r="O13" s="42"/>
      <c r="P13" s="43"/>
      <c r="Q13" s="33"/>
      <c r="R13" s="10" t="n">
        <f aca="false">Q13</f>
        <v>0</v>
      </c>
      <c r="S13" s="10" t="n">
        <f aca="false">A13</f>
        <v>0</v>
      </c>
    </row>
    <row r="14" customFormat="false" ht="149.25" hidden="false" customHeight="false" outlineLevel="0" collapsed="false">
      <c r="A14" s="23"/>
      <c r="B14" s="44" t="s">
        <v>46</v>
      </c>
      <c r="C14" s="24" t="s">
        <v>47</v>
      </c>
      <c r="D14" s="23"/>
      <c r="E14" s="25"/>
      <c r="F14" s="23"/>
      <c r="G14" s="35" t="n">
        <f aca="false">E16</f>
        <v>0</v>
      </c>
      <c r="H14" s="23"/>
      <c r="I14" s="23"/>
      <c r="J14" s="28" t="str">
        <f aca="false">IF(ISBLANK(I14), "❌ BELUM ADA DOKUMEN PENDUKUNG", "✅ SILAHKAN AUDITOR MELAKUKAN VERIFIKASI DOKUMEN PENDUKUNGNYA")</f>
        <v>❌ BELUM ADA DOKUMEN PENDUKUNG</v>
      </c>
      <c r="K14" s="23"/>
      <c r="L14" s="25" t="n">
        <v>3.75</v>
      </c>
      <c r="M14" s="23"/>
      <c r="N14" s="35" t="n">
        <f aca="false">L16</f>
        <v>3.25</v>
      </c>
      <c r="O14" s="29"/>
      <c r="P14" s="30"/>
      <c r="Q14" s="33"/>
      <c r="R14" s="10" t="n">
        <f aca="false">Q14</f>
        <v>0</v>
      </c>
      <c r="S14" s="10" t="n">
        <f aca="false">A14</f>
        <v>0</v>
      </c>
    </row>
    <row r="15" customFormat="false" ht="216.4" hidden="false" customHeight="false" outlineLevel="0" collapsed="false">
      <c r="A15" s="23"/>
      <c r="B15" s="36" t="s">
        <v>48</v>
      </c>
      <c r="C15" s="24" t="s">
        <v>49</v>
      </c>
      <c r="D15" s="23"/>
      <c r="E15" s="25"/>
      <c r="F15" s="23"/>
      <c r="G15" s="37"/>
      <c r="H15" s="23"/>
      <c r="I15" s="23"/>
      <c r="J15" s="28" t="str">
        <f aca="false">IF(ISBLANK(I15), "❌ BELUM ADA DOKUMEN PENDUKUNG", "✅ SILAHKAN AUDITOR MELAKUKAN VERIFIKASI DOKUMEN PENDUKUNGNYA")</f>
        <v>❌ BELUM ADA DOKUMEN PENDUKUNG</v>
      </c>
      <c r="K15" s="23"/>
      <c r="L15" s="25" t="n">
        <v>3</v>
      </c>
      <c r="M15" s="23"/>
      <c r="N15" s="37"/>
      <c r="O15" s="38"/>
      <c r="P15" s="39"/>
      <c r="Q15" s="33"/>
      <c r="R15" s="10" t="n">
        <f aca="false">Q15</f>
        <v>0</v>
      </c>
      <c r="S15" s="10" t="n">
        <f aca="false">A15</f>
        <v>0</v>
      </c>
    </row>
    <row r="16" customFormat="false" ht="20.85" hidden="false" customHeight="false" outlineLevel="0" collapsed="false">
      <c r="A16" s="23"/>
      <c r="B16" s="36"/>
      <c r="C16" s="34" t="s">
        <v>45</v>
      </c>
      <c r="D16" s="23"/>
      <c r="E16" s="26" t="n">
        <f aca="false">(E14+(2*E15))/3</f>
        <v>0</v>
      </c>
      <c r="F16" s="23"/>
      <c r="G16" s="45"/>
      <c r="H16" s="23"/>
      <c r="I16" s="23"/>
      <c r="J16" s="28"/>
      <c r="K16" s="23"/>
      <c r="L16" s="26" t="n">
        <f aca="false">(L14+(2*L15))/3</f>
        <v>3.25</v>
      </c>
      <c r="M16" s="23"/>
      <c r="N16" s="45"/>
      <c r="O16" s="42"/>
      <c r="P16" s="43"/>
      <c r="Q16" s="33"/>
      <c r="R16" s="10" t="n">
        <f aca="false">Q16</f>
        <v>0</v>
      </c>
      <c r="S16" s="10" t="n">
        <f aca="false">A16</f>
        <v>0</v>
      </c>
    </row>
    <row r="17" customFormat="false" ht="229.85" hidden="false" customHeight="false" outlineLevel="0" collapsed="false">
      <c r="A17" s="23"/>
      <c r="B17" s="23" t="s">
        <v>50</v>
      </c>
      <c r="C17" s="24" t="s">
        <v>51</v>
      </c>
      <c r="D17" s="23"/>
      <c r="E17" s="25"/>
      <c r="F17" s="23"/>
      <c r="G17" s="26" t="n">
        <f aca="false">E17</f>
        <v>0</v>
      </c>
      <c r="H17" s="23"/>
      <c r="I17" s="23"/>
      <c r="J17" s="28" t="str">
        <f aca="false">IF(ISBLANK(I17), "❌ BELUM ADA DOKUMEN PENDUKUNG", "✅ SILAHKAN AUDITOR MELAKUKAN VERIFIKASI DOKUMEN PENDUKUNGNYA")</f>
        <v>❌ BELUM ADA DOKUMEN PENDUKUNG</v>
      </c>
      <c r="K17" s="23"/>
      <c r="L17" s="25" t="n">
        <v>3.5</v>
      </c>
      <c r="M17" s="23"/>
      <c r="N17" s="26" t="n">
        <f aca="false">L17</f>
        <v>3.5</v>
      </c>
      <c r="O17" s="29"/>
      <c r="P17" s="30"/>
      <c r="Q17" s="33"/>
      <c r="R17" s="10" t="n">
        <f aca="false">Q17</f>
        <v>0</v>
      </c>
      <c r="S17" s="10" t="n">
        <f aca="false">A17</f>
        <v>0</v>
      </c>
    </row>
    <row r="18" customFormat="false" ht="20.85" hidden="false" customHeight="true" outlineLevel="0" collapsed="false">
      <c r="A18" s="23"/>
      <c r="B18" s="36" t="s">
        <v>52</v>
      </c>
      <c r="C18" s="46" t="s">
        <v>53</v>
      </c>
      <c r="D18" s="23"/>
      <c r="E18" s="26" t="e">
        <f aca="false">IF(E20&gt;=4,4,E20)</f>
        <v>#DIV/0!</v>
      </c>
      <c r="F18" s="23"/>
      <c r="G18" s="35" t="e">
        <f aca="false">E37</f>
        <v>#DIV/0!</v>
      </c>
      <c r="H18" s="23"/>
      <c r="I18" s="23"/>
      <c r="J18" s="28" t="str">
        <f aca="false">IF(ISBLANK(I18), "❌ BELUM ADA DOKUMEN PENDUKUNG", "✅ SILAHKAN AUDITOR MELAKUKAN VERIFIKASI DOKUMEN PENDUKUNGNYA")</f>
        <v>❌ BELUM ADA DOKUMEN PENDUKUNG</v>
      </c>
      <c r="K18" s="23"/>
      <c r="L18" s="26" t="n">
        <f aca="false">IF(L20&gt;=4,4,L20)</f>
        <v>1.91666666666667</v>
      </c>
      <c r="M18" s="23"/>
      <c r="N18" s="35" t="n">
        <f aca="false">L37</f>
        <v>2.61111111111111</v>
      </c>
      <c r="O18" s="29"/>
      <c r="P18" s="30"/>
      <c r="Q18" s="33"/>
      <c r="R18" s="10" t="n">
        <f aca="false">Q18</f>
        <v>0</v>
      </c>
      <c r="S18" s="10" t="n">
        <f aca="false">A18</f>
        <v>0</v>
      </c>
    </row>
    <row r="19" customFormat="false" ht="20.85" hidden="false" customHeight="false" outlineLevel="0" collapsed="false">
      <c r="A19" s="23"/>
      <c r="B19" s="23"/>
      <c r="C19" s="46" t="s">
        <v>54</v>
      </c>
      <c r="D19" s="23"/>
      <c r="E19" s="26"/>
      <c r="F19" s="23"/>
      <c r="G19" s="37"/>
      <c r="H19" s="23"/>
      <c r="I19" s="23"/>
      <c r="J19" s="28"/>
      <c r="K19" s="28"/>
      <c r="L19" s="26"/>
      <c r="M19" s="23"/>
      <c r="N19" s="37"/>
      <c r="O19" s="38"/>
      <c r="P19" s="39"/>
      <c r="Q19" s="33"/>
      <c r="R19" s="10" t="n">
        <f aca="false">Q19</f>
        <v>0</v>
      </c>
      <c r="S19" s="10" t="n">
        <f aca="false">A19</f>
        <v>0</v>
      </c>
    </row>
    <row r="20" customFormat="false" ht="20.85" hidden="false" customHeight="true" outlineLevel="0" collapsed="false">
      <c r="A20" s="23"/>
      <c r="B20" s="23"/>
      <c r="C20" s="46" t="s">
        <v>55</v>
      </c>
      <c r="D20" s="23"/>
      <c r="E20" s="26" t="e">
        <f aca="false">((3*E23)+(2*E24)+(1*E25))/E26</f>
        <v>#DIV/0!</v>
      </c>
      <c r="F20" s="23"/>
      <c r="G20" s="37"/>
      <c r="H20" s="23"/>
      <c r="I20" s="23"/>
      <c r="J20" s="28"/>
      <c r="K20" s="28"/>
      <c r="L20" s="26" t="n">
        <f aca="false">((3*L23)+(2*L24)+(1*L25))/L26</f>
        <v>1.91666666666667</v>
      </c>
      <c r="M20" s="23"/>
      <c r="N20" s="37"/>
      <c r="O20" s="38"/>
      <c r="P20" s="39"/>
      <c r="Q20" s="33"/>
      <c r="R20" s="10" t="n">
        <f aca="false">Q20</f>
        <v>0</v>
      </c>
      <c r="S20" s="10" t="n">
        <f aca="false">A20</f>
        <v>0</v>
      </c>
    </row>
    <row r="21" customFormat="false" ht="20.85" hidden="false" customHeight="false" outlineLevel="0" collapsed="false">
      <c r="A21" s="23"/>
      <c r="B21" s="23"/>
      <c r="C21" s="23"/>
      <c r="D21" s="23"/>
      <c r="E21" s="26"/>
      <c r="F21" s="23"/>
      <c r="G21" s="37"/>
      <c r="H21" s="23"/>
      <c r="I21" s="23"/>
      <c r="J21" s="28"/>
      <c r="K21" s="28"/>
      <c r="L21" s="26"/>
      <c r="M21" s="23"/>
      <c r="N21" s="37"/>
      <c r="O21" s="38"/>
      <c r="P21" s="39"/>
      <c r="Q21" s="33"/>
      <c r="R21" s="10" t="n">
        <f aca="false">Q21</f>
        <v>0</v>
      </c>
      <c r="S21" s="10" t="n">
        <f aca="false">A21</f>
        <v>0</v>
      </c>
    </row>
    <row r="22" customFormat="false" ht="20.85" hidden="false" customHeight="false" outlineLevel="0" collapsed="false">
      <c r="A22" s="23"/>
      <c r="B22" s="23"/>
      <c r="C22" s="46"/>
      <c r="D22" s="23"/>
      <c r="E22" s="26"/>
      <c r="F22" s="23"/>
      <c r="G22" s="37"/>
      <c r="H22" s="23"/>
      <c r="I22" s="23"/>
      <c r="J22" s="28"/>
      <c r="K22" s="28"/>
      <c r="L22" s="26"/>
      <c r="M22" s="23"/>
      <c r="N22" s="37"/>
      <c r="O22" s="38"/>
      <c r="P22" s="39"/>
      <c r="Q22" s="33"/>
      <c r="R22" s="10" t="n">
        <f aca="false">Q22</f>
        <v>0</v>
      </c>
      <c r="S22" s="10" t="n">
        <f aca="false">A22</f>
        <v>0</v>
      </c>
    </row>
    <row r="23" customFormat="false" ht="20.85" hidden="false" customHeight="false" outlineLevel="0" collapsed="false">
      <c r="A23" s="23"/>
      <c r="B23" s="23"/>
      <c r="C23" s="46" t="s">
        <v>56</v>
      </c>
      <c r="D23" s="23"/>
      <c r="E23" s="25"/>
      <c r="F23" s="23"/>
      <c r="G23" s="37"/>
      <c r="H23" s="23"/>
      <c r="I23" s="23"/>
      <c r="J23" s="28"/>
      <c r="K23" s="28"/>
      <c r="L23" s="25" t="n">
        <v>15</v>
      </c>
      <c r="M23" s="23"/>
      <c r="N23" s="37"/>
      <c r="O23" s="38"/>
      <c r="P23" s="39"/>
      <c r="Q23" s="33"/>
      <c r="R23" s="10" t="n">
        <f aca="false">Q23</f>
        <v>0</v>
      </c>
      <c r="S23" s="10" t="n">
        <f aca="false">A23</f>
        <v>0</v>
      </c>
    </row>
    <row r="24" customFormat="false" ht="20.85" hidden="false" customHeight="false" outlineLevel="0" collapsed="false">
      <c r="A24" s="23"/>
      <c r="B24" s="23"/>
      <c r="C24" s="46" t="s">
        <v>57</v>
      </c>
      <c r="D24" s="23"/>
      <c r="E24" s="25"/>
      <c r="F24" s="23"/>
      <c r="G24" s="37"/>
      <c r="H24" s="23"/>
      <c r="I24" s="23"/>
      <c r="J24" s="28"/>
      <c r="K24" s="28"/>
      <c r="L24" s="25" t="n">
        <v>25</v>
      </c>
      <c r="M24" s="23"/>
      <c r="N24" s="37"/>
      <c r="O24" s="38"/>
      <c r="P24" s="39"/>
      <c r="Q24" s="33"/>
      <c r="R24" s="10" t="n">
        <f aca="false">Q24</f>
        <v>0</v>
      </c>
      <c r="S24" s="10" t="n">
        <f aca="false">A24</f>
        <v>0</v>
      </c>
    </row>
    <row r="25" customFormat="false" ht="20.85" hidden="false" customHeight="false" outlineLevel="0" collapsed="false">
      <c r="A25" s="23"/>
      <c r="B25" s="23"/>
      <c r="C25" s="46" t="s">
        <v>58</v>
      </c>
      <c r="D25" s="23"/>
      <c r="E25" s="25"/>
      <c r="F25" s="23"/>
      <c r="G25" s="37"/>
      <c r="H25" s="23"/>
      <c r="I25" s="23"/>
      <c r="J25" s="28"/>
      <c r="K25" s="28"/>
      <c r="L25" s="25" t="n">
        <v>20</v>
      </c>
      <c r="M25" s="23"/>
      <c r="N25" s="37"/>
      <c r="O25" s="38"/>
      <c r="P25" s="39"/>
      <c r="Q25" s="33"/>
      <c r="R25" s="10" t="n">
        <f aca="false">Q25</f>
        <v>0</v>
      </c>
      <c r="S25" s="10" t="n">
        <f aca="false">A25</f>
        <v>0</v>
      </c>
    </row>
    <row r="26" customFormat="false" ht="39.55" hidden="false" customHeight="false" outlineLevel="0" collapsed="false">
      <c r="A26" s="23"/>
      <c r="B26" s="36"/>
      <c r="C26" s="46" t="s">
        <v>59</v>
      </c>
      <c r="D26" s="23"/>
      <c r="E26" s="25"/>
      <c r="F26" s="23"/>
      <c r="G26" s="45"/>
      <c r="H26" s="23"/>
      <c r="I26" s="23"/>
      <c r="J26" s="28"/>
      <c r="K26" s="23"/>
      <c r="L26" s="25" t="n">
        <v>60</v>
      </c>
      <c r="M26" s="23"/>
      <c r="N26" s="45"/>
      <c r="O26" s="42"/>
      <c r="P26" s="43"/>
      <c r="Q26" s="33"/>
      <c r="R26" s="10" t="n">
        <f aca="false">Q26</f>
        <v>0</v>
      </c>
      <c r="S26" s="10" t="n">
        <f aca="false">A26</f>
        <v>0</v>
      </c>
    </row>
    <row r="27" customFormat="false" ht="20.85" hidden="false" customHeight="true" outlineLevel="0" collapsed="false">
      <c r="A27" s="23"/>
      <c r="B27" s="36" t="s">
        <v>60</v>
      </c>
      <c r="C27" s="46" t="s">
        <v>61</v>
      </c>
      <c r="D27" s="23"/>
      <c r="E27" s="26" t="n">
        <f aca="false">IF(E34&gt;=2, 4,
 IF(AND(E34&lt;2, E35&gt;=6), 3 + (E34 / 2),
 IF(AND(E34=0, E35=0, E36&gt;=9), 2,
 IF(AND(E34&gt;0, E34&lt;2, E35&gt;0, E35&lt;6), 2 + (2 * (E34 / 2)) + (E35 / 6) - ((E34 * E35) / (2 * 6)),
 IF(AND(E34=0, E35=0, E36&lt;9), (2 * E36) / 9,
 "")))))</f>
        <v>0</v>
      </c>
      <c r="F27" s="23"/>
      <c r="G27" s="47"/>
      <c r="H27" s="23"/>
      <c r="I27" s="23"/>
      <c r="J27" s="28" t="str">
        <f aca="false">IF(ISBLANK(I27), "❌ BELUM ADA DOKUMEN PENDUKUNG", "✅ SILAHKAN AUDITOR MELAKUKAN VERIFIKASI DOKUMEN PENDUKUNGNYA")</f>
        <v>❌ BELUM ADA DOKUMEN PENDUKUNG</v>
      </c>
      <c r="K27" s="23"/>
      <c r="L27" s="26" t="n">
        <f aca="false">IF(L34&gt;=2, 4,
 IF(AND(L34&lt;2, L35&gt;=6), 3 + (L34 / 2),
 IF(AND(L34=0, L35=0, L36&gt;=9), 2,
 IF(AND(L34&gt;0, L34&lt;2, L35&gt;0, L35&lt;6), 2 + (2 * (L34 / 2)) + (L35 / 6) - ((L34 * L35) / (2 * 6)),
 IF(AND(L34=0, L35=0, L36&lt;9), (2 * L36) / 9,
 "")))))</f>
        <v>4</v>
      </c>
      <c r="M27" s="23"/>
      <c r="N27" s="47"/>
      <c r="O27" s="29"/>
      <c r="P27" s="30"/>
      <c r="Q27" s="33"/>
      <c r="R27" s="10" t="n">
        <f aca="false">Q27</f>
        <v>0</v>
      </c>
      <c r="S27" s="10" t="n">
        <f aca="false">A27</f>
        <v>0</v>
      </c>
    </row>
    <row r="28" customFormat="false" ht="20.85" hidden="false" customHeight="false" outlineLevel="0" collapsed="false">
      <c r="A28" s="23"/>
      <c r="B28" s="23"/>
      <c r="C28" s="23"/>
      <c r="D28" s="23"/>
      <c r="E28" s="26"/>
      <c r="F28" s="23"/>
      <c r="G28" s="37"/>
      <c r="H28" s="23"/>
      <c r="I28" s="23"/>
      <c r="J28" s="28"/>
      <c r="K28" s="28"/>
      <c r="L28" s="26"/>
      <c r="M28" s="23"/>
      <c r="N28" s="37"/>
      <c r="O28" s="38"/>
      <c r="P28" s="39"/>
      <c r="Q28" s="33"/>
      <c r="R28" s="10" t="n">
        <f aca="false">Q28</f>
        <v>0</v>
      </c>
      <c r="S28" s="10" t="n">
        <f aca="false">A28</f>
        <v>0</v>
      </c>
    </row>
    <row r="29" customFormat="false" ht="20.85" hidden="false" customHeight="false" outlineLevel="0" collapsed="false">
      <c r="A29" s="23"/>
      <c r="B29" s="23"/>
      <c r="C29" s="23"/>
      <c r="D29" s="23"/>
      <c r="E29" s="26"/>
      <c r="F29" s="23"/>
      <c r="G29" s="37"/>
      <c r="H29" s="23"/>
      <c r="I29" s="23"/>
      <c r="J29" s="28"/>
      <c r="K29" s="28"/>
      <c r="L29" s="26"/>
      <c r="M29" s="23"/>
      <c r="N29" s="37"/>
      <c r="O29" s="38"/>
      <c r="P29" s="39"/>
      <c r="Q29" s="33"/>
      <c r="R29" s="10" t="n">
        <f aca="false">Q29</f>
        <v>0</v>
      </c>
      <c r="S29" s="10" t="n">
        <f aca="false">A29</f>
        <v>0</v>
      </c>
    </row>
    <row r="30" customFormat="false" ht="20.85" hidden="false" customHeight="false" outlineLevel="0" collapsed="false">
      <c r="A30" s="23"/>
      <c r="B30" s="23"/>
      <c r="C30" s="23"/>
      <c r="D30" s="23"/>
      <c r="E30" s="26"/>
      <c r="F30" s="23"/>
      <c r="G30" s="37"/>
      <c r="H30" s="23"/>
      <c r="I30" s="23"/>
      <c r="J30" s="28"/>
      <c r="K30" s="28"/>
      <c r="L30" s="26"/>
      <c r="M30" s="23"/>
      <c r="N30" s="37"/>
      <c r="O30" s="38"/>
      <c r="P30" s="39"/>
      <c r="Q30" s="33"/>
      <c r="R30" s="10" t="n">
        <f aca="false">Q30</f>
        <v>0</v>
      </c>
      <c r="S30" s="10" t="n">
        <f aca="false">A30</f>
        <v>0</v>
      </c>
    </row>
    <row r="31" customFormat="false" ht="20.85" hidden="false" customHeight="false" outlineLevel="0" collapsed="false">
      <c r="A31" s="23"/>
      <c r="B31" s="23"/>
      <c r="C31" s="23"/>
      <c r="D31" s="23"/>
      <c r="E31" s="26"/>
      <c r="F31" s="23"/>
      <c r="G31" s="37"/>
      <c r="H31" s="23"/>
      <c r="I31" s="23"/>
      <c r="J31" s="28"/>
      <c r="K31" s="28"/>
      <c r="L31" s="26"/>
      <c r="M31" s="23"/>
      <c r="N31" s="37"/>
      <c r="O31" s="38"/>
      <c r="P31" s="39"/>
      <c r="Q31" s="33"/>
      <c r="R31" s="10" t="n">
        <f aca="false">Q31</f>
        <v>0</v>
      </c>
      <c r="S31" s="10" t="n">
        <f aca="false">A31</f>
        <v>0</v>
      </c>
    </row>
    <row r="32" customFormat="false" ht="20.85" hidden="false" customHeight="false" outlineLevel="0" collapsed="false">
      <c r="A32" s="23"/>
      <c r="B32" s="23"/>
      <c r="C32" s="23"/>
      <c r="D32" s="23"/>
      <c r="E32" s="23"/>
      <c r="F32" s="23"/>
      <c r="G32" s="37"/>
      <c r="H32" s="23"/>
      <c r="I32" s="23"/>
      <c r="J32" s="28"/>
      <c r="K32" s="28"/>
      <c r="L32" s="28"/>
      <c r="M32" s="28"/>
      <c r="N32" s="37"/>
      <c r="O32" s="38"/>
      <c r="P32" s="39"/>
      <c r="Q32" s="33"/>
      <c r="R32" s="10" t="n">
        <f aca="false">Q32</f>
        <v>0</v>
      </c>
      <c r="S32" s="10" t="n">
        <f aca="false">A32</f>
        <v>0</v>
      </c>
    </row>
    <row r="33" customFormat="false" ht="20.85" hidden="false" customHeight="false" outlineLevel="0" collapsed="false">
      <c r="A33" s="23"/>
      <c r="B33" s="23"/>
      <c r="C33" s="46"/>
      <c r="D33" s="23"/>
      <c r="E33" s="26"/>
      <c r="F33" s="23"/>
      <c r="G33" s="37"/>
      <c r="H33" s="23"/>
      <c r="I33" s="23"/>
      <c r="J33" s="28"/>
      <c r="K33" s="28"/>
      <c r="L33" s="26"/>
      <c r="M33" s="23"/>
      <c r="N33" s="37"/>
      <c r="O33" s="38"/>
      <c r="P33" s="39"/>
      <c r="Q33" s="33"/>
      <c r="R33" s="10" t="n">
        <f aca="false">Q33</f>
        <v>0</v>
      </c>
      <c r="S33" s="10" t="n">
        <f aca="false">A33</f>
        <v>0</v>
      </c>
    </row>
    <row r="34" customFormat="false" ht="20.85" hidden="false" customHeight="false" outlineLevel="0" collapsed="false">
      <c r="A34" s="23"/>
      <c r="B34" s="23"/>
      <c r="C34" s="46" t="s">
        <v>62</v>
      </c>
      <c r="D34" s="23"/>
      <c r="E34" s="25"/>
      <c r="F34" s="23"/>
      <c r="G34" s="37"/>
      <c r="H34" s="23"/>
      <c r="I34" s="23"/>
      <c r="J34" s="28"/>
      <c r="K34" s="28"/>
      <c r="L34" s="25" t="n">
        <v>3</v>
      </c>
      <c r="M34" s="23"/>
      <c r="N34" s="37"/>
      <c r="O34" s="38"/>
      <c r="P34" s="39"/>
      <c r="Q34" s="33"/>
      <c r="R34" s="10" t="n">
        <f aca="false">Q34</f>
        <v>0</v>
      </c>
      <c r="S34" s="10" t="n">
        <f aca="false">A34</f>
        <v>0</v>
      </c>
    </row>
    <row r="35" customFormat="false" ht="20.85" hidden="false" customHeight="false" outlineLevel="0" collapsed="false">
      <c r="A35" s="23"/>
      <c r="B35" s="23"/>
      <c r="C35" s="46" t="s">
        <v>63</v>
      </c>
      <c r="D35" s="23"/>
      <c r="E35" s="25"/>
      <c r="F35" s="23"/>
      <c r="G35" s="37"/>
      <c r="H35" s="23"/>
      <c r="I35" s="23"/>
      <c r="J35" s="28"/>
      <c r="K35" s="28"/>
      <c r="L35" s="25" t="n">
        <v>8</v>
      </c>
      <c r="M35" s="23"/>
      <c r="N35" s="37"/>
      <c r="O35" s="38"/>
      <c r="P35" s="39"/>
      <c r="Q35" s="33"/>
      <c r="R35" s="10" t="n">
        <f aca="false">Q35</f>
        <v>0</v>
      </c>
      <c r="S35" s="10" t="n">
        <f aca="false">A35</f>
        <v>0</v>
      </c>
    </row>
    <row r="36" customFormat="false" ht="20.85" hidden="false" customHeight="false" outlineLevel="0" collapsed="false">
      <c r="A36" s="23"/>
      <c r="B36" s="36"/>
      <c r="C36" s="46" t="s">
        <v>64</v>
      </c>
      <c r="D36" s="23"/>
      <c r="E36" s="25"/>
      <c r="F36" s="23"/>
      <c r="G36" s="37"/>
      <c r="H36" s="23"/>
      <c r="I36" s="23"/>
      <c r="J36" s="28"/>
      <c r="K36" s="23"/>
      <c r="L36" s="25" t="n">
        <v>5</v>
      </c>
      <c r="M36" s="23"/>
      <c r="N36" s="37"/>
      <c r="O36" s="38"/>
      <c r="P36" s="39"/>
      <c r="Q36" s="33"/>
      <c r="R36" s="10" t="n">
        <f aca="false">Q36</f>
        <v>0</v>
      </c>
      <c r="S36" s="10" t="n">
        <f aca="false">A36</f>
        <v>0</v>
      </c>
    </row>
    <row r="37" customFormat="false" ht="20.85" hidden="false" customHeight="false" outlineLevel="0" collapsed="false">
      <c r="A37" s="23"/>
      <c r="B37" s="36"/>
      <c r="C37" s="40" t="s">
        <v>65</v>
      </c>
      <c r="D37" s="23"/>
      <c r="E37" s="26" t="e">
        <f aca="false">((2*E18)+E27)/3</f>
        <v>#DIV/0!</v>
      </c>
      <c r="F37" s="23"/>
      <c r="G37" s="45"/>
      <c r="H37" s="23"/>
      <c r="I37" s="23"/>
      <c r="J37" s="28"/>
      <c r="K37" s="23"/>
      <c r="L37" s="26" t="n">
        <f aca="false">((2*L18)+L27)/3</f>
        <v>2.61111111111111</v>
      </c>
      <c r="M37" s="23"/>
      <c r="N37" s="45"/>
      <c r="O37" s="42"/>
      <c r="P37" s="43"/>
      <c r="Q37" s="33"/>
      <c r="R37" s="10" t="n">
        <f aca="false">Q37</f>
        <v>0</v>
      </c>
      <c r="S37" s="10" t="n">
        <f aca="false">A37</f>
        <v>0</v>
      </c>
    </row>
    <row r="38" customFormat="false" ht="216.4" hidden="false" customHeight="false" outlineLevel="0" collapsed="false">
      <c r="A38" s="23"/>
      <c r="B38" s="32" t="s">
        <v>66</v>
      </c>
      <c r="C38" s="24" t="s">
        <v>67</v>
      </c>
      <c r="D38" s="23"/>
      <c r="E38" s="25"/>
      <c r="F38" s="23"/>
      <c r="G38" s="26" t="n">
        <f aca="false">E38</f>
        <v>0</v>
      </c>
      <c r="H38" s="23"/>
      <c r="I38" s="23"/>
      <c r="J38" s="28" t="str">
        <f aca="false">IF(ISBLANK(I38), "❌ BELUM ADA DOKUMEN PENDUKUNG", "✅ SILAHKAN AUDITOR MELAKUKAN VERIFIKASI DOKUMEN PENDUKUNGNYA")</f>
        <v>❌ BELUM ADA DOKUMEN PENDUKUNG</v>
      </c>
      <c r="K38" s="23"/>
      <c r="L38" s="25" t="n">
        <v>3.5</v>
      </c>
      <c r="M38" s="23"/>
      <c r="N38" s="26" t="n">
        <f aca="false">L38</f>
        <v>3.5</v>
      </c>
      <c r="O38" s="29"/>
      <c r="P38" s="30"/>
      <c r="Q38" s="33"/>
      <c r="R38" s="10" t="n">
        <f aca="false">Q38</f>
        <v>0</v>
      </c>
      <c r="S38" s="10" t="n">
        <f aca="false">A38</f>
        <v>0</v>
      </c>
    </row>
    <row r="39" customFormat="false" ht="189.55" hidden="false" customHeight="false" outlineLevel="0" collapsed="false">
      <c r="A39" s="23"/>
      <c r="B39" s="23" t="s">
        <v>68</v>
      </c>
      <c r="C39" s="24" t="s">
        <v>69</v>
      </c>
      <c r="D39" s="23"/>
      <c r="E39" s="25"/>
      <c r="F39" s="23"/>
      <c r="G39" s="26" t="n">
        <f aca="false">E39</f>
        <v>0</v>
      </c>
      <c r="H39" s="23"/>
      <c r="I39" s="23"/>
      <c r="J39" s="28" t="str">
        <f aca="false">IF(ISBLANK(I39), "❌ BELUM ADA DOKUMEN PENDUKUNG", "✅ SILAHKAN AUDITOR MELAKUKAN VERIFIKASI DOKUMEN PENDUKUNGNYA")</f>
        <v>❌ BELUM ADA DOKUMEN PENDUKUNG</v>
      </c>
      <c r="K39" s="23"/>
      <c r="L39" s="25" t="n">
        <v>3.5</v>
      </c>
      <c r="M39" s="23"/>
      <c r="N39" s="26" t="n">
        <f aca="false">L39</f>
        <v>3.5</v>
      </c>
      <c r="O39" s="29"/>
      <c r="P39" s="30"/>
      <c r="Q39" s="33"/>
      <c r="R39" s="10" t="n">
        <f aca="false">Q39</f>
        <v>0</v>
      </c>
      <c r="S39" s="10" t="n">
        <f aca="false">A39</f>
        <v>0</v>
      </c>
    </row>
    <row r="40" customFormat="false" ht="270.1" hidden="false" customHeight="false" outlineLevel="0" collapsed="false">
      <c r="A40" s="23"/>
      <c r="B40" s="23" t="s">
        <v>70</v>
      </c>
      <c r="C40" s="24" t="s">
        <v>71</v>
      </c>
      <c r="D40" s="23"/>
      <c r="E40" s="25"/>
      <c r="F40" s="23"/>
      <c r="G40" s="26" t="n">
        <f aca="false">E40</f>
        <v>0</v>
      </c>
      <c r="H40" s="23"/>
      <c r="I40" s="23"/>
      <c r="J40" s="28" t="str">
        <f aca="false">IF(ISBLANK(I40), "❌ BELUM ADA DOKUMEN PENDUKUNG", "✅ SILAHKAN AUDITOR MELAKUKAN VERIFIKASI DOKUMEN PENDUKUNGNYA")</f>
        <v>❌ BELUM ADA DOKUMEN PENDUKUNG</v>
      </c>
      <c r="K40" s="23"/>
      <c r="L40" s="25" t="n">
        <v>3.75</v>
      </c>
      <c r="M40" s="23"/>
      <c r="N40" s="26" t="n">
        <f aca="false">L40</f>
        <v>3.75</v>
      </c>
      <c r="O40" s="29"/>
      <c r="P40" s="30"/>
      <c r="Q40" s="33"/>
      <c r="R40" s="10" t="n">
        <f aca="false">Q40</f>
        <v>0</v>
      </c>
      <c r="S40" s="10" t="n">
        <f aca="false">A40</f>
        <v>0</v>
      </c>
    </row>
    <row r="41" customFormat="false" ht="337.3" hidden="false" customHeight="false" outlineLevel="0" collapsed="false">
      <c r="A41" s="23"/>
      <c r="B41" s="23" t="s">
        <v>72</v>
      </c>
      <c r="C41" s="24" t="s">
        <v>73</v>
      </c>
      <c r="D41" s="23"/>
      <c r="E41" s="25"/>
      <c r="F41" s="23"/>
      <c r="G41" s="26" t="n">
        <f aca="false">E41</f>
        <v>0</v>
      </c>
      <c r="H41" s="23"/>
      <c r="I41" s="23"/>
      <c r="J41" s="28" t="str">
        <f aca="false">IF(ISBLANK(I41), "❌ BELUM ADA DOKUMEN PENDUKUNG", "✅ SILAHKAN AUDITOR MELAKUKAN VERIFIKASI DOKUMEN PENDUKUNGNYA")</f>
        <v>❌ BELUM ADA DOKUMEN PENDUKUNG</v>
      </c>
      <c r="K41" s="23"/>
      <c r="L41" s="25" t="n">
        <v>3.5</v>
      </c>
      <c r="M41" s="23"/>
      <c r="N41" s="26" t="n">
        <f aca="false">L41</f>
        <v>3.5</v>
      </c>
      <c r="O41" s="29"/>
      <c r="P41" s="30"/>
      <c r="Q41" s="33"/>
      <c r="R41" s="10" t="n">
        <f aca="false">Q41</f>
        <v>0</v>
      </c>
      <c r="S41" s="10" t="n">
        <f aca="false">A41</f>
        <v>0</v>
      </c>
    </row>
    <row r="42" customFormat="false" ht="41.75" hidden="false" customHeight="true" outlineLevel="0" collapsed="false">
      <c r="A42" s="32" t="s">
        <v>74</v>
      </c>
      <c r="B42" s="23" t="s">
        <v>75</v>
      </c>
      <c r="C42" s="24" t="s">
        <v>76</v>
      </c>
      <c r="D42" s="23"/>
      <c r="E42" s="25"/>
      <c r="F42" s="23"/>
      <c r="G42" s="35" t="n">
        <f aca="false">IF(E42=1,E43,E45)</f>
        <v>0</v>
      </c>
      <c r="H42" s="23"/>
      <c r="I42" s="23"/>
      <c r="J42" s="28" t="str">
        <f aca="false">IF(ISBLANK(I42), "❌ BELUM ADA DOKUMEN PENDUKUNG", "✅ SILAHKAN AUDITOR MELAKUKAN VERIFIKASI DOKUMEN PENDUKUNGNYA")</f>
        <v>❌ BELUM ADA DOKUMEN PENDUKUNG</v>
      </c>
      <c r="K42" s="23"/>
      <c r="L42" s="25" t="n">
        <v>1</v>
      </c>
      <c r="M42" s="23"/>
      <c r="N42" s="35" t="n">
        <f aca="false">IF(L42=1,L43,L45)</f>
        <v>3.2</v>
      </c>
      <c r="O42" s="29"/>
      <c r="P42" s="30"/>
      <c r="Q42" s="48" t="n">
        <f aca="false">AVERAGE(N42,N46,N50,N53,N57,N62,N69,N74,N78,N83,N89,N94,N107,N117,N137,N142,N150,N159)</f>
        <v>3.2170438957476</v>
      </c>
      <c r="R42" s="10" t="n">
        <f aca="false">Q42</f>
        <v>3.2170438957476</v>
      </c>
      <c r="S42" s="10" t="str">
        <f aca="false">A42</f>
        <v>Kriteria 3-Mahasiswa</v>
      </c>
    </row>
    <row r="43" customFormat="false" ht="68.65" hidden="false" customHeight="false" outlineLevel="0" collapsed="false">
      <c r="A43" s="32"/>
      <c r="B43" s="32"/>
      <c r="C43" s="23" t="s">
        <v>77</v>
      </c>
      <c r="D43" s="23"/>
      <c r="E43" s="26" t="str">
        <f aca="false">IF(E42=1, IF(E44&gt;=5, 4, (4*E44)/5), "-")</f>
        <v>-</v>
      </c>
      <c r="F43" s="23"/>
      <c r="G43" s="37"/>
      <c r="H43" s="23"/>
      <c r="I43" s="23"/>
      <c r="J43" s="28"/>
      <c r="K43" s="28"/>
      <c r="L43" s="26" t="n">
        <f aca="false">IF(L42=1, IF(L44&gt;=5, 4, (4*L44)/5), "-")</f>
        <v>3.2</v>
      </c>
      <c r="M43" s="23"/>
      <c r="N43" s="37"/>
      <c r="O43" s="38"/>
      <c r="P43" s="39"/>
      <c r="Q43" s="48"/>
      <c r="R43" s="10" t="n">
        <f aca="false">Q43</f>
        <v>0</v>
      </c>
      <c r="S43" s="10" t="n">
        <f aca="false">A43</f>
        <v>0</v>
      </c>
    </row>
    <row r="44" customFormat="false" ht="55.2" hidden="false" customHeight="false" outlineLevel="0" collapsed="false">
      <c r="A44" s="32"/>
      <c r="B44" s="32"/>
      <c r="C44" s="23" t="s">
        <v>78</v>
      </c>
      <c r="D44" s="23"/>
      <c r="E44" s="49"/>
      <c r="F44" s="23" t="str">
        <f aca="false">IF(E42=1, "", "Tidak perlu diisi apabila kebutuhan lulusan rendah")</f>
        <v>Tidak perlu diisi apabila kebutuhan lulusan rendah</v>
      </c>
      <c r="G44" s="37"/>
      <c r="H44" s="23"/>
      <c r="I44" s="23"/>
      <c r="J44" s="28"/>
      <c r="K44" s="28"/>
      <c r="L44" s="49" t="n">
        <v>4</v>
      </c>
      <c r="M44" s="23" t="str">
        <f aca="false">IF(L42=1, "", "Tidak perlu diisi apabila kebutuhan lulusan rendah")</f>
        <v/>
      </c>
      <c r="N44" s="37"/>
      <c r="O44" s="38"/>
      <c r="P44" s="39"/>
      <c r="Q44" s="48"/>
      <c r="R44" s="10" t="n">
        <f aca="false">Q44</f>
        <v>0</v>
      </c>
      <c r="S44" s="10" t="n">
        <f aca="false">A44</f>
        <v>0</v>
      </c>
    </row>
    <row r="45" customFormat="false" ht="135.8" hidden="false" customHeight="false" outlineLevel="0" collapsed="false">
      <c r="A45" s="32"/>
      <c r="B45" s="23"/>
      <c r="C45" s="23" t="s">
        <v>79</v>
      </c>
      <c r="D45" s="23"/>
      <c r="E45" s="49"/>
      <c r="F45" s="23" t="str">
        <f aca="false">IF(E42=2, "", "Tidak perlu diisi apabila kebutuhan lulusan tinggi")</f>
        <v>Tidak perlu diisi apabila kebutuhan lulusan tinggi</v>
      </c>
      <c r="G45" s="45"/>
      <c r="H45" s="23"/>
      <c r="I45" s="23"/>
      <c r="J45" s="28"/>
      <c r="K45" s="23"/>
      <c r="L45" s="49"/>
      <c r="M45" s="23" t="str">
        <f aca="false">IF(L42=2, "", "Tidak perlu diisi apabila kebutuhan lulusan tinggi")</f>
        <v>Tidak perlu diisi apabila kebutuhan lulusan tinggi</v>
      </c>
      <c r="N45" s="45"/>
      <c r="O45" s="42"/>
      <c r="P45" s="43"/>
      <c r="Q45" s="48"/>
      <c r="R45" s="10" t="n">
        <f aca="false">Q45</f>
        <v>0</v>
      </c>
      <c r="S45" s="10" t="n">
        <f aca="false">A45</f>
        <v>0</v>
      </c>
    </row>
    <row r="46" customFormat="false" ht="189.55" hidden="false" customHeight="false" outlineLevel="0" collapsed="false">
      <c r="A46" s="32"/>
      <c r="B46" s="36" t="s">
        <v>80</v>
      </c>
      <c r="C46" s="24" t="s">
        <v>81</v>
      </c>
      <c r="D46" s="23"/>
      <c r="E46" s="25"/>
      <c r="F46" s="23"/>
      <c r="G46" s="35" t="n">
        <f aca="false">E49</f>
        <v>0.666666666666667</v>
      </c>
      <c r="H46" s="23"/>
      <c r="I46" s="23"/>
      <c r="J46" s="28" t="str">
        <f aca="false">IF(ISBLANK(I46), "❌ BELUM ADA DOKUMEN PENDUKUNG", "✅ SILAHKAN AUDITOR MELAKUKAN VERIFIKASI DOKUMEN PENDUKUNGNYA")</f>
        <v>❌ BELUM ADA DOKUMEN PENDUKUNG</v>
      </c>
      <c r="K46" s="23"/>
      <c r="L46" s="25" t="n">
        <v>3</v>
      </c>
      <c r="M46" s="23"/>
      <c r="N46" s="35" t="n">
        <f aca="false">L49</f>
        <v>3.33333333333333</v>
      </c>
      <c r="O46" s="29"/>
      <c r="P46" s="30"/>
      <c r="Q46" s="48"/>
      <c r="R46" s="10" t="n">
        <f aca="false">Q46</f>
        <v>0</v>
      </c>
      <c r="S46" s="10" t="n">
        <f aca="false">A46</f>
        <v>0</v>
      </c>
    </row>
    <row r="47" customFormat="false" ht="55.2" hidden="false" customHeight="true" outlineLevel="0" collapsed="false">
      <c r="A47" s="32"/>
      <c r="B47" s="36" t="s">
        <v>82</v>
      </c>
      <c r="C47" s="24" t="s">
        <v>83</v>
      </c>
      <c r="D47" s="23"/>
      <c r="E47" s="26" t="n">
        <f aca="false">IF(E48&lt;1%,(2+(200*E48)),4)</f>
        <v>2</v>
      </c>
      <c r="F47" s="23"/>
      <c r="G47" s="37"/>
      <c r="H47" s="23"/>
      <c r="I47" s="23"/>
      <c r="J47" s="28" t="str">
        <f aca="false">IF(ISBLANK(I47), "❌ BELUM ADA DOKUMEN PENDUKUNG", "✅ SILAHKAN AUDITOR MELAKUKAN VERIFIKASI DOKUMEN PENDUKUNGNYA")</f>
        <v>❌ BELUM ADA DOKUMEN PENDUKUNG</v>
      </c>
      <c r="K47" s="23"/>
      <c r="L47" s="26" t="n">
        <f aca="false">IF(L48&lt;1%,(2+(200*L48)),4)</f>
        <v>4</v>
      </c>
      <c r="M47" s="23"/>
      <c r="N47" s="37"/>
      <c r="O47" s="38"/>
      <c r="P47" s="39"/>
      <c r="Q47" s="48"/>
      <c r="R47" s="10" t="n">
        <f aca="false">Q47</f>
        <v>0</v>
      </c>
      <c r="S47" s="10" t="n">
        <f aca="false">A47</f>
        <v>0</v>
      </c>
    </row>
    <row r="48" customFormat="false" ht="20.85" hidden="false" customHeight="false" outlineLevel="0" collapsed="false">
      <c r="A48" s="32"/>
      <c r="B48" s="36"/>
      <c r="C48" s="24" t="s">
        <v>84</v>
      </c>
      <c r="D48" s="23"/>
      <c r="E48" s="25"/>
      <c r="F48" s="23"/>
      <c r="G48" s="37"/>
      <c r="H48" s="23"/>
      <c r="I48" s="23"/>
      <c r="J48" s="28"/>
      <c r="K48" s="28"/>
      <c r="L48" s="25" t="n">
        <v>2</v>
      </c>
      <c r="M48" s="23"/>
      <c r="N48" s="37"/>
      <c r="O48" s="38"/>
      <c r="P48" s="39"/>
      <c r="Q48" s="48"/>
      <c r="R48" s="10" t="n">
        <f aca="false">Q48</f>
        <v>0</v>
      </c>
      <c r="S48" s="10" t="n">
        <f aca="false">A48</f>
        <v>0</v>
      </c>
    </row>
    <row r="49" customFormat="false" ht="20.85" hidden="false" customHeight="false" outlineLevel="0" collapsed="false">
      <c r="A49" s="32"/>
      <c r="B49" s="36"/>
      <c r="C49" s="34" t="s">
        <v>65</v>
      </c>
      <c r="D49" s="23"/>
      <c r="E49" s="26" t="n">
        <f aca="false">((2*E46)+E47)/3</f>
        <v>0.666666666666667</v>
      </c>
      <c r="F49" s="23"/>
      <c r="G49" s="45"/>
      <c r="H49" s="23"/>
      <c r="I49" s="23"/>
      <c r="J49" s="28"/>
      <c r="K49" s="23"/>
      <c r="L49" s="26" t="n">
        <f aca="false">((2*L46)+L47)/3</f>
        <v>3.33333333333333</v>
      </c>
      <c r="M49" s="23"/>
      <c r="N49" s="45"/>
      <c r="O49" s="42"/>
      <c r="P49" s="43"/>
      <c r="Q49" s="48"/>
      <c r="R49" s="10" t="n">
        <f aca="false">Q49</f>
        <v>0</v>
      </c>
      <c r="S49" s="10" t="n">
        <f aca="false">A49</f>
        <v>0</v>
      </c>
    </row>
    <row r="50" customFormat="false" ht="202.95" hidden="false" customHeight="false" outlineLevel="0" collapsed="false">
      <c r="A50" s="32"/>
      <c r="B50" s="36" t="s">
        <v>85</v>
      </c>
      <c r="C50" s="24" t="s">
        <v>86</v>
      </c>
      <c r="D50" s="23"/>
      <c r="E50" s="25"/>
      <c r="F50" s="23"/>
      <c r="G50" s="35" t="n">
        <f aca="false">E52</f>
        <v>0</v>
      </c>
      <c r="H50" s="23"/>
      <c r="I50" s="23"/>
      <c r="J50" s="28" t="str">
        <f aca="false">IF(ISBLANK(I50), "❌ BELUM ADA DOKUMEN PENDUKUNG", "✅ SILAHKAN AUDITOR MELAKUKAN VERIFIKASI DOKUMEN PENDUKUNGNYA")</f>
        <v>❌ BELUM ADA DOKUMEN PENDUKUNG</v>
      </c>
      <c r="K50" s="23"/>
      <c r="L50" s="25" t="n">
        <v>3.5</v>
      </c>
      <c r="M50" s="23"/>
      <c r="N50" s="35" t="n">
        <f aca="false">L52</f>
        <v>3.16666666666667</v>
      </c>
      <c r="O50" s="29"/>
      <c r="P50" s="30"/>
      <c r="Q50" s="48"/>
      <c r="R50" s="10" t="n">
        <f aca="false">Q50</f>
        <v>0</v>
      </c>
      <c r="S50" s="10" t="n">
        <f aca="false">A50</f>
        <v>0</v>
      </c>
    </row>
    <row r="51" customFormat="false" ht="202.95" hidden="false" customHeight="false" outlineLevel="0" collapsed="false">
      <c r="A51" s="32"/>
      <c r="B51" s="44" t="s">
        <v>87</v>
      </c>
      <c r="C51" s="24" t="s">
        <v>88</v>
      </c>
      <c r="D51" s="23"/>
      <c r="E51" s="25"/>
      <c r="F51" s="23"/>
      <c r="G51" s="37"/>
      <c r="H51" s="23"/>
      <c r="I51" s="23"/>
      <c r="J51" s="28" t="str">
        <f aca="false">IF(ISBLANK(I51), "❌ BELUM ADA DOKUMEN PENDUKUNG", "✅ SILAHKAN AUDITOR MELAKUKAN VERIFIKASI DOKUMEN PENDUKUNGNYA")</f>
        <v>❌ BELUM ADA DOKUMEN PENDUKUNG</v>
      </c>
      <c r="K51" s="23"/>
      <c r="L51" s="25" t="n">
        <v>3</v>
      </c>
      <c r="M51" s="23"/>
      <c r="N51" s="37"/>
      <c r="O51" s="38"/>
      <c r="P51" s="39"/>
      <c r="Q51" s="48"/>
      <c r="R51" s="10" t="n">
        <f aca="false">Q51</f>
        <v>0</v>
      </c>
      <c r="S51" s="10" t="n">
        <f aca="false">A51</f>
        <v>0</v>
      </c>
    </row>
    <row r="52" customFormat="false" ht="20.85" hidden="false" customHeight="false" outlineLevel="0" collapsed="false">
      <c r="A52" s="32"/>
      <c r="B52" s="44"/>
      <c r="C52" s="40" t="s">
        <v>45</v>
      </c>
      <c r="D52" s="23"/>
      <c r="E52" s="26" t="n">
        <f aca="false">(E50+(2*E51))/3</f>
        <v>0</v>
      </c>
      <c r="F52" s="23"/>
      <c r="G52" s="45"/>
      <c r="H52" s="23"/>
      <c r="I52" s="23"/>
      <c r="J52" s="28"/>
      <c r="K52" s="23"/>
      <c r="L52" s="26" t="n">
        <f aca="false">(L50+(2*L51))/3</f>
        <v>3.16666666666667</v>
      </c>
      <c r="M52" s="23"/>
      <c r="N52" s="45"/>
      <c r="O52" s="42"/>
      <c r="P52" s="43"/>
      <c r="Q52" s="48"/>
      <c r="R52" s="10" t="n">
        <f aca="false">Q52</f>
        <v>0</v>
      </c>
      <c r="S52" s="10" t="n">
        <f aca="false">A52</f>
        <v>0</v>
      </c>
    </row>
    <row r="53" customFormat="false" ht="79.1" hidden="false" customHeight="true" outlineLevel="0" collapsed="false">
      <c r="A53" s="23" t="s">
        <v>89</v>
      </c>
      <c r="B53" s="23" t="s">
        <v>90</v>
      </c>
      <c r="C53" s="46" t="s">
        <v>91</v>
      </c>
      <c r="D53" s="23"/>
      <c r="E53" s="26" t="n">
        <f aca="false">IF(E56&lt;3, 0,
 IF(E56&lt;12, ((2 * E56) + 12) / 9,
 4))</f>
        <v>0</v>
      </c>
      <c r="F53" s="23"/>
      <c r="G53" s="35" t="n">
        <f aca="false">E53</f>
        <v>0</v>
      </c>
      <c r="H53" s="23"/>
      <c r="I53" s="23"/>
      <c r="J53" s="28" t="str">
        <f aca="false">IF(ISBLANK(I53), "❌ BELUM ADA DOKUMEN PENDUKUNG", "✅ SILAHKAN AUDITOR MELAKUKAN VERIFIKASI DOKUMEN PENDUKUNGNYA")</f>
        <v>❌ BELUM ADA DOKUMEN PENDUKUNG</v>
      </c>
      <c r="K53" s="23"/>
      <c r="L53" s="26" t="n">
        <f aca="false">IF(L56&lt;3, 0,
 IF(L56&lt;12, ((2 * L56) + 12) / 9,
 4))</f>
        <v>4</v>
      </c>
      <c r="M53" s="23"/>
      <c r="N53" s="35" t="n">
        <f aca="false">L53</f>
        <v>4</v>
      </c>
      <c r="O53" s="29"/>
      <c r="P53" s="30"/>
      <c r="Q53" s="33" t="n">
        <f aca="false">AVERAGE(N53,N57,N62,N69,N74,N78,N83,N89,N94,N107,N117,N137,N142,N150,N159)</f>
        <v>3.21378600823045</v>
      </c>
      <c r="R53" s="10" t="n">
        <f aca="false">Q53</f>
        <v>3.21378600823045</v>
      </c>
      <c r="S53" s="10" t="str">
        <f aca="false">A53</f>
        <v>Kriteria 4 - Sumber Daya Manusia</v>
      </c>
    </row>
    <row r="54" customFormat="false" ht="20.85" hidden="false" customHeight="false" outlineLevel="0" collapsed="false">
      <c r="A54" s="23"/>
      <c r="B54" s="23"/>
      <c r="C54" s="23"/>
      <c r="D54" s="23"/>
      <c r="E54" s="26"/>
      <c r="F54" s="23"/>
      <c r="G54" s="37"/>
      <c r="H54" s="23"/>
      <c r="I54" s="23"/>
      <c r="J54" s="28"/>
      <c r="K54" s="28"/>
      <c r="L54" s="26"/>
      <c r="M54" s="23"/>
      <c r="N54" s="37"/>
      <c r="O54" s="38"/>
      <c r="P54" s="39"/>
      <c r="Q54" s="33"/>
      <c r="R54" s="10" t="n">
        <f aca="false">Q54</f>
        <v>0</v>
      </c>
      <c r="S54" s="10" t="n">
        <f aca="false">A54</f>
        <v>0</v>
      </c>
    </row>
    <row r="55" customFormat="false" ht="20.85" hidden="false" customHeight="false" outlineLevel="0" collapsed="false">
      <c r="A55" s="23"/>
      <c r="B55" s="23"/>
      <c r="C55" s="46"/>
      <c r="D55" s="23"/>
      <c r="E55" s="26"/>
      <c r="F55" s="23"/>
      <c r="G55" s="37"/>
      <c r="H55" s="23"/>
      <c r="I55" s="23"/>
      <c r="J55" s="28"/>
      <c r="K55" s="28"/>
      <c r="L55" s="26"/>
      <c r="M55" s="23"/>
      <c r="N55" s="37"/>
      <c r="O55" s="38"/>
      <c r="P55" s="39"/>
      <c r="Q55" s="33"/>
      <c r="R55" s="10" t="n">
        <f aca="false">Q55</f>
        <v>0</v>
      </c>
      <c r="S55" s="10" t="n">
        <f aca="false">A55</f>
        <v>0</v>
      </c>
    </row>
    <row r="56" customFormat="false" ht="39.55" hidden="false" customHeight="false" outlineLevel="0" collapsed="false">
      <c r="A56" s="23"/>
      <c r="B56" s="23"/>
      <c r="C56" s="46" t="s">
        <v>59</v>
      </c>
      <c r="D56" s="23"/>
      <c r="E56" s="25"/>
      <c r="F56" s="23"/>
      <c r="G56" s="45"/>
      <c r="H56" s="23"/>
      <c r="I56" s="23"/>
      <c r="J56" s="28"/>
      <c r="K56" s="23"/>
      <c r="L56" s="25" t="n">
        <v>60</v>
      </c>
      <c r="M56" s="23"/>
      <c r="N56" s="45"/>
      <c r="O56" s="42"/>
      <c r="P56" s="43"/>
      <c r="Q56" s="33"/>
      <c r="R56" s="10" t="n">
        <f aca="false">Q56</f>
        <v>0</v>
      </c>
      <c r="S56" s="10" t="n">
        <f aca="false">A56</f>
        <v>0</v>
      </c>
    </row>
    <row r="57" customFormat="false" ht="20.85" hidden="false" customHeight="true" outlineLevel="0" collapsed="false">
      <c r="A57" s="23"/>
      <c r="B57" s="23" t="s">
        <v>92</v>
      </c>
      <c r="C57" s="46" t="s">
        <v>93</v>
      </c>
      <c r="D57" s="23"/>
      <c r="E57" s="26" t="e">
        <f aca="false">IF(E59&gt;=0.5, 4, 2 + (4 * E59))</f>
        <v>#DIV/0!</v>
      </c>
      <c r="F57" s="23"/>
      <c r="G57" s="35" t="e">
        <f aca="false">E57</f>
        <v>#DIV/0!</v>
      </c>
      <c r="H57" s="23"/>
      <c r="I57" s="23"/>
      <c r="J57" s="28" t="str">
        <f aca="false">IF(ISBLANK(I57), "❌ BELUM ADA DOKUMEN PENDUKUNG", "✅ SILAHKAN AUDITOR MELAKUKAN VERIFIKASI DOKUMEN PENDUKUNGNYA")</f>
        <v>❌ BELUM ADA DOKUMEN PENDUKUNG</v>
      </c>
      <c r="K57" s="23"/>
      <c r="L57" s="26" t="n">
        <f aca="false">IF(L59&gt;=0.5, 4, 2 + (4 * L59))</f>
        <v>4</v>
      </c>
      <c r="M57" s="23"/>
      <c r="N57" s="35" t="n">
        <f aca="false">L57</f>
        <v>4</v>
      </c>
      <c r="O57" s="29"/>
      <c r="P57" s="30"/>
      <c r="Q57" s="33"/>
      <c r="R57" s="10" t="n">
        <f aca="false">Q57</f>
        <v>0</v>
      </c>
      <c r="S57" s="10" t="n">
        <f aca="false">A57</f>
        <v>0</v>
      </c>
    </row>
    <row r="58" customFormat="false" ht="20.85" hidden="false" customHeight="false" outlineLevel="0" collapsed="false">
      <c r="A58" s="23"/>
      <c r="B58" s="23"/>
      <c r="C58" s="46"/>
      <c r="D58" s="23"/>
      <c r="E58" s="26"/>
      <c r="F58" s="23"/>
      <c r="G58" s="37"/>
      <c r="H58" s="23"/>
      <c r="I58" s="23"/>
      <c r="J58" s="28"/>
      <c r="K58" s="28"/>
      <c r="L58" s="26"/>
      <c r="M58" s="23"/>
      <c r="N58" s="37"/>
      <c r="O58" s="38"/>
      <c r="P58" s="39"/>
      <c r="Q58" s="33"/>
      <c r="R58" s="10" t="n">
        <f aca="false">Q58</f>
        <v>0</v>
      </c>
      <c r="S58" s="10" t="n">
        <f aca="false">A58</f>
        <v>0</v>
      </c>
    </row>
    <row r="59" customFormat="false" ht="20.85" hidden="false" customHeight="false" outlineLevel="0" collapsed="false">
      <c r="A59" s="23"/>
      <c r="B59" s="23"/>
      <c r="C59" s="32" t="s">
        <v>94</v>
      </c>
      <c r="D59" s="23"/>
      <c r="E59" s="26" t="e">
        <f aca="false">(E60/E61)*100%</f>
        <v>#DIV/0!</v>
      </c>
      <c r="F59" s="23"/>
      <c r="G59" s="37"/>
      <c r="H59" s="23"/>
      <c r="I59" s="23"/>
      <c r="J59" s="28"/>
      <c r="K59" s="28"/>
      <c r="L59" s="26" t="n">
        <f aca="false">(L60/L61)*100%</f>
        <v>0.833333333333333</v>
      </c>
      <c r="M59" s="23"/>
      <c r="N59" s="37"/>
      <c r="O59" s="38"/>
      <c r="P59" s="39"/>
      <c r="Q59" s="33"/>
      <c r="R59" s="10" t="n">
        <f aca="false">Q59</f>
        <v>0</v>
      </c>
      <c r="S59" s="10" t="n">
        <f aca="false">A59</f>
        <v>0</v>
      </c>
    </row>
    <row r="60" customFormat="false" ht="26.85" hidden="false" customHeight="false" outlineLevel="0" collapsed="false">
      <c r="A60" s="23"/>
      <c r="B60" s="23"/>
      <c r="C60" s="46" t="s">
        <v>95</v>
      </c>
      <c r="D60" s="23"/>
      <c r="E60" s="25"/>
      <c r="F60" s="23"/>
      <c r="G60" s="37"/>
      <c r="H60" s="23"/>
      <c r="I60" s="23"/>
      <c r="J60" s="28"/>
      <c r="K60" s="28"/>
      <c r="L60" s="25" t="n">
        <v>50</v>
      </c>
      <c r="M60" s="23"/>
      <c r="N60" s="37"/>
      <c r="O60" s="38"/>
      <c r="P60" s="39"/>
      <c r="Q60" s="33"/>
      <c r="R60" s="10" t="n">
        <f aca="false">Q60</f>
        <v>0</v>
      </c>
      <c r="S60" s="10" t="n">
        <f aca="false">A60</f>
        <v>0</v>
      </c>
    </row>
    <row r="61" customFormat="false" ht="39.55" hidden="false" customHeight="false" outlineLevel="0" collapsed="false">
      <c r="A61" s="23"/>
      <c r="B61" s="23"/>
      <c r="C61" s="46" t="s">
        <v>59</v>
      </c>
      <c r="D61" s="23"/>
      <c r="E61" s="25"/>
      <c r="F61" s="23"/>
      <c r="G61" s="45"/>
      <c r="H61" s="23"/>
      <c r="I61" s="23"/>
      <c r="J61" s="28"/>
      <c r="K61" s="23"/>
      <c r="L61" s="25" t="n">
        <v>60</v>
      </c>
      <c r="M61" s="23"/>
      <c r="N61" s="45"/>
      <c r="O61" s="42"/>
      <c r="P61" s="43"/>
      <c r="Q61" s="33"/>
      <c r="R61" s="10" t="n">
        <f aca="false">Q61</f>
        <v>0</v>
      </c>
      <c r="S61" s="10" t="n">
        <f aca="false">A61</f>
        <v>0</v>
      </c>
    </row>
    <row r="62" customFormat="false" ht="20.85" hidden="false" customHeight="true" outlineLevel="0" collapsed="false">
      <c r="A62" s="23"/>
      <c r="B62" s="23" t="s">
        <v>96</v>
      </c>
      <c r="C62" s="46" t="s">
        <v>93</v>
      </c>
      <c r="D62" s="23"/>
      <c r="E62" s="26" t="e">
        <f aca="false">IF(E68&gt;=70%,4,2+((20*E68)/7))</f>
        <v>#DIV/0!</v>
      </c>
      <c r="F62" s="23"/>
      <c r="G62" s="35" t="e">
        <f aca="false">E62</f>
        <v>#DIV/0!</v>
      </c>
      <c r="H62" s="23"/>
      <c r="I62" s="23"/>
      <c r="J62" s="28" t="str">
        <f aca="false">IF(ISBLANK(I62), "❌ BELUM ADA DOKUMEN PENDUKUNG", "✅ SILAHKAN AUDITOR MELAKUKAN VERIFIKASI DOKUMEN PENDUKUNGNYA")</f>
        <v>❌ BELUM ADA DOKUMEN PENDUKUNG</v>
      </c>
      <c r="K62" s="23"/>
      <c r="L62" s="26" t="n">
        <f aca="false">IF(L68&gt;=70%,4,2+((20*L68)/7))</f>
        <v>4</v>
      </c>
      <c r="M62" s="23"/>
      <c r="N62" s="35" t="n">
        <f aca="false">L62</f>
        <v>4</v>
      </c>
      <c r="O62" s="29"/>
      <c r="P62" s="30"/>
      <c r="Q62" s="33"/>
      <c r="R62" s="10" t="n">
        <f aca="false">Q62</f>
        <v>0</v>
      </c>
      <c r="S62" s="10" t="n">
        <f aca="false">A62</f>
        <v>0</v>
      </c>
    </row>
    <row r="63" customFormat="false" ht="20.85" hidden="false" customHeight="false" outlineLevel="0" collapsed="false">
      <c r="A63" s="23"/>
      <c r="B63" s="23"/>
      <c r="C63" s="46"/>
      <c r="D63" s="23"/>
      <c r="E63" s="26"/>
      <c r="F63" s="23"/>
      <c r="G63" s="37"/>
      <c r="H63" s="23"/>
      <c r="I63" s="23"/>
      <c r="J63" s="28"/>
      <c r="K63" s="28"/>
      <c r="L63" s="26"/>
      <c r="M63" s="23"/>
      <c r="N63" s="37"/>
      <c r="O63" s="38"/>
      <c r="P63" s="39"/>
      <c r="Q63" s="33"/>
      <c r="R63" s="10" t="n">
        <f aca="false">Q63</f>
        <v>0</v>
      </c>
      <c r="S63" s="10" t="n">
        <f aca="false">A63</f>
        <v>0</v>
      </c>
    </row>
    <row r="64" customFormat="false" ht="26.85" hidden="false" customHeight="false" outlineLevel="0" collapsed="false">
      <c r="A64" s="23"/>
      <c r="B64" s="23"/>
      <c r="C64" s="46" t="s">
        <v>97</v>
      </c>
      <c r="D64" s="23"/>
      <c r="E64" s="25"/>
      <c r="F64" s="23"/>
      <c r="G64" s="37"/>
      <c r="H64" s="23"/>
      <c r="I64" s="23"/>
      <c r="J64" s="28"/>
      <c r="K64" s="28"/>
      <c r="L64" s="25" t="n">
        <v>11</v>
      </c>
      <c r="M64" s="23"/>
      <c r="N64" s="37"/>
      <c r="O64" s="38"/>
      <c r="P64" s="39"/>
      <c r="Q64" s="33"/>
      <c r="R64" s="10" t="n">
        <f aca="false">Q64</f>
        <v>0</v>
      </c>
      <c r="S64" s="10" t="n">
        <f aca="false">A64</f>
        <v>0</v>
      </c>
    </row>
    <row r="65" customFormat="false" ht="26.85" hidden="false" customHeight="false" outlineLevel="0" collapsed="false">
      <c r="A65" s="23"/>
      <c r="B65" s="23"/>
      <c r="C65" s="46" t="s">
        <v>98</v>
      </c>
      <c r="D65" s="23"/>
      <c r="E65" s="25"/>
      <c r="F65" s="23"/>
      <c r="G65" s="37"/>
      <c r="H65" s="23"/>
      <c r="I65" s="23"/>
      <c r="J65" s="28"/>
      <c r="K65" s="28"/>
      <c r="L65" s="25" t="n">
        <v>40</v>
      </c>
      <c r="M65" s="23"/>
      <c r="N65" s="37"/>
      <c r="O65" s="38"/>
      <c r="P65" s="39"/>
      <c r="Q65" s="33"/>
      <c r="R65" s="10" t="n">
        <f aca="false">Q65</f>
        <v>0</v>
      </c>
      <c r="S65" s="10" t="n">
        <f aca="false">A65</f>
        <v>0</v>
      </c>
    </row>
    <row r="66" customFormat="false" ht="20.85" hidden="false" customHeight="false" outlineLevel="0" collapsed="false">
      <c r="A66" s="23"/>
      <c r="B66" s="23"/>
      <c r="C66" s="46" t="s">
        <v>99</v>
      </c>
      <c r="D66" s="23"/>
      <c r="E66" s="25"/>
      <c r="F66" s="23"/>
      <c r="G66" s="37"/>
      <c r="H66" s="23"/>
      <c r="I66" s="23"/>
      <c r="J66" s="28"/>
      <c r="K66" s="28"/>
      <c r="L66" s="25" t="n">
        <v>10</v>
      </c>
      <c r="M66" s="23"/>
      <c r="N66" s="37"/>
      <c r="O66" s="38"/>
      <c r="P66" s="39"/>
      <c r="Q66" s="33"/>
      <c r="R66" s="10" t="n">
        <f aca="false">Q66</f>
        <v>0</v>
      </c>
      <c r="S66" s="10" t="n">
        <f aca="false">A66</f>
        <v>0</v>
      </c>
    </row>
    <row r="67" customFormat="false" ht="39.55" hidden="false" customHeight="false" outlineLevel="0" collapsed="false">
      <c r="A67" s="23"/>
      <c r="B67" s="23"/>
      <c r="C67" s="46" t="s">
        <v>59</v>
      </c>
      <c r="D67" s="23"/>
      <c r="E67" s="25"/>
      <c r="F67" s="23"/>
      <c r="G67" s="37"/>
      <c r="H67" s="23"/>
      <c r="I67" s="23"/>
      <c r="J67" s="28"/>
      <c r="K67" s="28"/>
      <c r="L67" s="25" t="n">
        <v>60</v>
      </c>
      <c r="M67" s="23"/>
      <c r="N67" s="37"/>
      <c r="O67" s="38"/>
      <c r="P67" s="39"/>
      <c r="Q67" s="33"/>
      <c r="R67" s="10" t="n">
        <f aca="false">Q67</f>
        <v>0</v>
      </c>
      <c r="S67" s="10" t="n">
        <f aca="false">A67</f>
        <v>0</v>
      </c>
    </row>
    <row r="68" customFormat="false" ht="20.85" hidden="false" customHeight="false" outlineLevel="0" collapsed="false">
      <c r="A68" s="23"/>
      <c r="B68" s="23"/>
      <c r="C68" s="32" t="s">
        <v>100</v>
      </c>
      <c r="D68" s="23"/>
      <c r="E68" s="26" t="e">
        <f aca="false">((E64+E65+E66)/E67)*100%</f>
        <v>#DIV/0!</v>
      </c>
      <c r="F68" s="23"/>
      <c r="G68" s="45"/>
      <c r="H68" s="23"/>
      <c r="I68" s="23"/>
      <c r="J68" s="28"/>
      <c r="K68" s="23"/>
      <c r="L68" s="26" t="n">
        <f aca="false">((L64+L65+L66)/L67)*100%</f>
        <v>1.01666666666667</v>
      </c>
      <c r="M68" s="23"/>
      <c r="N68" s="45"/>
      <c r="O68" s="42"/>
      <c r="P68" s="43"/>
      <c r="Q68" s="33"/>
      <c r="R68" s="10" t="n">
        <f aca="false">Q68</f>
        <v>0</v>
      </c>
      <c r="S68" s="10" t="n">
        <f aca="false">A68</f>
        <v>0</v>
      </c>
    </row>
    <row r="69" customFormat="false" ht="28.35" hidden="false" customHeight="true" outlineLevel="0" collapsed="false">
      <c r="A69" s="23"/>
      <c r="B69" s="23" t="s">
        <v>101</v>
      </c>
      <c r="C69" s="24" t="s">
        <v>102</v>
      </c>
      <c r="D69" s="23"/>
      <c r="E69" s="50"/>
      <c r="F69" s="23"/>
      <c r="G69" s="35" t="n">
        <f aca="false">E73</f>
        <v>0</v>
      </c>
      <c r="H69" s="23"/>
      <c r="I69" s="23"/>
      <c r="J69" s="28" t="str">
        <f aca="false">IF(ISBLANK(I69), "❌ BELUM ADA DOKUMEN PENDUKUNG", "✅ SILAHKAN AUDITOR MELAKUKAN VERIFIKASI DOKUMEN PENDUKUNGNYA")</f>
        <v>❌ BELUM ADA DOKUMEN PENDUKUNG</v>
      </c>
      <c r="K69" s="23"/>
      <c r="L69" s="50" t="n">
        <v>1</v>
      </c>
      <c r="M69" s="23"/>
      <c r="N69" s="35" t="n">
        <f aca="false">L73</f>
        <v>0.8</v>
      </c>
      <c r="O69" s="29"/>
      <c r="P69" s="30"/>
      <c r="Q69" s="33"/>
      <c r="R69" s="10" t="n">
        <f aca="false">Q69</f>
        <v>0</v>
      </c>
      <c r="S69" s="10" t="n">
        <f aca="false">A69</f>
        <v>0</v>
      </c>
    </row>
    <row r="70" customFormat="false" ht="20.85" hidden="false" customHeight="false" outlineLevel="0" collapsed="false">
      <c r="A70" s="23"/>
      <c r="B70" s="23"/>
      <c r="C70" s="46" t="s">
        <v>103</v>
      </c>
      <c r="D70" s="23"/>
      <c r="E70" s="25"/>
      <c r="F70" s="23"/>
      <c r="G70" s="37"/>
      <c r="H70" s="23"/>
      <c r="I70" s="23"/>
      <c r="J70" s="28"/>
      <c r="K70" s="28"/>
      <c r="L70" s="25" t="n">
        <v>1062</v>
      </c>
      <c r="M70" s="23"/>
      <c r="N70" s="37"/>
      <c r="O70" s="38"/>
      <c r="P70" s="39"/>
      <c r="Q70" s="33"/>
      <c r="R70" s="10" t="n">
        <f aca="false">Q70</f>
        <v>0</v>
      </c>
      <c r="S70" s="10" t="n">
        <f aca="false">A70</f>
        <v>0</v>
      </c>
    </row>
    <row r="71" customFormat="false" ht="39.55" hidden="false" customHeight="false" outlineLevel="0" collapsed="false">
      <c r="A71" s="23"/>
      <c r="B71" s="23"/>
      <c r="C71" s="46" t="s">
        <v>104</v>
      </c>
      <c r="D71" s="23"/>
      <c r="E71" s="25"/>
      <c r="F71" s="23"/>
      <c r="G71" s="37"/>
      <c r="H71" s="23"/>
      <c r="I71" s="23"/>
      <c r="J71" s="28"/>
      <c r="K71" s="28"/>
      <c r="L71" s="25" t="n">
        <v>60</v>
      </c>
      <c r="M71" s="23"/>
      <c r="N71" s="37"/>
      <c r="O71" s="38"/>
      <c r="P71" s="39"/>
      <c r="Q71" s="33"/>
      <c r="R71" s="10" t="n">
        <f aca="false">Q71</f>
        <v>0</v>
      </c>
      <c r="S71" s="10" t="n">
        <f aca="false">A71</f>
        <v>0</v>
      </c>
    </row>
    <row r="72" customFormat="false" ht="20.85" hidden="false" customHeight="false" outlineLevel="0" collapsed="false">
      <c r="A72" s="23"/>
      <c r="B72" s="23"/>
      <c r="C72" s="46" t="s">
        <v>105</v>
      </c>
      <c r="D72" s="23"/>
      <c r="E72" s="25"/>
      <c r="F72" s="23"/>
      <c r="G72" s="37"/>
      <c r="H72" s="23"/>
      <c r="I72" s="23"/>
      <c r="J72" s="28"/>
      <c r="K72" s="28"/>
      <c r="L72" s="25" t="n">
        <v>3</v>
      </c>
      <c r="M72" s="23"/>
      <c r="N72" s="37"/>
      <c r="O72" s="38"/>
      <c r="P72" s="39"/>
      <c r="Q72" s="33"/>
      <c r="R72" s="10" t="n">
        <f aca="false">Q72</f>
        <v>0</v>
      </c>
      <c r="S72" s="10" t="n">
        <f aca="false">A72</f>
        <v>0</v>
      </c>
    </row>
    <row r="73" customFormat="false" ht="20.85" hidden="false" customHeight="false" outlineLevel="0" collapsed="false">
      <c r="A73" s="23"/>
      <c r="B73" s="23"/>
      <c r="C73" s="32" t="s">
        <v>106</v>
      </c>
      <c r="D73" s="23"/>
      <c r="E73" s="26" t="n">
        <f aca="false">IF(E69=1,(IF(AND(E72&gt;=15,E72&lt;=25), 4,
 IF(E72&lt;15, (4*E72)/15,
 IF(AND(E72&gt;25,E72&lt;=35), (70 - (2*E72))/5,
 IF(E72&gt;35, 0, ""))))),(IF(AND(E72&gt;=25,E72&lt;=35), 4,
 IF(E72&lt;25, (4*E72)/25,
 IF(AND(E72&gt;35,E72&lt;=50), (200 - (4*E72))/15,
 IF(E72&gt;50, 0, ""))))))</f>
        <v>0</v>
      </c>
      <c r="F73" s="23"/>
      <c r="G73" s="45"/>
      <c r="H73" s="23"/>
      <c r="I73" s="23"/>
      <c r="J73" s="28"/>
      <c r="K73" s="23"/>
      <c r="L73" s="26" t="n">
        <f aca="false">IF(L69=1,(IF(AND(L72&gt;=15,L72&lt;=25), 4,
 IF(L72&lt;15, (4*L72)/15,
 IF(AND(L72&gt;25,L72&lt;=35), (70 - (2*L72))/5,
 IF(L72&gt;35, 0, ""))))),(IF(AND(L72&gt;=25,L72&lt;=35), 4,
 IF(L72&lt;25, (4*L72)/25,
 IF(AND(L72&gt;35,L72&lt;=50), (200 - (4*L72))/15,
 IF(L72&gt;50, 0, ""))))))</f>
        <v>0.8</v>
      </c>
      <c r="M73" s="23"/>
      <c r="N73" s="45"/>
      <c r="O73" s="42"/>
      <c r="P73" s="43"/>
      <c r="Q73" s="33"/>
      <c r="R73" s="10" t="n">
        <f aca="false">Q73</f>
        <v>0</v>
      </c>
      <c r="S73" s="10" t="n">
        <f aca="false">A73</f>
        <v>0</v>
      </c>
    </row>
    <row r="74" customFormat="false" ht="20.85" hidden="false" customHeight="true" outlineLevel="0" collapsed="false">
      <c r="A74" s="23"/>
      <c r="B74" s="32" t="s">
        <v>107</v>
      </c>
      <c r="C74" s="46" t="s">
        <v>108</v>
      </c>
      <c r="D74" s="23"/>
      <c r="E74" s="26" t="n">
        <f aca="false">IF(E77&lt;=6, 4,
 IF(E77&lt;=10, 7 - (E77 / 2),
 0))</f>
        <v>4</v>
      </c>
      <c r="F74" s="23"/>
      <c r="G74" s="35" t="n">
        <f aca="false">E74</f>
        <v>4</v>
      </c>
      <c r="H74" s="23"/>
      <c r="I74" s="23"/>
      <c r="J74" s="28" t="str">
        <f aca="false">IF(ISBLANK(I74), "❌ BELUM ADA DOKUMEN PENDUKUNG", "✅ SILAHKAN AUDITOR MELAKUKAN VERIFIKASI DOKUMEN PENDUKUNGNYA")</f>
        <v>❌ BELUM ADA DOKUMEN PENDUKUNG</v>
      </c>
      <c r="K74" s="23"/>
      <c r="L74" s="26" t="n">
        <f aca="false">IF(L77&lt;=6, 4,
 IF(L77&lt;=10, 7 - (L77 / 2),
 0))</f>
        <v>4</v>
      </c>
      <c r="M74" s="23"/>
      <c r="N74" s="35" t="n">
        <f aca="false">L74</f>
        <v>4</v>
      </c>
      <c r="O74" s="29"/>
      <c r="P74" s="30"/>
      <c r="Q74" s="33"/>
      <c r="R74" s="10" t="n">
        <f aca="false">Q74</f>
        <v>0</v>
      </c>
      <c r="S74" s="10" t="n">
        <f aca="false">A74</f>
        <v>0</v>
      </c>
    </row>
    <row r="75" customFormat="false" ht="20.85" hidden="false" customHeight="false" outlineLevel="0" collapsed="false">
      <c r="A75" s="23"/>
      <c r="B75" s="23"/>
      <c r="C75" s="23"/>
      <c r="D75" s="23"/>
      <c r="E75" s="26"/>
      <c r="F75" s="23"/>
      <c r="G75" s="37"/>
      <c r="H75" s="23"/>
      <c r="I75" s="23"/>
      <c r="J75" s="28"/>
      <c r="K75" s="28"/>
      <c r="L75" s="26"/>
      <c r="M75" s="23"/>
      <c r="N75" s="37"/>
      <c r="O75" s="38"/>
      <c r="P75" s="39"/>
      <c r="Q75" s="33"/>
      <c r="R75" s="10" t="n">
        <f aca="false">Q75</f>
        <v>0</v>
      </c>
      <c r="S75" s="10" t="n">
        <f aca="false">A75</f>
        <v>0</v>
      </c>
    </row>
    <row r="76" customFormat="false" ht="20.85" hidden="false" customHeight="false" outlineLevel="0" collapsed="false">
      <c r="A76" s="23"/>
      <c r="B76" s="23"/>
      <c r="C76" s="46"/>
      <c r="D76" s="23"/>
      <c r="E76" s="26"/>
      <c r="F76" s="23"/>
      <c r="G76" s="37"/>
      <c r="H76" s="23"/>
      <c r="I76" s="23"/>
      <c r="J76" s="28"/>
      <c r="K76" s="28"/>
      <c r="L76" s="26"/>
      <c r="M76" s="23"/>
      <c r="N76" s="37"/>
      <c r="O76" s="38"/>
      <c r="P76" s="39"/>
      <c r="Q76" s="33"/>
      <c r="R76" s="10" t="n">
        <f aca="false">Q76</f>
        <v>0</v>
      </c>
      <c r="S76" s="10" t="n">
        <f aca="false">A76</f>
        <v>0</v>
      </c>
    </row>
    <row r="77" customFormat="false" ht="26.85" hidden="false" customHeight="false" outlineLevel="0" collapsed="false">
      <c r="A77" s="23"/>
      <c r="B77" s="32"/>
      <c r="C77" s="46" t="s">
        <v>109</v>
      </c>
      <c r="D77" s="23"/>
      <c r="E77" s="25"/>
      <c r="F77" s="23"/>
      <c r="G77" s="45"/>
      <c r="H77" s="23"/>
      <c r="I77" s="23"/>
      <c r="J77" s="28"/>
      <c r="K77" s="23"/>
      <c r="L77" s="25" t="n">
        <v>3</v>
      </c>
      <c r="M77" s="23"/>
      <c r="N77" s="45"/>
      <c r="O77" s="42"/>
      <c r="P77" s="43"/>
      <c r="Q77" s="33"/>
      <c r="R77" s="10" t="n">
        <f aca="false">Q77</f>
        <v>0</v>
      </c>
      <c r="S77" s="10" t="n">
        <f aca="false">A77</f>
        <v>0</v>
      </c>
    </row>
    <row r="78" customFormat="false" ht="20.85" hidden="false" customHeight="true" outlineLevel="0" collapsed="false">
      <c r="A78" s="23"/>
      <c r="B78" s="23" t="s">
        <v>110</v>
      </c>
      <c r="C78" s="46" t="s">
        <v>111</v>
      </c>
      <c r="D78" s="23"/>
      <c r="E78" s="26" t="n">
        <f aca="false">IF(AND(E82&gt;=12,E82&lt;=16), 4,
 IF(AND(E82&gt;=6,E82&lt;12), ((2*E82)-12)/3,
 IF(AND(E82&gt;16,E82&lt;=18), 36 - (2*E82),
 0)))</f>
        <v>0</v>
      </c>
      <c r="F78" s="23"/>
      <c r="G78" s="35" t="n">
        <f aca="false">E78</f>
        <v>0</v>
      </c>
      <c r="H78" s="23"/>
      <c r="I78" s="23"/>
      <c r="J78" s="28" t="str">
        <f aca="false">IF(ISBLANK(I78), "❌ BELUM ADA DOKUMEN PENDUKUNG", "✅ SILAHKAN AUDITOR MELAKUKAN VERIFIKASI DOKUMEN PENDUKUNGNYA")</f>
        <v>❌ BELUM ADA DOKUMEN PENDUKUNG</v>
      </c>
      <c r="K78" s="23"/>
      <c r="L78" s="26" t="n">
        <f aca="false">IF(AND(L82&gt;=12,L82&lt;=16), 4,
 IF(AND(L82&gt;=6,L82&lt;12), ((2*L82)-12)/3,
 IF(AND(L82&gt;16,L82&lt;=18), 36 - (2*L82),
 0)))</f>
        <v>0</v>
      </c>
      <c r="M78" s="23"/>
      <c r="N78" s="35" t="n">
        <f aca="false">L78</f>
        <v>0</v>
      </c>
      <c r="O78" s="29"/>
      <c r="P78" s="30"/>
      <c r="Q78" s="33"/>
      <c r="R78" s="10" t="n">
        <f aca="false">Q78</f>
        <v>0</v>
      </c>
      <c r="S78" s="10" t="n">
        <f aca="false">A78</f>
        <v>0</v>
      </c>
    </row>
    <row r="79" customFormat="false" ht="20.85" hidden="false" customHeight="false" outlineLevel="0" collapsed="false">
      <c r="A79" s="23"/>
      <c r="B79" s="23"/>
      <c r="C79" s="23"/>
      <c r="D79" s="23"/>
      <c r="E79" s="26"/>
      <c r="F79" s="23"/>
      <c r="G79" s="37"/>
      <c r="H79" s="23"/>
      <c r="I79" s="23"/>
      <c r="J79" s="28"/>
      <c r="K79" s="28"/>
      <c r="L79" s="26"/>
      <c r="M79" s="23"/>
      <c r="N79" s="37"/>
      <c r="O79" s="38"/>
      <c r="P79" s="39"/>
      <c r="Q79" s="33"/>
      <c r="R79" s="10" t="n">
        <f aca="false">Q79</f>
        <v>0</v>
      </c>
      <c r="S79" s="10" t="n">
        <f aca="false">A79</f>
        <v>0</v>
      </c>
    </row>
    <row r="80" customFormat="false" ht="20.85" hidden="false" customHeight="false" outlineLevel="0" collapsed="false">
      <c r="A80" s="23"/>
      <c r="B80" s="23"/>
      <c r="C80" s="23"/>
      <c r="D80" s="23"/>
      <c r="E80" s="26"/>
      <c r="F80" s="23"/>
      <c r="G80" s="37"/>
      <c r="H80" s="23"/>
      <c r="I80" s="23"/>
      <c r="J80" s="28"/>
      <c r="K80" s="28"/>
      <c r="L80" s="26"/>
      <c r="M80" s="23"/>
      <c r="N80" s="37"/>
      <c r="O80" s="38"/>
      <c r="P80" s="39"/>
      <c r="Q80" s="33"/>
      <c r="R80" s="10" t="n">
        <f aca="false">Q80</f>
        <v>0</v>
      </c>
      <c r="S80" s="10" t="n">
        <f aca="false">A80</f>
        <v>0</v>
      </c>
    </row>
    <row r="81" customFormat="false" ht="45.75" hidden="false" customHeight="true" outlineLevel="0" collapsed="false">
      <c r="A81" s="23"/>
      <c r="B81" s="23"/>
      <c r="C81" s="46"/>
      <c r="D81" s="23"/>
      <c r="E81" s="26"/>
      <c r="F81" s="23"/>
      <c r="G81" s="37"/>
      <c r="H81" s="23"/>
      <c r="I81" s="23"/>
      <c r="J81" s="28"/>
      <c r="K81" s="28"/>
      <c r="L81" s="26"/>
      <c r="M81" s="23"/>
      <c r="N81" s="37"/>
      <c r="O81" s="38"/>
      <c r="P81" s="39"/>
      <c r="Q81" s="33"/>
      <c r="R81" s="10" t="n">
        <f aca="false">Q81</f>
        <v>0</v>
      </c>
      <c r="S81" s="10" t="n">
        <f aca="false">A81</f>
        <v>0</v>
      </c>
    </row>
    <row r="82" customFormat="false" ht="48" hidden="false" customHeight="true" outlineLevel="0" collapsed="false">
      <c r="A82" s="23"/>
      <c r="B82" s="23"/>
      <c r="C82" s="24" t="s">
        <v>112</v>
      </c>
      <c r="D82" s="23"/>
      <c r="E82" s="25"/>
      <c r="F82" s="23"/>
      <c r="G82" s="45"/>
      <c r="H82" s="23"/>
      <c r="I82" s="23"/>
      <c r="J82" s="28"/>
      <c r="K82" s="23"/>
      <c r="L82" s="25" t="n">
        <v>3</v>
      </c>
      <c r="M82" s="23"/>
      <c r="N82" s="45"/>
      <c r="O82" s="42"/>
      <c r="P82" s="43"/>
      <c r="Q82" s="33"/>
      <c r="R82" s="10" t="n">
        <f aca="false">Q82</f>
        <v>0</v>
      </c>
      <c r="S82" s="10" t="n">
        <f aca="false">A82</f>
        <v>0</v>
      </c>
    </row>
    <row r="83" customFormat="false" ht="20.85" hidden="false" customHeight="true" outlineLevel="0" collapsed="false">
      <c r="A83" s="23"/>
      <c r="B83" s="23" t="s">
        <v>113</v>
      </c>
      <c r="C83" s="46" t="s">
        <v>114</v>
      </c>
      <c r="D83" s="23"/>
      <c r="E83" s="26" t="e">
        <f aca="false">IF(E88&lt;=0.1, 4,
 IF(E88&lt;=0.4, (14 - 20 * E88) / 3,
 0))</f>
        <v>#DIV/0!</v>
      </c>
      <c r="F83" s="23"/>
      <c r="G83" s="35" t="e">
        <f aca="false">E83</f>
        <v>#DIV/0!</v>
      </c>
      <c r="H83" s="23"/>
      <c r="I83" s="23"/>
      <c r="J83" s="28" t="str">
        <f aca="false">IF(ISBLANK(I83), "❌ BELUM ADA DOKUMEN PENDUKUNG", "✅ SILAHKAN AUDITOR MELAKUKAN VERIFIKASI DOKUMEN PENDUKUNGNYA")</f>
        <v>❌ BELUM ADA DOKUMEN PENDUKUNG</v>
      </c>
      <c r="K83" s="23"/>
      <c r="L83" s="26" t="n">
        <f aca="false">IF(L88&lt;=0.1, 4,
 IF(L88&lt;=0.4, (14 - 20 * L88) / 3,
 0))</f>
        <v>4</v>
      </c>
      <c r="M83" s="23"/>
      <c r="N83" s="35" t="n">
        <f aca="false">L83</f>
        <v>4</v>
      </c>
      <c r="O83" s="29"/>
      <c r="P83" s="30"/>
      <c r="Q83" s="33"/>
      <c r="R83" s="10" t="n">
        <f aca="false">Q83</f>
        <v>0</v>
      </c>
      <c r="S83" s="10" t="n">
        <f aca="false">A83</f>
        <v>0</v>
      </c>
    </row>
    <row r="84" customFormat="false" ht="44.25" hidden="false" customHeight="true" outlineLevel="0" collapsed="false">
      <c r="A84" s="23"/>
      <c r="B84" s="23"/>
      <c r="C84" s="23"/>
      <c r="D84" s="23"/>
      <c r="E84" s="26"/>
      <c r="F84" s="23"/>
      <c r="G84" s="37"/>
      <c r="H84" s="23"/>
      <c r="I84" s="23"/>
      <c r="J84" s="28"/>
      <c r="K84" s="28"/>
      <c r="L84" s="26"/>
      <c r="M84" s="23"/>
      <c r="N84" s="37"/>
      <c r="O84" s="38"/>
      <c r="P84" s="39"/>
      <c r="Q84" s="33"/>
      <c r="R84" s="10" t="n">
        <f aca="false">Q84</f>
        <v>0</v>
      </c>
      <c r="S84" s="10" t="n">
        <f aca="false">A84</f>
        <v>0</v>
      </c>
    </row>
    <row r="85" customFormat="false" ht="87.75" hidden="false" customHeight="true" outlineLevel="0" collapsed="false">
      <c r="A85" s="23"/>
      <c r="B85" s="23"/>
      <c r="C85" s="46"/>
      <c r="D85" s="23"/>
      <c r="E85" s="26"/>
      <c r="F85" s="23"/>
      <c r="G85" s="37"/>
      <c r="H85" s="23"/>
      <c r="I85" s="23"/>
      <c r="J85" s="28"/>
      <c r="K85" s="28"/>
      <c r="L85" s="26"/>
      <c r="M85" s="23"/>
      <c r="N85" s="37"/>
      <c r="O85" s="38"/>
      <c r="P85" s="39"/>
      <c r="Q85" s="33"/>
      <c r="R85" s="10" t="n">
        <f aca="false">Q85</f>
        <v>0</v>
      </c>
      <c r="S85" s="10" t="n">
        <f aca="false">A85</f>
        <v>0</v>
      </c>
    </row>
    <row r="86" customFormat="false" ht="26.85" hidden="false" customHeight="false" outlineLevel="0" collapsed="false">
      <c r="A86" s="23"/>
      <c r="B86" s="23"/>
      <c r="C86" s="46" t="s">
        <v>115</v>
      </c>
      <c r="D86" s="23"/>
      <c r="E86" s="25"/>
      <c r="F86" s="23"/>
      <c r="G86" s="37"/>
      <c r="H86" s="23"/>
      <c r="I86" s="23"/>
      <c r="J86" s="28"/>
      <c r="K86" s="28"/>
      <c r="L86" s="25" t="n">
        <v>0</v>
      </c>
      <c r="M86" s="23"/>
      <c r="N86" s="37"/>
      <c r="O86" s="38"/>
      <c r="P86" s="39"/>
      <c r="Q86" s="33"/>
      <c r="R86" s="10" t="n">
        <f aca="false">Q86</f>
        <v>0</v>
      </c>
      <c r="S86" s="10" t="n">
        <f aca="false">A86</f>
        <v>0</v>
      </c>
    </row>
    <row r="87" customFormat="false" ht="26.85" hidden="false" customHeight="false" outlineLevel="0" collapsed="false">
      <c r="A87" s="23"/>
      <c r="B87" s="23"/>
      <c r="C87" s="46" t="s">
        <v>116</v>
      </c>
      <c r="D87" s="23"/>
      <c r="E87" s="25"/>
      <c r="F87" s="23"/>
      <c r="G87" s="37"/>
      <c r="H87" s="23"/>
      <c r="I87" s="23"/>
      <c r="J87" s="28"/>
      <c r="K87" s="28"/>
      <c r="L87" s="25" t="n">
        <v>50</v>
      </c>
      <c r="M87" s="23"/>
      <c r="N87" s="37"/>
      <c r="O87" s="38"/>
      <c r="P87" s="39"/>
      <c r="Q87" s="33"/>
      <c r="R87" s="10" t="n">
        <f aca="false">Q87</f>
        <v>0</v>
      </c>
      <c r="S87" s="10" t="n">
        <f aca="false">A87</f>
        <v>0</v>
      </c>
    </row>
    <row r="88" customFormat="false" ht="20.85" hidden="false" customHeight="false" outlineLevel="0" collapsed="false">
      <c r="A88" s="23"/>
      <c r="B88" s="23"/>
      <c r="C88" s="46" t="s">
        <v>117</v>
      </c>
      <c r="D88" s="23"/>
      <c r="E88" s="26" t="e">
        <f aca="false">(E86/(E87+E86))*100%</f>
        <v>#DIV/0!</v>
      </c>
      <c r="F88" s="23"/>
      <c r="G88" s="45"/>
      <c r="H88" s="23"/>
      <c r="I88" s="23"/>
      <c r="J88" s="28"/>
      <c r="K88" s="23"/>
      <c r="L88" s="26" t="n">
        <f aca="false">(L86/(L87+L86))*100%</f>
        <v>0</v>
      </c>
      <c r="M88" s="23"/>
      <c r="N88" s="45"/>
      <c r="O88" s="42"/>
      <c r="P88" s="43"/>
      <c r="Q88" s="33"/>
      <c r="R88" s="10" t="n">
        <f aca="false">Q88</f>
        <v>0</v>
      </c>
      <c r="S88" s="10" t="n">
        <f aca="false">A88</f>
        <v>0</v>
      </c>
    </row>
    <row r="89" customFormat="false" ht="67.5" hidden="false" customHeight="true" outlineLevel="0" collapsed="false">
      <c r="A89" s="23"/>
      <c r="B89" s="23" t="s">
        <v>118</v>
      </c>
      <c r="C89" s="24" t="s">
        <v>119</v>
      </c>
      <c r="D89" s="23"/>
      <c r="E89" s="26" t="e">
        <f aca="false">IF(E90&gt;=0.5, 4, 2 + (4 * E90))</f>
        <v>#DIV/0!</v>
      </c>
      <c r="F89" s="23"/>
      <c r="G89" s="35" t="e">
        <f aca="false">E89</f>
        <v>#DIV/0!</v>
      </c>
      <c r="H89" s="23"/>
      <c r="I89" s="23"/>
      <c r="J89" s="28" t="str">
        <f aca="false">IF(ISBLANK(I89), "❌ BELUM ADA DOKUMEN PENDUKUNG", "✅ SILAHKAN AUDITOR MELAKUKAN VERIFIKASI DOKUMEN PENDUKUNGNYA")</f>
        <v>❌ BELUM ADA DOKUMEN PENDUKUNG</v>
      </c>
      <c r="K89" s="23"/>
      <c r="L89" s="26" t="n">
        <f aca="false">IF(L90&gt;=0.5, 4, 2 + (4 * L90))</f>
        <v>2.2</v>
      </c>
      <c r="M89" s="23"/>
      <c r="N89" s="35" t="n">
        <f aca="false">L89</f>
        <v>2.2</v>
      </c>
      <c r="O89" s="29"/>
      <c r="P89" s="30"/>
      <c r="Q89" s="33"/>
      <c r="R89" s="10" t="n">
        <f aca="false">Q89</f>
        <v>0</v>
      </c>
      <c r="S89" s="10" t="n">
        <f aca="false">A89</f>
        <v>0</v>
      </c>
    </row>
    <row r="90" customFormat="false" ht="67.5" hidden="false" customHeight="true" outlineLevel="0" collapsed="false">
      <c r="A90" s="23"/>
      <c r="B90" s="23"/>
      <c r="C90" s="46" t="s">
        <v>120</v>
      </c>
      <c r="D90" s="23"/>
      <c r="E90" s="26" t="e">
        <f aca="false">E91/E92</f>
        <v>#DIV/0!</v>
      </c>
      <c r="F90" s="23"/>
      <c r="G90" s="37"/>
      <c r="H90" s="23"/>
      <c r="I90" s="23"/>
      <c r="J90" s="28"/>
      <c r="K90" s="28"/>
      <c r="L90" s="26" t="n">
        <f aca="false">L91/L92</f>
        <v>0.05</v>
      </c>
      <c r="M90" s="23"/>
      <c r="N90" s="37"/>
      <c r="O90" s="38"/>
      <c r="P90" s="39"/>
      <c r="Q90" s="33"/>
      <c r="R90" s="10" t="n">
        <f aca="false">Q90</f>
        <v>0</v>
      </c>
      <c r="S90" s="10" t="n">
        <f aca="false">A90</f>
        <v>0</v>
      </c>
    </row>
    <row r="91" customFormat="false" ht="26.85" hidden="false" customHeight="false" outlineLevel="0" collapsed="false">
      <c r="A91" s="23"/>
      <c r="B91" s="23"/>
      <c r="C91" s="46" t="s">
        <v>121</v>
      </c>
      <c r="D91" s="23"/>
      <c r="E91" s="25"/>
      <c r="F91" s="23"/>
      <c r="G91" s="37"/>
      <c r="H91" s="23"/>
      <c r="I91" s="23"/>
      <c r="J91" s="28"/>
      <c r="K91" s="28"/>
      <c r="L91" s="25" t="n">
        <v>3</v>
      </c>
      <c r="M91" s="23"/>
      <c r="N91" s="37"/>
      <c r="O91" s="38"/>
      <c r="P91" s="39"/>
      <c r="Q91" s="33"/>
      <c r="R91" s="10" t="n">
        <f aca="false">Q91</f>
        <v>0</v>
      </c>
      <c r="S91" s="10" t="n">
        <f aca="false">A91</f>
        <v>0</v>
      </c>
    </row>
    <row r="92" customFormat="false" ht="106.5" hidden="false" customHeight="true" outlineLevel="0" collapsed="false">
      <c r="A92" s="23"/>
      <c r="B92" s="23"/>
      <c r="C92" s="46" t="s">
        <v>59</v>
      </c>
      <c r="D92" s="23"/>
      <c r="E92" s="25"/>
      <c r="F92" s="23"/>
      <c r="G92" s="37"/>
      <c r="H92" s="23"/>
      <c r="I92" s="23"/>
      <c r="J92" s="28"/>
      <c r="K92" s="28"/>
      <c r="L92" s="25" t="n">
        <v>60</v>
      </c>
      <c r="M92" s="23"/>
      <c r="N92" s="37"/>
      <c r="O92" s="38"/>
      <c r="P92" s="39"/>
      <c r="Q92" s="33"/>
      <c r="R92" s="10" t="n">
        <f aca="false">Q92</f>
        <v>0</v>
      </c>
      <c r="S92" s="10" t="n">
        <f aca="false">A92</f>
        <v>0</v>
      </c>
    </row>
    <row r="93" customFormat="false" ht="129.75" hidden="false" customHeight="true" outlineLevel="0" collapsed="false">
      <c r="A93" s="23"/>
      <c r="B93" s="23"/>
      <c r="C93" s="23"/>
      <c r="D93" s="23"/>
      <c r="E93" s="25"/>
      <c r="F93" s="23"/>
      <c r="G93" s="45"/>
      <c r="H93" s="23"/>
      <c r="I93" s="23"/>
      <c r="J93" s="28"/>
      <c r="K93" s="23"/>
      <c r="L93" s="25"/>
      <c r="M93" s="23"/>
      <c r="N93" s="45"/>
      <c r="O93" s="42"/>
      <c r="P93" s="43"/>
      <c r="Q93" s="33"/>
      <c r="R93" s="10" t="n">
        <f aca="false">Q93</f>
        <v>0</v>
      </c>
      <c r="S93" s="10" t="n">
        <f aca="false">A93</f>
        <v>0</v>
      </c>
    </row>
    <row r="94" customFormat="false" ht="20.85" hidden="false" customHeight="true" outlineLevel="0" collapsed="false">
      <c r="A94" s="23"/>
      <c r="B94" s="23" t="s">
        <v>122</v>
      </c>
      <c r="C94" s="46" t="s">
        <v>123</v>
      </c>
      <c r="D94" s="23"/>
      <c r="E94" s="26" t="e">
        <f aca="false">IF(E99&gt;=0.05, 4,
 IF(AND(E99&lt;0.05, E100&gt;=0.3), 3 + (E99 / 0.05),
 IF(AND(E99=0, E100=0, E101&gt;=1), 2,
 IF(AND(E99&gt;0, E99&lt;0.05, E100&gt;0, E100&lt;0.3), 2 + (2 * (E99 / 0.05)) + (E100 / 0.3) - ((E99 * E100) / (0.05 * 0.3)),
 IF(AND(E99=0, E100=0, E101&lt;1), (2 * E101) / 1,
 "")))))</f>
        <v>#DIV/0!</v>
      </c>
      <c r="F94" s="23"/>
      <c r="G94" s="35" t="e">
        <f aca="false">E94</f>
        <v>#DIV/0!</v>
      </c>
      <c r="H94" s="23"/>
      <c r="I94" s="23"/>
      <c r="J94" s="28" t="str">
        <f aca="false">IF(ISBLANK(I94), "❌ BELUM ADA DOKUMEN PENDUKUNG", "✅ SILAHKAN AUDITOR MELAKUKAN VERIFIKASI DOKUMEN PENDUKUNGNYA")</f>
        <v>❌ BELUM ADA DOKUMEN PENDUKUNG</v>
      </c>
      <c r="K94" s="23"/>
      <c r="L94" s="26" t="n">
        <f aca="false">IF(L99&gt;=0.05, 4,
 IF(AND(L99&lt;0.05, L100&gt;=0.3), 3 + (L99 / 0.05),
 IF(AND(L99=0, L100=0, L101&gt;=1), 2,
 IF(AND(L99&gt;0, L99&lt;0.05, L100&gt;0, L100&lt;0.3), 2 + (2 * (L99 / 0.05)) + (L100 / 0.3) - ((L99 * L100) / (0.05 * 0.3)),
 IF(AND(L99=0, L100=0, L101&lt;1), (2 * L101) / 1,
 "")))))</f>
        <v>3.02469135802469</v>
      </c>
      <c r="M94" s="23"/>
      <c r="N94" s="35" t="n">
        <f aca="false">L94</f>
        <v>3.02469135802469</v>
      </c>
      <c r="O94" s="29"/>
      <c r="P94" s="30"/>
      <c r="Q94" s="33"/>
      <c r="R94" s="10" t="n">
        <f aca="false">Q94</f>
        <v>0</v>
      </c>
      <c r="S94" s="10" t="n">
        <f aca="false">A94</f>
        <v>0</v>
      </c>
    </row>
    <row r="95" customFormat="false" ht="20.85" hidden="false" customHeight="false" outlineLevel="0" collapsed="false">
      <c r="A95" s="23"/>
      <c r="B95" s="23"/>
      <c r="C95" s="23"/>
      <c r="D95" s="23"/>
      <c r="E95" s="26"/>
      <c r="F95" s="23"/>
      <c r="G95" s="37"/>
      <c r="H95" s="23"/>
      <c r="I95" s="23"/>
      <c r="J95" s="28"/>
      <c r="K95" s="28"/>
      <c r="L95" s="26"/>
      <c r="M95" s="23"/>
      <c r="N95" s="37"/>
      <c r="O95" s="38"/>
      <c r="P95" s="39"/>
      <c r="Q95" s="33"/>
      <c r="R95" s="10" t="n">
        <f aca="false">Q95</f>
        <v>0</v>
      </c>
      <c r="S95" s="10" t="n">
        <f aca="false">A95</f>
        <v>0</v>
      </c>
    </row>
    <row r="96" customFormat="false" ht="20.85" hidden="false" customHeight="false" outlineLevel="0" collapsed="false">
      <c r="A96" s="23"/>
      <c r="B96" s="23"/>
      <c r="C96" s="23"/>
      <c r="D96" s="23"/>
      <c r="E96" s="26"/>
      <c r="F96" s="23"/>
      <c r="G96" s="37"/>
      <c r="H96" s="23"/>
      <c r="I96" s="23"/>
      <c r="J96" s="28"/>
      <c r="K96" s="28"/>
      <c r="L96" s="26"/>
      <c r="M96" s="23"/>
      <c r="N96" s="37"/>
      <c r="O96" s="38"/>
      <c r="P96" s="39"/>
      <c r="Q96" s="33"/>
      <c r="R96" s="10" t="n">
        <f aca="false">Q96</f>
        <v>0</v>
      </c>
      <c r="S96" s="10" t="n">
        <f aca="false">A96</f>
        <v>0</v>
      </c>
    </row>
    <row r="97" customFormat="false" ht="20.85" hidden="false" customHeight="false" outlineLevel="0" collapsed="false">
      <c r="A97" s="23"/>
      <c r="B97" s="23"/>
      <c r="C97" s="23"/>
      <c r="D97" s="23"/>
      <c r="E97" s="26"/>
      <c r="F97" s="23"/>
      <c r="G97" s="37"/>
      <c r="H97" s="23"/>
      <c r="I97" s="23"/>
      <c r="J97" s="28"/>
      <c r="K97" s="28"/>
      <c r="L97" s="26"/>
      <c r="M97" s="23"/>
      <c r="N97" s="37"/>
      <c r="O97" s="38"/>
      <c r="P97" s="39"/>
      <c r="Q97" s="33"/>
      <c r="R97" s="10" t="n">
        <f aca="false">Q97</f>
        <v>0</v>
      </c>
      <c r="S97" s="10" t="n">
        <f aca="false">A97</f>
        <v>0</v>
      </c>
    </row>
    <row r="98" customFormat="false" ht="54.75" hidden="false" customHeight="true" outlineLevel="0" collapsed="false">
      <c r="A98" s="23"/>
      <c r="B98" s="23"/>
      <c r="C98" s="46"/>
      <c r="D98" s="23"/>
      <c r="E98" s="26"/>
      <c r="F98" s="23"/>
      <c r="G98" s="37"/>
      <c r="H98" s="23"/>
      <c r="I98" s="23"/>
      <c r="J98" s="28"/>
      <c r="K98" s="28"/>
      <c r="L98" s="26"/>
      <c r="M98" s="23"/>
      <c r="N98" s="37"/>
      <c r="O98" s="38"/>
      <c r="P98" s="39"/>
      <c r="Q98" s="33"/>
      <c r="R98" s="10" t="n">
        <f aca="false">Q98</f>
        <v>0</v>
      </c>
      <c r="S98" s="10" t="n">
        <f aca="false">A98</f>
        <v>0</v>
      </c>
    </row>
    <row r="99" customFormat="false" ht="20.85" hidden="false" customHeight="false" outlineLevel="0" collapsed="false">
      <c r="A99" s="23"/>
      <c r="B99" s="23"/>
      <c r="C99" s="46" t="s">
        <v>124</v>
      </c>
      <c r="D99" s="23"/>
      <c r="E99" s="26" t="e">
        <f aca="false">E103/3/E106</f>
        <v>#DIV/0!</v>
      </c>
      <c r="F99" s="23"/>
      <c r="G99" s="37"/>
      <c r="H99" s="23"/>
      <c r="I99" s="23"/>
      <c r="J99" s="28"/>
      <c r="K99" s="28"/>
      <c r="L99" s="26" t="n">
        <f aca="false">L103/3/L106</f>
        <v>0.0166666666666667</v>
      </c>
      <c r="M99" s="23"/>
      <c r="N99" s="37"/>
      <c r="O99" s="38"/>
      <c r="P99" s="39"/>
      <c r="Q99" s="33"/>
      <c r="R99" s="10" t="n">
        <f aca="false">Q99</f>
        <v>0</v>
      </c>
      <c r="S99" s="10" t="n">
        <f aca="false">A99</f>
        <v>0</v>
      </c>
    </row>
    <row r="100" customFormat="false" ht="20.85" hidden="false" customHeight="false" outlineLevel="0" collapsed="false">
      <c r="A100" s="23"/>
      <c r="B100" s="23"/>
      <c r="C100" s="46" t="s">
        <v>125</v>
      </c>
      <c r="D100" s="23"/>
      <c r="E100" s="26" t="e">
        <f aca="false">E104/3/E106</f>
        <v>#DIV/0!</v>
      </c>
      <c r="F100" s="23"/>
      <c r="G100" s="37"/>
      <c r="H100" s="23"/>
      <c r="I100" s="23"/>
      <c r="J100" s="28"/>
      <c r="K100" s="28"/>
      <c r="L100" s="26" t="n">
        <f aca="false">L104/3/L106</f>
        <v>0.161111111111111</v>
      </c>
      <c r="M100" s="23"/>
      <c r="N100" s="37"/>
      <c r="O100" s="38"/>
      <c r="P100" s="39"/>
      <c r="Q100" s="33"/>
      <c r="R100" s="10" t="n">
        <f aca="false">Q100</f>
        <v>0</v>
      </c>
      <c r="S100" s="10" t="n">
        <f aca="false">A100</f>
        <v>0</v>
      </c>
    </row>
    <row r="101" customFormat="false" ht="20.85" hidden="false" customHeight="true" outlineLevel="0" collapsed="false">
      <c r="A101" s="23"/>
      <c r="B101" s="23"/>
      <c r="C101" s="46" t="s">
        <v>126</v>
      </c>
      <c r="D101" s="23"/>
      <c r="E101" s="26" t="e">
        <f aca="false">E105/3/E106</f>
        <v>#DIV/0!</v>
      </c>
      <c r="F101" s="23"/>
      <c r="G101" s="37"/>
      <c r="H101" s="23"/>
      <c r="I101" s="23"/>
      <c r="J101" s="28"/>
      <c r="K101" s="28"/>
      <c r="L101" s="26" t="n">
        <f aca="false">L105/3/L106</f>
        <v>1.00555555555556</v>
      </c>
      <c r="M101" s="23"/>
      <c r="N101" s="37"/>
      <c r="O101" s="38"/>
      <c r="P101" s="39"/>
      <c r="Q101" s="33"/>
      <c r="R101" s="10" t="n">
        <f aca="false">Q101</f>
        <v>0</v>
      </c>
      <c r="S101" s="10" t="n">
        <f aca="false">A101</f>
        <v>0</v>
      </c>
    </row>
    <row r="102" customFormat="false" ht="20.85" hidden="false" customHeight="false" outlineLevel="0" collapsed="false">
      <c r="A102" s="23"/>
      <c r="B102" s="23"/>
      <c r="C102" s="46"/>
      <c r="D102" s="23"/>
      <c r="E102" s="26"/>
      <c r="F102" s="23"/>
      <c r="G102" s="37"/>
      <c r="H102" s="23"/>
      <c r="I102" s="23"/>
      <c r="J102" s="28"/>
      <c r="K102" s="28"/>
      <c r="L102" s="26"/>
      <c r="M102" s="23"/>
      <c r="N102" s="37"/>
      <c r="O102" s="38"/>
      <c r="P102" s="39"/>
      <c r="Q102" s="33"/>
      <c r="R102" s="10" t="n">
        <f aca="false">Q102</f>
        <v>0</v>
      </c>
      <c r="S102" s="10" t="n">
        <f aca="false">A102</f>
        <v>0</v>
      </c>
    </row>
    <row r="103" customFormat="false" ht="26.85" hidden="false" customHeight="false" outlineLevel="0" collapsed="false">
      <c r="A103" s="23"/>
      <c r="B103" s="23"/>
      <c r="C103" s="46" t="s">
        <v>127</v>
      </c>
      <c r="D103" s="23"/>
      <c r="E103" s="25"/>
      <c r="F103" s="23"/>
      <c r="G103" s="37"/>
      <c r="H103" s="23"/>
      <c r="I103" s="23"/>
      <c r="J103" s="28"/>
      <c r="K103" s="28"/>
      <c r="L103" s="25" t="n">
        <v>3</v>
      </c>
      <c r="M103" s="23"/>
      <c r="N103" s="37"/>
      <c r="O103" s="38"/>
      <c r="P103" s="39"/>
      <c r="Q103" s="33"/>
      <c r="R103" s="10" t="n">
        <f aca="false">Q103</f>
        <v>0</v>
      </c>
      <c r="S103" s="10" t="n">
        <f aca="false">A103</f>
        <v>0</v>
      </c>
    </row>
    <row r="104" customFormat="false" ht="26.85" hidden="false" customHeight="false" outlineLevel="0" collapsed="false">
      <c r="A104" s="23"/>
      <c r="B104" s="23"/>
      <c r="C104" s="46" t="s">
        <v>128</v>
      </c>
      <c r="D104" s="23"/>
      <c r="E104" s="25"/>
      <c r="F104" s="23"/>
      <c r="G104" s="37"/>
      <c r="H104" s="23"/>
      <c r="I104" s="23"/>
      <c r="J104" s="28"/>
      <c r="K104" s="28"/>
      <c r="L104" s="25" t="n">
        <v>29</v>
      </c>
      <c r="M104" s="23"/>
      <c r="N104" s="37"/>
      <c r="O104" s="38"/>
      <c r="P104" s="39"/>
      <c r="Q104" s="33"/>
      <c r="R104" s="10" t="n">
        <f aca="false">Q104</f>
        <v>0</v>
      </c>
      <c r="S104" s="10" t="n">
        <f aca="false">A104</f>
        <v>0</v>
      </c>
    </row>
    <row r="105" customFormat="false" ht="26.85" hidden="false" customHeight="false" outlineLevel="0" collapsed="false">
      <c r="A105" s="23"/>
      <c r="B105" s="23"/>
      <c r="C105" s="46" t="s">
        <v>129</v>
      </c>
      <c r="D105" s="23"/>
      <c r="E105" s="25"/>
      <c r="F105" s="23"/>
      <c r="G105" s="37"/>
      <c r="H105" s="23"/>
      <c r="I105" s="23"/>
      <c r="J105" s="28"/>
      <c r="K105" s="28"/>
      <c r="L105" s="25" t="n">
        <v>181</v>
      </c>
      <c r="M105" s="23"/>
      <c r="N105" s="37"/>
      <c r="O105" s="38"/>
      <c r="P105" s="39"/>
      <c r="Q105" s="33"/>
      <c r="R105" s="10" t="n">
        <f aca="false">Q105</f>
        <v>0</v>
      </c>
      <c r="S105" s="10" t="n">
        <f aca="false">A105</f>
        <v>0</v>
      </c>
    </row>
    <row r="106" customFormat="false" ht="39.55" hidden="false" customHeight="false" outlineLevel="0" collapsed="false">
      <c r="A106" s="23"/>
      <c r="B106" s="23"/>
      <c r="C106" s="46" t="s">
        <v>59</v>
      </c>
      <c r="D106" s="23"/>
      <c r="E106" s="25"/>
      <c r="F106" s="23"/>
      <c r="G106" s="45"/>
      <c r="H106" s="23"/>
      <c r="I106" s="23"/>
      <c r="J106" s="28"/>
      <c r="K106" s="23"/>
      <c r="L106" s="25" t="n">
        <v>60</v>
      </c>
      <c r="M106" s="23"/>
      <c r="N106" s="45"/>
      <c r="O106" s="42"/>
      <c r="P106" s="43"/>
      <c r="Q106" s="33"/>
      <c r="R106" s="10" t="n">
        <f aca="false">Q106</f>
        <v>0</v>
      </c>
      <c r="S106" s="10" t="n">
        <f aca="false">A106</f>
        <v>0</v>
      </c>
    </row>
    <row r="107" customFormat="false" ht="20.85" hidden="false" customHeight="true" outlineLevel="0" collapsed="false">
      <c r="A107" s="23"/>
      <c r="B107" s="23" t="s">
        <v>130</v>
      </c>
      <c r="C107" s="46" t="s">
        <v>131</v>
      </c>
      <c r="D107" s="23"/>
      <c r="E107" s="26" t="e">
        <f aca="false">IF(AND(E109&gt;0, E109&lt;0.05, E110&gt;0, E110&lt;0.3), 2 + (2 * (E109 / 0.05)) + (E110 / 0.3) - ((E109 * E110) / (0.05 * 0.3)),
 IF(AND(E109=0, E110=0, E111&lt;1), (2 * E111) / 1,
 ""))</f>
        <v>#DIV/0!</v>
      </c>
      <c r="F107" s="23"/>
      <c r="G107" s="35" t="e">
        <f aca="false">E107</f>
        <v>#DIV/0!</v>
      </c>
      <c r="H107" s="23"/>
      <c r="I107" s="23"/>
      <c r="J107" s="28" t="str">
        <f aca="false">IF(ISBLANK(I107), "❌ BELUM ADA DOKUMEN PENDUKUNG", "✅ SILAHKAN AUDITOR MELAKUKAN VERIFIKASI DOKUMEN PENDUKUNGNYA")</f>
        <v>❌ BELUM ADA DOKUMEN PENDUKUNG</v>
      </c>
      <c r="K107" s="23"/>
      <c r="L107" s="26" t="n">
        <f aca="false">IF(AND(L109&gt;0, L109&lt;0.05, L110&gt;0, L110&lt;0.3), 2 + (2 * (L109 / 0.05)) + (L110 / 0.3) - ((L109 * L110) / (0.05 * 0.3)),
 IF(AND(L109=0, L110=0, L111&lt;1), (2 * L111) / 1,
 ""))</f>
        <v>3.4320987654321</v>
      </c>
      <c r="M107" s="23"/>
      <c r="N107" s="35" t="n">
        <f aca="false">L107</f>
        <v>3.4320987654321</v>
      </c>
      <c r="O107" s="29"/>
      <c r="P107" s="30"/>
      <c r="Q107" s="33"/>
      <c r="R107" s="10" t="n">
        <f aca="false">Q107</f>
        <v>0</v>
      </c>
      <c r="S107" s="10" t="n">
        <f aca="false">A107</f>
        <v>0</v>
      </c>
    </row>
    <row r="108" customFormat="false" ht="42" hidden="false" customHeight="true" outlineLevel="0" collapsed="false">
      <c r="A108" s="23"/>
      <c r="B108" s="23"/>
      <c r="C108" s="46"/>
      <c r="D108" s="23"/>
      <c r="E108" s="26"/>
      <c r="F108" s="23"/>
      <c r="G108" s="37"/>
      <c r="H108" s="23"/>
      <c r="I108" s="23"/>
      <c r="J108" s="28"/>
      <c r="K108" s="28"/>
      <c r="L108" s="26"/>
      <c r="M108" s="23"/>
      <c r="N108" s="37"/>
      <c r="O108" s="38"/>
      <c r="P108" s="39"/>
      <c r="Q108" s="33"/>
      <c r="R108" s="10" t="n">
        <f aca="false">Q108</f>
        <v>0</v>
      </c>
      <c r="S108" s="10" t="n">
        <f aca="false">A108</f>
        <v>0</v>
      </c>
    </row>
    <row r="109" customFormat="false" ht="20.85" hidden="false" customHeight="false" outlineLevel="0" collapsed="false">
      <c r="A109" s="23"/>
      <c r="B109" s="23"/>
      <c r="C109" s="46" t="s">
        <v>124</v>
      </c>
      <c r="D109" s="23"/>
      <c r="E109" s="26" t="e">
        <f aca="false">E113/3/E116</f>
        <v>#DIV/0!</v>
      </c>
      <c r="F109" s="23"/>
      <c r="G109" s="37"/>
      <c r="H109" s="23"/>
      <c r="I109" s="23"/>
      <c r="J109" s="28"/>
      <c r="K109" s="28"/>
      <c r="L109" s="26" t="n">
        <f aca="false">L113/3/L116</f>
        <v>0.0333333333333333</v>
      </c>
      <c r="M109" s="23"/>
      <c r="N109" s="37"/>
      <c r="O109" s="38"/>
      <c r="P109" s="39"/>
      <c r="Q109" s="33"/>
      <c r="R109" s="10" t="n">
        <f aca="false">Q109</f>
        <v>0</v>
      </c>
      <c r="S109" s="10" t="n">
        <f aca="false">A109</f>
        <v>0</v>
      </c>
    </row>
    <row r="110" customFormat="false" ht="20.85" hidden="false" customHeight="false" outlineLevel="0" collapsed="false">
      <c r="A110" s="23"/>
      <c r="B110" s="23"/>
      <c r="C110" s="46" t="s">
        <v>125</v>
      </c>
      <c r="D110" s="23"/>
      <c r="E110" s="26" t="e">
        <f aca="false">E114/3/E116</f>
        <v>#DIV/0!</v>
      </c>
      <c r="F110" s="23"/>
      <c r="G110" s="37"/>
      <c r="H110" s="23"/>
      <c r="I110" s="23"/>
      <c r="J110" s="28"/>
      <c r="K110" s="28"/>
      <c r="L110" s="26" t="n">
        <f aca="false">L114/3/L116</f>
        <v>0.0888888888888889</v>
      </c>
      <c r="M110" s="23"/>
      <c r="N110" s="37"/>
      <c r="O110" s="38"/>
      <c r="P110" s="39"/>
      <c r="Q110" s="33"/>
      <c r="R110" s="10" t="n">
        <f aca="false">Q110</f>
        <v>0</v>
      </c>
      <c r="S110" s="10" t="n">
        <f aca="false">A110</f>
        <v>0</v>
      </c>
    </row>
    <row r="111" customFormat="false" ht="20.85" hidden="false" customHeight="true" outlineLevel="0" collapsed="false">
      <c r="A111" s="23"/>
      <c r="B111" s="23"/>
      <c r="C111" s="46" t="s">
        <v>126</v>
      </c>
      <c r="D111" s="23"/>
      <c r="E111" s="26" t="e">
        <f aca="false">E115/3/E116</f>
        <v>#DIV/0!</v>
      </c>
      <c r="F111" s="23"/>
      <c r="G111" s="37"/>
      <c r="H111" s="23"/>
      <c r="I111" s="23"/>
      <c r="J111" s="28"/>
      <c r="K111" s="28"/>
      <c r="L111" s="26" t="n">
        <f aca="false">L115/3/L116</f>
        <v>2.94444444444444</v>
      </c>
      <c r="M111" s="23"/>
      <c r="N111" s="37"/>
      <c r="O111" s="38"/>
      <c r="P111" s="39"/>
      <c r="Q111" s="33"/>
      <c r="R111" s="10" t="n">
        <f aca="false">Q111</f>
        <v>0</v>
      </c>
      <c r="S111" s="10" t="n">
        <f aca="false">A111</f>
        <v>0</v>
      </c>
    </row>
    <row r="112" customFormat="false" ht="20.85" hidden="false" customHeight="false" outlineLevel="0" collapsed="false">
      <c r="A112" s="23"/>
      <c r="B112" s="23"/>
      <c r="C112" s="46"/>
      <c r="D112" s="23"/>
      <c r="E112" s="26"/>
      <c r="F112" s="23"/>
      <c r="G112" s="37"/>
      <c r="H112" s="23"/>
      <c r="I112" s="23"/>
      <c r="J112" s="28"/>
      <c r="K112" s="28"/>
      <c r="L112" s="26"/>
      <c r="M112" s="23"/>
      <c r="N112" s="37"/>
      <c r="O112" s="38"/>
      <c r="P112" s="39"/>
      <c r="Q112" s="33"/>
      <c r="R112" s="10" t="n">
        <f aca="false">Q112</f>
        <v>0</v>
      </c>
      <c r="S112" s="10" t="n">
        <f aca="false">A112</f>
        <v>0</v>
      </c>
    </row>
    <row r="113" customFormat="false" ht="26.85" hidden="false" customHeight="false" outlineLevel="0" collapsed="false">
      <c r="A113" s="23"/>
      <c r="B113" s="23"/>
      <c r="C113" s="46" t="s">
        <v>132</v>
      </c>
      <c r="D113" s="23"/>
      <c r="E113" s="25"/>
      <c r="F113" s="23"/>
      <c r="G113" s="37"/>
      <c r="H113" s="23"/>
      <c r="I113" s="23"/>
      <c r="J113" s="28"/>
      <c r="K113" s="28"/>
      <c r="L113" s="25" t="n">
        <v>3</v>
      </c>
      <c r="M113" s="23"/>
      <c r="N113" s="37"/>
      <c r="O113" s="38"/>
      <c r="P113" s="39"/>
      <c r="Q113" s="33"/>
      <c r="R113" s="10" t="n">
        <f aca="false">Q113</f>
        <v>0</v>
      </c>
      <c r="S113" s="10" t="n">
        <f aca="false">A113</f>
        <v>0</v>
      </c>
    </row>
    <row r="114" customFormat="false" ht="26.85" hidden="false" customHeight="false" outlineLevel="0" collapsed="false">
      <c r="A114" s="23"/>
      <c r="B114" s="23"/>
      <c r="C114" s="46" t="s">
        <v>133</v>
      </c>
      <c r="D114" s="23"/>
      <c r="E114" s="25"/>
      <c r="F114" s="23"/>
      <c r="G114" s="37"/>
      <c r="H114" s="23"/>
      <c r="I114" s="23"/>
      <c r="J114" s="28"/>
      <c r="K114" s="28"/>
      <c r="L114" s="25" t="n">
        <v>8</v>
      </c>
      <c r="M114" s="23"/>
      <c r="N114" s="37"/>
      <c r="O114" s="38"/>
      <c r="P114" s="39"/>
      <c r="Q114" s="33"/>
      <c r="R114" s="10" t="n">
        <f aca="false">Q114</f>
        <v>0</v>
      </c>
      <c r="S114" s="10" t="n">
        <f aca="false">A114</f>
        <v>0</v>
      </c>
    </row>
    <row r="115" customFormat="false" ht="26.85" hidden="false" customHeight="false" outlineLevel="0" collapsed="false">
      <c r="A115" s="23"/>
      <c r="B115" s="23"/>
      <c r="C115" s="46" t="s">
        <v>134</v>
      </c>
      <c r="D115" s="23"/>
      <c r="E115" s="25"/>
      <c r="F115" s="23"/>
      <c r="G115" s="37"/>
      <c r="H115" s="23"/>
      <c r="I115" s="23"/>
      <c r="J115" s="28"/>
      <c r="K115" s="28"/>
      <c r="L115" s="25" t="n">
        <v>265</v>
      </c>
      <c r="M115" s="23"/>
      <c r="N115" s="37"/>
      <c r="O115" s="38"/>
      <c r="P115" s="39"/>
      <c r="Q115" s="33"/>
      <c r="R115" s="10" t="n">
        <f aca="false">Q115</f>
        <v>0</v>
      </c>
      <c r="S115" s="10" t="n">
        <f aca="false">A115</f>
        <v>0</v>
      </c>
    </row>
    <row r="116" customFormat="false" ht="39.55" hidden="false" customHeight="false" outlineLevel="0" collapsed="false">
      <c r="A116" s="23"/>
      <c r="B116" s="23"/>
      <c r="C116" s="46" t="s">
        <v>59</v>
      </c>
      <c r="D116" s="23"/>
      <c r="E116" s="25"/>
      <c r="F116" s="23"/>
      <c r="G116" s="45"/>
      <c r="H116" s="23"/>
      <c r="I116" s="23"/>
      <c r="J116" s="28"/>
      <c r="K116" s="23"/>
      <c r="L116" s="25" t="n">
        <v>30</v>
      </c>
      <c r="M116" s="23"/>
      <c r="N116" s="45"/>
      <c r="O116" s="42"/>
      <c r="P116" s="43"/>
      <c r="Q116" s="33"/>
      <c r="R116" s="10" t="n">
        <f aca="false">Q116</f>
        <v>0</v>
      </c>
      <c r="S116" s="10" t="n">
        <f aca="false">A116</f>
        <v>0</v>
      </c>
    </row>
    <row r="117" customFormat="false" ht="20.85" hidden="false" customHeight="true" outlineLevel="0" collapsed="false">
      <c r="A117" s="23"/>
      <c r="B117" s="23" t="s">
        <v>135</v>
      </c>
      <c r="C117" s="46" t="s">
        <v>136</v>
      </c>
      <c r="D117" s="23"/>
      <c r="E117" s="26" t="e">
        <f aca="false">IF(E124&gt;=0.1, 4,
 IF(AND(E124&lt;0.1, E123&gt;=1), 3 + (E124 / 0.1),
 IF(AND(E124=0, E123=0, E122&gt;=2), 2,
 IF(AND(E124&gt;0, E124&lt;0.1, E123&gt;0, E123&lt;1), 2 + (2 * (E124 / 0.1)) + (E123 / 1) - ((E124 * E123) / (0.1 * 1)),
 IF(AND(E124=0, E123=0, E122&lt;2), (2 * E122) / 2,
 "")))))</f>
        <v>#DIV/0!</v>
      </c>
      <c r="F117" s="23"/>
      <c r="G117" s="35" t="e">
        <f aca="false">E117</f>
        <v>#DIV/0!</v>
      </c>
      <c r="H117" s="23"/>
      <c r="I117" s="23"/>
      <c r="J117" s="28" t="str">
        <f aca="false">IF(ISBLANK(I117), "❌ BELUM ADA DOKUMEN PENDUKUNG", "✅ SILAHKAN AUDITOR MELAKUKAN VERIFIKASI DOKUMEN PENDUKUNGNYA")</f>
        <v>❌ BELUM ADA DOKUMEN PENDUKUNG</v>
      </c>
      <c r="K117" s="23"/>
      <c r="L117" s="26" t="n">
        <f aca="false">IF(L124&gt;=0.1, 4,
 IF(AND(L124&lt;0.1, L123&gt;=1), 3 + (L124 / 0.1),
 IF(AND(L124=0, L123=0, L122&gt;=2), 2,
 IF(AND(L124&gt;0, L124&lt;0.1, L123&gt;0, L123&lt;1), 2 + (2 * (L124 / 0.1)) + (L123 / 1) - ((L124 * L123) / (0.1 * 1)),
 IF(AND(L124=0, L123=0, L122&lt;2), (2 * L122) / 2,
 "")))))</f>
        <v>4</v>
      </c>
      <c r="M117" s="23"/>
      <c r="N117" s="35" t="n">
        <f aca="false">L117</f>
        <v>4</v>
      </c>
      <c r="O117" s="29"/>
      <c r="P117" s="30"/>
      <c r="Q117" s="33"/>
      <c r="R117" s="10" t="n">
        <f aca="false">Q117</f>
        <v>0</v>
      </c>
      <c r="S117" s="10" t="n">
        <f aca="false">A117</f>
        <v>0</v>
      </c>
    </row>
    <row r="118" customFormat="false" ht="20.85" hidden="false" customHeight="false" outlineLevel="0" collapsed="false">
      <c r="A118" s="23"/>
      <c r="B118" s="23"/>
      <c r="C118" s="23"/>
      <c r="D118" s="23"/>
      <c r="E118" s="26"/>
      <c r="F118" s="23"/>
      <c r="G118" s="37"/>
      <c r="H118" s="23"/>
      <c r="I118" s="23"/>
      <c r="J118" s="28"/>
      <c r="K118" s="28"/>
      <c r="L118" s="26"/>
      <c r="M118" s="23"/>
      <c r="N118" s="37"/>
      <c r="O118" s="38"/>
      <c r="P118" s="39"/>
      <c r="Q118" s="33"/>
      <c r="R118" s="10" t="n">
        <f aca="false">Q118</f>
        <v>0</v>
      </c>
      <c r="S118" s="10" t="n">
        <f aca="false">A118</f>
        <v>0</v>
      </c>
    </row>
    <row r="119" customFormat="false" ht="20.85" hidden="false" customHeight="false" outlineLevel="0" collapsed="false">
      <c r="A119" s="23"/>
      <c r="B119" s="23"/>
      <c r="C119" s="23"/>
      <c r="D119" s="23"/>
      <c r="E119" s="26"/>
      <c r="F119" s="23"/>
      <c r="G119" s="37"/>
      <c r="H119" s="23"/>
      <c r="I119" s="23"/>
      <c r="J119" s="28"/>
      <c r="K119" s="28"/>
      <c r="L119" s="26"/>
      <c r="M119" s="23"/>
      <c r="N119" s="37"/>
      <c r="O119" s="38"/>
      <c r="P119" s="39"/>
      <c r="Q119" s="33"/>
      <c r="R119" s="10" t="n">
        <f aca="false">Q119</f>
        <v>0</v>
      </c>
      <c r="S119" s="10" t="n">
        <f aca="false">A119</f>
        <v>0</v>
      </c>
    </row>
    <row r="120" customFormat="false" ht="20.85" hidden="false" customHeight="false" outlineLevel="0" collapsed="false">
      <c r="A120" s="23"/>
      <c r="B120" s="23"/>
      <c r="C120" s="23"/>
      <c r="D120" s="23"/>
      <c r="E120" s="26"/>
      <c r="F120" s="23"/>
      <c r="G120" s="37"/>
      <c r="H120" s="23"/>
      <c r="I120" s="23"/>
      <c r="J120" s="28"/>
      <c r="K120" s="28"/>
      <c r="L120" s="26"/>
      <c r="M120" s="23"/>
      <c r="N120" s="37"/>
      <c r="O120" s="38"/>
      <c r="P120" s="39"/>
      <c r="Q120" s="33"/>
      <c r="R120" s="10" t="n">
        <f aca="false">Q120</f>
        <v>0</v>
      </c>
      <c r="S120" s="10" t="n">
        <f aca="false">A120</f>
        <v>0</v>
      </c>
    </row>
    <row r="121" customFormat="false" ht="41.25" hidden="false" customHeight="true" outlineLevel="0" collapsed="false">
      <c r="A121" s="23"/>
      <c r="B121" s="23"/>
      <c r="C121" s="46"/>
      <c r="D121" s="23"/>
      <c r="E121" s="26"/>
      <c r="F121" s="23"/>
      <c r="G121" s="37"/>
      <c r="H121" s="23"/>
      <c r="I121" s="23"/>
      <c r="J121" s="28"/>
      <c r="K121" s="28"/>
      <c r="L121" s="26"/>
      <c r="M121" s="23"/>
      <c r="N121" s="37"/>
      <c r="O121" s="38"/>
      <c r="P121" s="39"/>
      <c r="Q121" s="33"/>
      <c r="R121" s="10" t="n">
        <f aca="false">Q121</f>
        <v>0</v>
      </c>
      <c r="S121" s="10" t="n">
        <f aca="false">A121</f>
        <v>0</v>
      </c>
    </row>
    <row r="122" customFormat="false" ht="20.85" hidden="false" customHeight="false" outlineLevel="0" collapsed="false">
      <c r="A122" s="23"/>
      <c r="B122" s="23"/>
      <c r="C122" s="46" t="s">
        <v>137</v>
      </c>
      <c r="D122" s="23"/>
      <c r="E122" s="26" t="e">
        <f aca="false">(E126+E130+E133)/E136</f>
        <v>#DIV/0!</v>
      </c>
      <c r="F122" s="23"/>
      <c r="G122" s="37"/>
      <c r="H122" s="23"/>
      <c r="I122" s="23"/>
      <c r="J122" s="28"/>
      <c r="K122" s="28"/>
      <c r="L122" s="26" t="n">
        <f aca="false">(L126+L130+L133)/L136</f>
        <v>0.683333333333333</v>
      </c>
      <c r="M122" s="23"/>
      <c r="N122" s="37"/>
      <c r="O122" s="38"/>
      <c r="P122" s="39"/>
      <c r="Q122" s="33"/>
      <c r="R122" s="10" t="n">
        <f aca="false">Q122</f>
        <v>0</v>
      </c>
      <c r="S122" s="10" t="n">
        <f aca="false">A122</f>
        <v>0</v>
      </c>
    </row>
    <row r="123" customFormat="false" ht="20.85" hidden="false" customHeight="false" outlineLevel="0" collapsed="false">
      <c r="A123" s="23"/>
      <c r="B123" s="23"/>
      <c r="C123" s="46" t="s">
        <v>138</v>
      </c>
      <c r="D123" s="23"/>
      <c r="E123" s="26" t="e">
        <f aca="false">(E127+E128+E131+E134)/E136</f>
        <v>#DIV/0!</v>
      </c>
      <c r="F123" s="23"/>
      <c r="G123" s="37"/>
      <c r="H123" s="23"/>
      <c r="I123" s="23"/>
      <c r="J123" s="28"/>
      <c r="K123" s="28"/>
      <c r="L123" s="26" t="n">
        <f aca="false">(L127+L128+L131+L134)/L136</f>
        <v>0.8</v>
      </c>
      <c r="M123" s="23"/>
      <c r="N123" s="37"/>
      <c r="O123" s="38"/>
      <c r="P123" s="39"/>
      <c r="Q123" s="33"/>
      <c r="R123" s="10" t="n">
        <f aca="false">Q123</f>
        <v>0</v>
      </c>
      <c r="S123" s="10" t="n">
        <f aca="false">A123</f>
        <v>0</v>
      </c>
    </row>
    <row r="124" customFormat="false" ht="20.85" hidden="false" customHeight="true" outlineLevel="0" collapsed="false">
      <c r="A124" s="23"/>
      <c r="B124" s="23"/>
      <c r="C124" s="46" t="s">
        <v>139</v>
      </c>
      <c r="D124" s="23"/>
      <c r="E124" s="26" t="e">
        <f aca="false">(E129+E132+E135)/E136</f>
        <v>#DIV/0!</v>
      </c>
      <c r="F124" s="23"/>
      <c r="G124" s="37"/>
      <c r="H124" s="23"/>
      <c r="I124" s="23"/>
      <c r="J124" s="28"/>
      <c r="K124" s="28"/>
      <c r="L124" s="26" t="n">
        <f aca="false">(L129+L132+L135)/L136</f>
        <v>2.23333333333333</v>
      </c>
      <c r="M124" s="23"/>
      <c r="N124" s="37"/>
      <c r="O124" s="38"/>
      <c r="P124" s="39"/>
      <c r="Q124" s="33"/>
      <c r="R124" s="10" t="n">
        <f aca="false">Q124</f>
        <v>0</v>
      </c>
      <c r="S124" s="10" t="n">
        <f aca="false">A124</f>
        <v>0</v>
      </c>
    </row>
    <row r="125" customFormat="false" ht="20.85" hidden="false" customHeight="false" outlineLevel="0" collapsed="false">
      <c r="A125" s="23"/>
      <c r="B125" s="23"/>
      <c r="C125" s="46"/>
      <c r="D125" s="23"/>
      <c r="E125" s="26"/>
      <c r="F125" s="23"/>
      <c r="G125" s="37"/>
      <c r="H125" s="23"/>
      <c r="I125" s="23"/>
      <c r="J125" s="28"/>
      <c r="K125" s="28"/>
      <c r="L125" s="26"/>
      <c r="M125" s="23"/>
      <c r="N125" s="37"/>
      <c r="O125" s="38"/>
      <c r="P125" s="39"/>
      <c r="Q125" s="33"/>
      <c r="R125" s="10" t="n">
        <f aca="false">Q125</f>
        <v>0</v>
      </c>
      <c r="S125" s="10" t="n">
        <f aca="false">A125</f>
        <v>0</v>
      </c>
    </row>
    <row r="126" customFormat="false" ht="20.85" hidden="false" customHeight="false" outlineLevel="0" collapsed="false">
      <c r="A126" s="23"/>
      <c r="B126" s="23"/>
      <c r="C126" s="46" t="s">
        <v>140</v>
      </c>
      <c r="D126" s="23"/>
      <c r="E126" s="25"/>
      <c r="F126" s="23"/>
      <c r="G126" s="37"/>
      <c r="H126" s="23"/>
      <c r="I126" s="23"/>
      <c r="J126" s="28"/>
      <c r="K126" s="28"/>
      <c r="L126" s="25" t="n">
        <v>28</v>
      </c>
      <c r="M126" s="23"/>
      <c r="N126" s="37"/>
      <c r="O126" s="38"/>
      <c r="P126" s="39"/>
      <c r="Q126" s="33"/>
      <c r="R126" s="10" t="n">
        <f aca="false">Q126</f>
        <v>0</v>
      </c>
      <c r="S126" s="10" t="n">
        <f aca="false">A126</f>
        <v>0</v>
      </c>
    </row>
    <row r="127" customFormat="false" ht="20.85" hidden="false" customHeight="false" outlineLevel="0" collapsed="false">
      <c r="A127" s="23"/>
      <c r="B127" s="23"/>
      <c r="C127" s="46" t="s">
        <v>141</v>
      </c>
      <c r="D127" s="23"/>
      <c r="E127" s="25"/>
      <c r="F127" s="23"/>
      <c r="G127" s="37"/>
      <c r="H127" s="23"/>
      <c r="I127" s="23"/>
      <c r="J127" s="28"/>
      <c r="K127" s="28"/>
      <c r="L127" s="25" t="n">
        <v>6</v>
      </c>
      <c r="M127" s="23"/>
      <c r="N127" s="37"/>
      <c r="O127" s="38"/>
      <c r="P127" s="39"/>
      <c r="Q127" s="33"/>
      <c r="R127" s="10" t="n">
        <f aca="false">Q127</f>
        <v>0</v>
      </c>
      <c r="S127" s="10" t="n">
        <f aca="false">A127</f>
        <v>0</v>
      </c>
    </row>
    <row r="128" customFormat="false" ht="20.85" hidden="false" customHeight="false" outlineLevel="0" collapsed="false">
      <c r="A128" s="23"/>
      <c r="B128" s="23"/>
      <c r="C128" s="46" t="s">
        <v>142</v>
      </c>
      <c r="D128" s="23"/>
      <c r="E128" s="25"/>
      <c r="F128" s="23"/>
      <c r="G128" s="37"/>
      <c r="H128" s="23"/>
      <c r="I128" s="23"/>
      <c r="J128" s="28"/>
      <c r="K128" s="28"/>
      <c r="L128" s="25" t="n">
        <v>33</v>
      </c>
      <c r="M128" s="23"/>
      <c r="N128" s="37"/>
      <c r="O128" s="38"/>
      <c r="P128" s="39"/>
      <c r="Q128" s="33"/>
      <c r="R128" s="10" t="n">
        <f aca="false">Q128</f>
        <v>0</v>
      </c>
      <c r="S128" s="10" t="n">
        <f aca="false">A128</f>
        <v>0</v>
      </c>
    </row>
    <row r="129" customFormat="false" ht="20.85" hidden="false" customHeight="false" outlineLevel="0" collapsed="false">
      <c r="A129" s="23"/>
      <c r="B129" s="23"/>
      <c r="C129" s="46" t="s">
        <v>143</v>
      </c>
      <c r="D129" s="23"/>
      <c r="E129" s="25"/>
      <c r="F129" s="23"/>
      <c r="G129" s="37"/>
      <c r="H129" s="23"/>
      <c r="I129" s="23"/>
      <c r="J129" s="28"/>
      <c r="K129" s="28"/>
      <c r="L129" s="25" t="n">
        <v>11</v>
      </c>
      <c r="M129" s="23"/>
      <c r="N129" s="37"/>
      <c r="O129" s="38"/>
      <c r="P129" s="39"/>
      <c r="Q129" s="33"/>
      <c r="R129" s="10" t="n">
        <f aca="false">Q129</f>
        <v>0</v>
      </c>
      <c r="S129" s="10" t="n">
        <f aca="false">A129</f>
        <v>0</v>
      </c>
    </row>
    <row r="130" customFormat="false" ht="20.85" hidden="false" customHeight="false" outlineLevel="0" collapsed="false">
      <c r="A130" s="23"/>
      <c r="B130" s="23"/>
      <c r="C130" s="46" t="s">
        <v>144</v>
      </c>
      <c r="D130" s="23"/>
      <c r="E130" s="25"/>
      <c r="F130" s="23"/>
      <c r="G130" s="37"/>
      <c r="H130" s="23"/>
      <c r="I130" s="23"/>
      <c r="J130" s="28"/>
      <c r="K130" s="28"/>
      <c r="L130" s="25" t="n">
        <v>13</v>
      </c>
      <c r="M130" s="23"/>
      <c r="N130" s="37"/>
      <c r="O130" s="38"/>
      <c r="P130" s="39"/>
      <c r="Q130" s="33"/>
      <c r="R130" s="10" t="n">
        <f aca="false">Q130</f>
        <v>0</v>
      </c>
      <c r="S130" s="10" t="n">
        <f aca="false">A130</f>
        <v>0</v>
      </c>
    </row>
    <row r="131" customFormat="false" ht="20.85" hidden="false" customHeight="false" outlineLevel="0" collapsed="false">
      <c r="A131" s="23"/>
      <c r="B131" s="23"/>
      <c r="C131" s="46" t="s">
        <v>145</v>
      </c>
      <c r="D131" s="23"/>
      <c r="E131" s="25"/>
      <c r="F131" s="23"/>
      <c r="G131" s="37"/>
      <c r="H131" s="23"/>
      <c r="I131" s="23"/>
      <c r="J131" s="28"/>
      <c r="K131" s="28"/>
      <c r="L131" s="25" t="n">
        <v>7</v>
      </c>
      <c r="M131" s="23"/>
      <c r="N131" s="37"/>
      <c r="O131" s="38"/>
      <c r="P131" s="39"/>
      <c r="Q131" s="33"/>
      <c r="R131" s="10" t="n">
        <f aca="false">Q131</f>
        <v>0</v>
      </c>
      <c r="S131" s="10" t="n">
        <f aca="false">A131</f>
        <v>0</v>
      </c>
    </row>
    <row r="132" customFormat="false" ht="20.85" hidden="false" customHeight="false" outlineLevel="0" collapsed="false">
      <c r="A132" s="23"/>
      <c r="B132" s="23"/>
      <c r="C132" s="46" t="s">
        <v>146</v>
      </c>
      <c r="D132" s="23"/>
      <c r="E132" s="25"/>
      <c r="F132" s="23"/>
      <c r="G132" s="37"/>
      <c r="H132" s="23"/>
      <c r="I132" s="23"/>
      <c r="J132" s="28"/>
      <c r="K132" s="28"/>
      <c r="L132" s="25" t="n">
        <v>123</v>
      </c>
      <c r="M132" s="23"/>
      <c r="N132" s="37"/>
      <c r="O132" s="38"/>
      <c r="P132" s="39"/>
      <c r="Q132" s="33"/>
      <c r="R132" s="10" t="n">
        <f aca="false">Q132</f>
        <v>0</v>
      </c>
      <c r="S132" s="10" t="n">
        <f aca="false">A132</f>
        <v>0</v>
      </c>
    </row>
    <row r="133" customFormat="false" ht="20.85" hidden="false" customHeight="false" outlineLevel="0" collapsed="false">
      <c r="A133" s="23"/>
      <c r="B133" s="23"/>
      <c r="C133" s="46" t="s">
        <v>147</v>
      </c>
      <c r="D133" s="23"/>
      <c r="E133" s="25"/>
      <c r="F133" s="23"/>
      <c r="G133" s="37"/>
      <c r="H133" s="23"/>
      <c r="I133" s="23"/>
      <c r="J133" s="28"/>
      <c r="K133" s="28"/>
      <c r="L133" s="25" t="n">
        <v>0</v>
      </c>
      <c r="M133" s="23"/>
      <c r="N133" s="37"/>
      <c r="O133" s="38"/>
      <c r="P133" s="39"/>
      <c r="Q133" s="33"/>
      <c r="R133" s="10" t="n">
        <f aca="false">Q133</f>
        <v>0</v>
      </c>
      <c r="S133" s="10" t="n">
        <f aca="false">A133</f>
        <v>0</v>
      </c>
    </row>
    <row r="134" customFormat="false" ht="20.85" hidden="false" customHeight="false" outlineLevel="0" collapsed="false">
      <c r="A134" s="23"/>
      <c r="B134" s="23"/>
      <c r="C134" s="46" t="s">
        <v>148</v>
      </c>
      <c r="D134" s="23"/>
      <c r="E134" s="25"/>
      <c r="F134" s="23"/>
      <c r="G134" s="37"/>
      <c r="H134" s="23"/>
      <c r="I134" s="23"/>
      <c r="J134" s="28"/>
      <c r="K134" s="28"/>
      <c r="L134" s="25" t="n">
        <v>2</v>
      </c>
      <c r="M134" s="23"/>
      <c r="N134" s="37"/>
      <c r="O134" s="38"/>
      <c r="P134" s="39"/>
      <c r="Q134" s="33"/>
      <c r="R134" s="10" t="n">
        <f aca="false">Q134</f>
        <v>0</v>
      </c>
      <c r="S134" s="10" t="n">
        <f aca="false">A134</f>
        <v>0</v>
      </c>
    </row>
    <row r="135" customFormat="false" ht="20.85" hidden="false" customHeight="false" outlineLevel="0" collapsed="false">
      <c r="A135" s="23"/>
      <c r="B135" s="23"/>
      <c r="C135" s="46" t="s">
        <v>149</v>
      </c>
      <c r="D135" s="23"/>
      <c r="E135" s="25"/>
      <c r="F135" s="23"/>
      <c r="G135" s="37"/>
      <c r="H135" s="23"/>
      <c r="I135" s="23"/>
      <c r="J135" s="28"/>
      <c r="K135" s="28"/>
      <c r="L135" s="25" t="n">
        <v>0</v>
      </c>
      <c r="M135" s="23"/>
      <c r="N135" s="37"/>
      <c r="O135" s="38"/>
      <c r="P135" s="39"/>
      <c r="Q135" s="33"/>
      <c r="R135" s="10" t="n">
        <f aca="false">Q135</f>
        <v>0</v>
      </c>
      <c r="S135" s="10" t="n">
        <f aca="false">A135</f>
        <v>0</v>
      </c>
    </row>
    <row r="136" customFormat="false" ht="39.55" hidden="false" customHeight="false" outlineLevel="0" collapsed="false">
      <c r="A136" s="23"/>
      <c r="B136" s="23"/>
      <c r="C136" s="46" t="s">
        <v>59</v>
      </c>
      <c r="D136" s="23"/>
      <c r="E136" s="25"/>
      <c r="F136" s="23"/>
      <c r="G136" s="45"/>
      <c r="H136" s="23"/>
      <c r="I136" s="23"/>
      <c r="J136" s="28"/>
      <c r="K136" s="23"/>
      <c r="L136" s="25" t="n">
        <v>60</v>
      </c>
      <c r="M136" s="23"/>
      <c r="N136" s="45"/>
      <c r="O136" s="42"/>
      <c r="P136" s="43"/>
      <c r="Q136" s="33"/>
      <c r="R136" s="10" t="n">
        <f aca="false">Q136</f>
        <v>0</v>
      </c>
      <c r="S136" s="10" t="n">
        <f aca="false">A136</f>
        <v>0</v>
      </c>
    </row>
    <row r="137" customFormat="false" ht="20.85" hidden="false" customHeight="true" outlineLevel="0" collapsed="false">
      <c r="A137" s="23"/>
      <c r="B137" s="23" t="s">
        <v>150</v>
      </c>
      <c r="C137" s="46" t="s">
        <v>151</v>
      </c>
      <c r="D137" s="23"/>
      <c r="E137" s="26" t="e">
        <f aca="false">IF(E139&gt;=0.5, 4, 2 + (4 * E139))</f>
        <v>#DIV/0!</v>
      </c>
      <c r="F137" s="23"/>
      <c r="G137" s="35" t="e">
        <f aca="false">E137</f>
        <v>#DIV/0!</v>
      </c>
      <c r="H137" s="23"/>
      <c r="I137" s="23"/>
      <c r="J137" s="28" t="str">
        <f aca="false">IF(ISBLANK(I137), "❌ BELUM ADA DOKUMEN PENDUKUNG", "✅ SILAHKAN AUDITOR MELAKUKAN VERIFIKASI DOKUMEN PENDUKUNGNYA")</f>
        <v>❌ BELUM ADA DOKUMEN PENDUKUNG</v>
      </c>
      <c r="K137" s="23"/>
      <c r="L137" s="26" t="n">
        <f aca="false">IF(L139&gt;=0.5, 4, 2 + (4 * L139))</f>
        <v>4</v>
      </c>
      <c r="M137" s="23"/>
      <c r="N137" s="35" t="n">
        <f aca="false">L137</f>
        <v>4</v>
      </c>
      <c r="O137" s="29"/>
      <c r="P137" s="30"/>
      <c r="Q137" s="33"/>
      <c r="R137" s="10" t="n">
        <f aca="false">Q137</f>
        <v>0</v>
      </c>
      <c r="S137" s="10" t="n">
        <f aca="false">A137</f>
        <v>0</v>
      </c>
    </row>
    <row r="138" customFormat="false" ht="20.85" hidden="false" customHeight="false" outlineLevel="0" collapsed="false">
      <c r="A138" s="23"/>
      <c r="B138" s="23"/>
      <c r="C138" s="46"/>
      <c r="D138" s="23"/>
      <c r="E138" s="26"/>
      <c r="F138" s="23"/>
      <c r="G138" s="37"/>
      <c r="H138" s="23"/>
      <c r="I138" s="23"/>
      <c r="J138" s="28"/>
      <c r="K138" s="28"/>
      <c r="L138" s="26"/>
      <c r="M138" s="23"/>
      <c r="N138" s="37"/>
      <c r="O138" s="38"/>
      <c r="P138" s="39"/>
      <c r="Q138" s="33"/>
      <c r="R138" s="10" t="n">
        <f aca="false">Q138</f>
        <v>0</v>
      </c>
      <c r="S138" s="10" t="n">
        <f aca="false">A138</f>
        <v>0</v>
      </c>
    </row>
    <row r="139" customFormat="false" ht="20.85" hidden="false" customHeight="false" outlineLevel="0" collapsed="false">
      <c r="A139" s="23"/>
      <c r="B139" s="23"/>
      <c r="C139" s="46" t="s">
        <v>152</v>
      </c>
      <c r="D139" s="23"/>
      <c r="E139" s="26" t="e">
        <f aca="false">E140/E141</f>
        <v>#DIV/0!</v>
      </c>
      <c r="F139" s="23"/>
      <c r="G139" s="37"/>
      <c r="H139" s="23"/>
      <c r="I139" s="23"/>
      <c r="J139" s="28"/>
      <c r="K139" s="28"/>
      <c r="L139" s="26" t="n">
        <f aca="false">L140/L141</f>
        <v>14.75</v>
      </c>
      <c r="M139" s="23"/>
      <c r="N139" s="37"/>
      <c r="O139" s="38"/>
      <c r="P139" s="39"/>
      <c r="Q139" s="33"/>
      <c r="R139" s="10" t="n">
        <f aca="false">Q139</f>
        <v>0</v>
      </c>
      <c r="S139" s="10" t="n">
        <f aca="false">A139</f>
        <v>0</v>
      </c>
    </row>
    <row r="140" customFormat="false" ht="20.85" hidden="false" customHeight="false" outlineLevel="0" collapsed="false">
      <c r="A140" s="23"/>
      <c r="B140" s="23"/>
      <c r="C140" s="46" t="s">
        <v>153</v>
      </c>
      <c r="D140" s="23"/>
      <c r="E140" s="25"/>
      <c r="F140" s="23"/>
      <c r="G140" s="37"/>
      <c r="H140" s="23"/>
      <c r="I140" s="23"/>
      <c r="J140" s="28"/>
      <c r="K140" s="28"/>
      <c r="L140" s="25" t="n">
        <v>885</v>
      </c>
      <c r="M140" s="23"/>
      <c r="N140" s="37"/>
      <c r="O140" s="38"/>
      <c r="P140" s="39"/>
      <c r="Q140" s="33"/>
      <c r="R140" s="10" t="n">
        <f aca="false">Q140</f>
        <v>0</v>
      </c>
      <c r="S140" s="10" t="n">
        <f aca="false">A140</f>
        <v>0</v>
      </c>
    </row>
    <row r="141" customFormat="false" ht="39.55" hidden="false" customHeight="false" outlineLevel="0" collapsed="false">
      <c r="A141" s="23"/>
      <c r="B141" s="23"/>
      <c r="C141" s="46" t="s">
        <v>59</v>
      </c>
      <c r="D141" s="23"/>
      <c r="E141" s="25"/>
      <c r="F141" s="23"/>
      <c r="G141" s="45"/>
      <c r="H141" s="23"/>
      <c r="I141" s="23"/>
      <c r="J141" s="28"/>
      <c r="K141" s="23"/>
      <c r="L141" s="25" t="n">
        <v>60</v>
      </c>
      <c r="M141" s="23"/>
      <c r="N141" s="45"/>
      <c r="O141" s="42"/>
      <c r="P141" s="43"/>
      <c r="Q141" s="33"/>
      <c r="R141" s="10" t="n">
        <f aca="false">Q141</f>
        <v>0</v>
      </c>
      <c r="S141" s="10" t="n">
        <f aca="false">A141</f>
        <v>0</v>
      </c>
    </row>
    <row r="142" customFormat="false" ht="20.85" hidden="false" customHeight="true" outlineLevel="0" collapsed="false">
      <c r="A142" s="23"/>
      <c r="B142" s="23" t="s">
        <v>154</v>
      </c>
      <c r="C142" s="46" t="s">
        <v>155</v>
      </c>
      <c r="D142" s="23"/>
      <c r="E142" s="26" t="e">
        <f aca="false">IF(E144&gt;=1, 4, 2 + (2 * E144))</f>
        <v>#DIV/0!</v>
      </c>
      <c r="F142" s="23"/>
      <c r="G142" s="35" t="e">
        <f aca="false">E142</f>
        <v>#DIV/0!</v>
      </c>
      <c r="H142" s="23"/>
      <c r="I142" s="23"/>
      <c r="J142" s="28" t="str">
        <f aca="false">IF(ISBLANK(I142), "❌ BELUM ADA DOKUMEN PENDUKUNG", "✅ SILAHKAN AUDITOR MELAKUKAN VERIFIKASI DOKUMEN PENDUKUNGNYA")</f>
        <v>❌ BELUM ADA DOKUMEN PENDUKUNG</v>
      </c>
      <c r="K142" s="23"/>
      <c r="L142" s="26" t="n">
        <f aca="false">IF(L144&gt;=1, 4, 2 + (2 * L144))</f>
        <v>4</v>
      </c>
      <c r="M142" s="23"/>
      <c r="N142" s="35" t="n">
        <f aca="false">L142</f>
        <v>4</v>
      </c>
      <c r="O142" s="29"/>
      <c r="P142" s="30"/>
      <c r="Q142" s="33"/>
      <c r="R142" s="10" t="n">
        <f aca="false">Q142</f>
        <v>0</v>
      </c>
      <c r="S142" s="10" t="n">
        <f aca="false">A142</f>
        <v>0</v>
      </c>
    </row>
    <row r="143" customFormat="false" ht="37.5" hidden="false" customHeight="true" outlineLevel="0" collapsed="false">
      <c r="A143" s="23"/>
      <c r="B143" s="23"/>
      <c r="C143" s="46"/>
      <c r="D143" s="23"/>
      <c r="E143" s="26"/>
      <c r="F143" s="23"/>
      <c r="G143" s="37"/>
      <c r="H143" s="23"/>
      <c r="I143" s="23"/>
      <c r="J143" s="28"/>
      <c r="K143" s="28"/>
      <c r="L143" s="26"/>
      <c r="M143" s="23"/>
      <c r="N143" s="37"/>
      <c r="O143" s="38"/>
      <c r="P143" s="39"/>
      <c r="Q143" s="33"/>
      <c r="R143" s="10" t="n">
        <f aca="false">Q143</f>
        <v>0</v>
      </c>
      <c r="S143" s="10" t="n">
        <f aca="false">A143</f>
        <v>0</v>
      </c>
    </row>
    <row r="144" customFormat="false" ht="20.85" hidden="false" customHeight="false" outlineLevel="0" collapsed="false">
      <c r="A144" s="23"/>
      <c r="B144" s="23"/>
      <c r="C144" s="46" t="s">
        <v>156</v>
      </c>
      <c r="D144" s="23"/>
      <c r="E144" s="26" t="e">
        <f aca="false">(2*(E145+E146+E147)+E148)/E149</f>
        <v>#DIV/0!</v>
      </c>
      <c r="F144" s="23"/>
      <c r="G144" s="37"/>
      <c r="H144" s="23"/>
      <c r="I144" s="23"/>
      <c r="J144" s="28"/>
      <c r="K144" s="28"/>
      <c r="L144" s="26" t="n">
        <f aca="false">(2*(L145+L146+L147)+L148)/L149</f>
        <v>1.28333333333333</v>
      </c>
      <c r="M144" s="23"/>
      <c r="N144" s="37"/>
      <c r="O144" s="38"/>
      <c r="P144" s="39"/>
      <c r="Q144" s="33"/>
      <c r="R144" s="10" t="n">
        <f aca="false">Q144</f>
        <v>0</v>
      </c>
      <c r="S144" s="10" t="n">
        <f aca="false">A144</f>
        <v>0</v>
      </c>
    </row>
    <row r="145" customFormat="false" ht="26.85" hidden="false" customHeight="false" outlineLevel="0" collapsed="false">
      <c r="A145" s="23"/>
      <c r="B145" s="23"/>
      <c r="C145" s="46" t="s">
        <v>157</v>
      </c>
      <c r="D145" s="23"/>
      <c r="E145" s="25"/>
      <c r="F145" s="23"/>
      <c r="G145" s="37"/>
      <c r="H145" s="23"/>
      <c r="I145" s="23"/>
      <c r="J145" s="28"/>
      <c r="K145" s="28"/>
      <c r="L145" s="25" t="n">
        <v>12</v>
      </c>
      <c r="M145" s="23"/>
      <c r="N145" s="37"/>
      <c r="O145" s="38"/>
      <c r="P145" s="39"/>
      <c r="Q145" s="33"/>
      <c r="R145" s="10" t="n">
        <f aca="false">Q145</f>
        <v>0</v>
      </c>
      <c r="S145" s="10" t="n">
        <f aca="false">A145</f>
        <v>0</v>
      </c>
    </row>
    <row r="146" customFormat="false" ht="52.2" hidden="false" customHeight="false" outlineLevel="0" collapsed="false">
      <c r="A146" s="23"/>
      <c r="B146" s="23"/>
      <c r="C146" s="46" t="s">
        <v>158</v>
      </c>
      <c r="D146" s="23"/>
      <c r="E146" s="25"/>
      <c r="F146" s="23"/>
      <c r="G146" s="37"/>
      <c r="H146" s="23"/>
      <c r="I146" s="23"/>
      <c r="J146" s="28"/>
      <c r="K146" s="28"/>
      <c r="L146" s="25" t="n">
        <v>23</v>
      </c>
      <c r="M146" s="23"/>
      <c r="N146" s="37"/>
      <c r="O146" s="38"/>
      <c r="P146" s="39"/>
      <c r="Q146" s="33"/>
      <c r="R146" s="10" t="n">
        <f aca="false">Q146</f>
        <v>0</v>
      </c>
      <c r="S146" s="10" t="n">
        <f aca="false">A146</f>
        <v>0</v>
      </c>
    </row>
    <row r="147" customFormat="false" ht="39.55" hidden="false" customHeight="false" outlineLevel="0" collapsed="false">
      <c r="A147" s="23"/>
      <c r="B147" s="23"/>
      <c r="C147" s="46" t="s">
        <v>159</v>
      </c>
      <c r="D147" s="23"/>
      <c r="E147" s="25"/>
      <c r="F147" s="23"/>
      <c r="G147" s="37"/>
      <c r="H147" s="23"/>
      <c r="I147" s="23"/>
      <c r="J147" s="28"/>
      <c r="K147" s="28"/>
      <c r="L147" s="25" t="n">
        <v>0</v>
      </c>
      <c r="M147" s="23"/>
      <c r="N147" s="37"/>
      <c r="O147" s="38"/>
      <c r="P147" s="39"/>
      <c r="Q147" s="33"/>
      <c r="R147" s="10" t="n">
        <f aca="false">Q147</f>
        <v>0</v>
      </c>
      <c r="S147" s="10" t="n">
        <f aca="false">A147</f>
        <v>0</v>
      </c>
    </row>
    <row r="148" customFormat="false" ht="26.85" hidden="false" customHeight="false" outlineLevel="0" collapsed="false">
      <c r="A148" s="23"/>
      <c r="B148" s="23"/>
      <c r="C148" s="46" t="s">
        <v>160</v>
      </c>
      <c r="D148" s="23"/>
      <c r="E148" s="25"/>
      <c r="F148" s="23"/>
      <c r="G148" s="37"/>
      <c r="H148" s="23"/>
      <c r="I148" s="23"/>
      <c r="J148" s="28"/>
      <c r="K148" s="28"/>
      <c r="L148" s="25" t="n">
        <v>7</v>
      </c>
      <c r="M148" s="23"/>
      <c r="N148" s="37"/>
      <c r="O148" s="38"/>
      <c r="P148" s="39"/>
      <c r="Q148" s="33"/>
      <c r="R148" s="10" t="n">
        <f aca="false">Q148</f>
        <v>0</v>
      </c>
      <c r="S148" s="10" t="n">
        <f aca="false">A148</f>
        <v>0</v>
      </c>
    </row>
    <row r="149" customFormat="false" ht="39.55" hidden="false" customHeight="false" outlineLevel="0" collapsed="false">
      <c r="A149" s="23"/>
      <c r="B149" s="23"/>
      <c r="C149" s="46" t="s">
        <v>59</v>
      </c>
      <c r="D149" s="23"/>
      <c r="E149" s="25"/>
      <c r="F149" s="23"/>
      <c r="G149" s="45"/>
      <c r="H149" s="23"/>
      <c r="I149" s="23"/>
      <c r="J149" s="28"/>
      <c r="K149" s="23"/>
      <c r="L149" s="25" t="n">
        <v>60</v>
      </c>
      <c r="M149" s="23"/>
      <c r="N149" s="45"/>
      <c r="O149" s="42"/>
      <c r="P149" s="43"/>
      <c r="Q149" s="33"/>
      <c r="R149" s="10" t="n">
        <f aca="false">Q149</f>
        <v>0</v>
      </c>
      <c r="S149" s="10" t="n">
        <f aca="false">A149</f>
        <v>0</v>
      </c>
    </row>
    <row r="150" customFormat="false" ht="20.85" hidden="false" customHeight="true" outlineLevel="0" collapsed="false">
      <c r="A150" s="23"/>
      <c r="B150" s="23" t="s">
        <v>161</v>
      </c>
      <c r="C150" s="46" t="s">
        <v>162</v>
      </c>
      <c r="D150" s="23"/>
      <c r="E150" s="25"/>
      <c r="F150" s="23"/>
      <c r="G150" s="35" t="n">
        <f aca="false">E150</f>
        <v>0</v>
      </c>
      <c r="H150" s="23"/>
      <c r="I150" s="23"/>
      <c r="J150" s="28" t="str">
        <f aca="false">IF(ISBLANK(I150), "❌ BELUM ADA DOKUMEN PENDUKUNG", "✅ SILAHKAN AUDITOR MELAKUKAN VERIFIKASI DOKUMEN PENDUKUNGNYA")</f>
        <v>❌ BELUM ADA DOKUMEN PENDUKUNG</v>
      </c>
      <c r="K150" s="23"/>
      <c r="L150" s="25" t="n">
        <v>3.5</v>
      </c>
      <c r="M150" s="23"/>
      <c r="N150" s="35" t="n">
        <f aca="false">L150</f>
        <v>3.5</v>
      </c>
      <c r="O150" s="29"/>
      <c r="P150" s="30"/>
      <c r="Q150" s="33"/>
      <c r="R150" s="10" t="n">
        <f aca="false">Q150</f>
        <v>0</v>
      </c>
      <c r="S150" s="10" t="n">
        <f aca="false">A150</f>
        <v>0</v>
      </c>
    </row>
    <row r="151" customFormat="false" ht="20.85" hidden="false" customHeight="false" outlineLevel="0" collapsed="false">
      <c r="A151" s="23"/>
      <c r="B151" s="23"/>
      <c r="C151" s="23"/>
      <c r="D151" s="23"/>
      <c r="E151" s="25"/>
      <c r="F151" s="23"/>
      <c r="G151" s="37"/>
      <c r="H151" s="23"/>
      <c r="I151" s="23"/>
      <c r="J151" s="28"/>
      <c r="K151" s="28"/>
      <c r="L151" s="25"/>
      <c r="M151" s="23"/>
      <c r="N151" s="37"/>
      <c r="O151" s="38"/>
      <c r="P151" s="39"/>
      <c r="Q151" s="33"/>
      <c r="R151" s="10" t="n">
        <f aca="false">Q151</f>
        <v>0</v>
      </c>
      <c r="S151" s="10" t="n">
        <f aca="false">A151</f>
        <v>0</v>
      </c>
    </row>
    <row r="152" customFormat="false" ht="20.85" hidden="false" customHeight="false" outlineLevel="0" collapsed="false">
      <c r="A152" s="23"/>
      <c r="B152" s="23"/>
      <c r="C152" s="23"/>
      <c r="D152" s="23"/>
      <c r="E152" s="25"/>
      <c r="F152" s="23"/>
      <c r="G152" s="37"/>
      <c r="H152" s="23"/>
      <c r="I152" s="23"/>
      <c r="J152" s="28"/>
      <c r="K152" s="28"/>
      <c r="L152" s="25"/>
      <c r="M152" s="23"/>
      <c r="N152" s="37"/>
      <c r="O152" s="38"/>
      <c r="P152" s="39"/>
      <c r="Q152" s="33"/>
      <c r="R152" s="10" t="n">
        <f aca="false">Q152</f>
        <v>0</v>
      </c>
      <c r="S152" s="10" t="n">
        <f aca="false">A152</f>
        <v>0</v>
      </c>
    </row>
    <row r="153" customFormat="false" ht="20.85" hidden="false" customHeight="false" outlineLevel="0" collapsed="false">
      <c r="A153" s="23"/>
      <c r="B153" s="23"/>
      <c r="C153" s="23"/>
      <c r="D153" s="23"/>
      <c r="E153" s="25"/>
      <c r="F153" s="23"/>
      <c r="G153" s="37"/>
      <c r="H153" s="23"/>
      <c r="I153" s="23"/>
      <c r="J153" s="28"/>
      <c r="K153" s="28"/>
      <c r="L153" s="25"/>
      <c r="M153" s="23"/>
      <c r="N153" s="37"/>
      <c r="O153" s="38"/>
      <c r="P153" s="39"/>
      <c r="Q153" s="33"/>
      <c r="R153" s="10" t="n">
        <f aca="false">Q153</f>
        <v>0</v>
      </c>
      <c r="S153" s="10" t="n">
        <f aca="false">A153</f>
        <v>0</v>
      </c>
    </row>
    <row r="154" customFormat="false" ht="20.85" hidden="false" customHeight="false" outlineLevel="0" collapsed="false">
      <c r="A154" s="23"/>
      <c r="B154" s="23"/>
      <c r="C154" s="23"/>
      <c r="D154" s="23"/>
      <c r="E154" s="25"/>
      <c r="F154" s="23"/>
      <c r="G154" s="37"/>
      <c r="H154" s="23"/>
      <c r="I154" s="23"/>
      <c r="J154" s="28"/>
      <c r="K154" s="28"/>
      <c r="L154" s="25"/>
      <c r="M154" s="23"/>
      <c r="N154" s="37"/>
      <c r="O154" s="38"/>
      <c r="P154" s="39"/>
      <c r="Q154" s="33"/>
      <c r="R154" s="10" t="n">
        <f aca="false">Q154</f>
        <v>0</v>
      </c>
      <c r="S154" s="10" t="n">
        <f aca="false">A154</f>
        <v>0</v>
      </c>
    </row>
    <row r="155" customFormat="false" ht="20.85" hidden="false" customHeight="false" outlineLevel="0" collapsed="false">
      <c r="A155" s="23"/>
      <c r="B155" s="23"/>
      <c r="C155" s="23"/>
      <c r="D155" s="23"/>
      <c r="E155" s="25"/>
      <c r="F155" s="23"/>
      <c r="G155" s="37"/>
      <c r="H155" s="23"/>
      <c r="I155" s="23"/>
      <c r="J155" s="28"/>
      <c r="K155" s="28"/>
      <c r="L155" s="25"/>
      <c r="M155" s="23"/>
      <c r="N155" s="37"/>
      <c r="O155" s="38"/>
      <c r="P155" s="39"/>
      <c r="Q155" s="33"/>
      <c r="R155" s="10" t="n">
        <f aca="false">Q155</f>
        <v>0</v>
      </c>
      <c r="S155" s="10" t="n">
        <f aca="false">A155</f>
        <v>0</v>
      </c>
    </row>
    <row r="156" customFormat="false" ht="20.85" hidden="false" customHeight="false" outlineLevel="0" collapsed="false">
      <c r="A156" s="23"/>
      <c r="B156" s="23"/>
      <c r="C156" s="23"/>
      <c r="D156" s="23"/>
      <c r="E156" s="25"/>
      <c r="F156" s="23"/>
      <c r="G156" s="37"/>
      <c r="H156" s="23"/>
      <c r="I156" s="23"/>
      <c r="J156" s="28"/>
      <c r="K156" s="28"/>
      <c r="L156" s="25"/>
      <c r="M156" s="23"/>
      <c r="N156" s="37"/>
      <c r="O156" s="38"/>
      <c r="P156" s="39"/>
      <c r="Q156" s="33"/>
      <c r="R156" s="10" t="n">
        <f aca="false">Q156</f>
        <v>0</v>
      </c>
      <c r="S156" s="10" t="n">
        <f aca="false">A156</f>
        <v>0</v>
      </c>
    </row>
    <row r="157" customFormat="false" ht="20.85" hidden="false" customHeight="false" outlineLevel="0" collapsed="false">
      <c r="A157" s="23"/>
      <c r="B157" s="23"/>
      <c r="C157" s="23"/>
      <c r="D157" s="23"/>
      <c r="E157" s="25"/>
      <c r="F157" s="23"/>
      <c r="G157" s="37"/>
      <c r="H157" s="23"/>
      <c r="I157" s="23"/>
      <c r="J157" s="28"/>
      <c r="K157" s="28"/>
      <c r="L157" s="25"/>
      <c r="M157" s="23"/>
      <c r="N157" s="37"/>
      <c r="O157" s="38"/>
      <c r="P157" s="39"/>
      <c r="Q157" s="33"/>
      <c r="R157" s="10" t="n">
        <f aca="false">Q157</f>
        <v>0</v>
      </c>
      <c r="S157" s="10" t="n">
        <f aca="false">A157</f>
        <v>0</v>
      </c>
    </row>
    <row r="158" customFormat="false" ht="87" hidden="false" customHeight="true" outlineLevel="0" collapsed="false">
      <c r="A158" s="23"/>
      <c r="B158" s="23"/>
      <c r="C158" s="23"/>
      <c r="D158" s="23"/>
      <c r="E158" s="25"/>
      <c r="F158" s="23"/>
      <c r="G158" s="45"/>
      <c r="H158" s="23"/>
      <c r="I158" s="23"/>
      <c r="J158" s="28"/>
      <c r="K158" s="23"/>
      <c r="L158" s="25"/>
      <c r="M158" s="23"/>
      <c r="N158" s="45"/>
      <c r="O158" s="42"/>
      <c r="P158" s="43"/>
      <c r="Q158" s="33"/>
      <c r="R158" s="10" t="n">
        <f aca="false">Q158</f>
        <v>0</v>
      </c>
      <c r="S158" s="10" t="n">
        <f aca="false">A158</f>
        <v>0</v>
      </c>
    </row>
    <row r="159" customFormat="false" ht="283.55" hidden="false" customHeight="false" outlineLevel="0" collapsed="false">
      <c r="A159" s="23"/>
      <c r="B159" s="36" t="s">
        <v>163</v>
      </c>
      <c r="C159" s="24" t="s">
        <v>164</v>
      </c>
      <c r="D159" s="23"/>
      <c r="E159" s="25"/>
      <c r="F159" s="23"/>
      <c r="G159" s="35" t="n">
        <f aca="false">E161</f>
        <v>0</v>
      </c>
      <c r="H159" s="23"/>
      <c r="I159" s="23"/>
      <c r="J159" s="28" t="str">
        <f aca="false">IF(ISBLANK(I159), "❌ BELUM ADA DOKUMEN PENDUKUNG", "✅ SILAHKAN AUDITOR MELAKUKAN VERIFIKASI DOKUMEN PENDUKUNGNYA")</f>
        <v>❌ BELUM ADA DOKUMEN PENDUKUNG</v>
      </c>
      <c r="K159" s="23"/>
      <c r="L159" s="25" t="n">
        <v>3.5</v>
      </c>
      <c r="M159" s="23"/>
      <c r="N159" s="35" t="n">
        <f aca="false">L161</f>
        <v>3.25</v>
      </c>
      <c r="O159" s="29"/>
      <c r="P159" s="30"/>
      <c r="Q159" s="33"/>
      <c r="R159" s="10" t="n">
        <f aca="false">Q159</f>
        <v>0</v>
      </c>
      <c r="S159" s="10" t="n">
        <f aca="false">A159</f>
        <v>0</v>
      </c>
    </row>
    <row r="160" customFormat="false" ht="270.1" hidden="false" customHeight="false" outlineLevel="0" collapsed="false">
      <c r="A160" s="23"/>
      <c r="B160" s="44" t="s">
        <v>165</v>
      </c>
      <c r="C160" s="24" t="s">
        <v>166</v>
      </c>
      <c r="D160" s="23"/>
      <c r="E160" s="25"/>
      <c r="F160" s="23"/>
      <c r="G160" s="37"/>
      <c r="H160" s="23"/>
      <c r="I160" s="23"/>
      <c r="J160" s="28" t="str">
        <f aca="false">IF(ISBLANK(I160), "❌ BELUM ADA DOKUMEN PENDUKUNG", "✅ SILAHKAN AUDITOR MELAKUKAN VERIFIKASI DOKUMEN PENDUKUNGNYA")</f>
        <v>❌ BELUM ADA DOKUMEN PENDUKUNG</v>
      </c>
      <c r="K160" s="23"/>
      <c r="L160" s="25" t="n">
        <v>3</v>
      </c>
      <c r="M160" s="23"/>
      <c r="N160" s="37"/>
      <c r="O160" s="29"/>
      <c r="P160" s="30"/>
      <c r="Q160" s="33"/>
      <c r="R160" s="10" t="n">
        <f aca="false">Q160</f>
        <v>0</v>
      </c>
      <c r="S160" s="10" t="n">
        <f aca="false">A160</f>
        <v>0</v>
      </c>
    </row>
    <row r="161" customFormat="false" ht="20.85" hidden="false" customHeight="false" outlineLevel="0" collapsed="false">
      <c r="A161" s="23"/>
      <c r="B161" s="44"/>
      <c r="C161" s="40" t="s">
        <v>167</v>
      </c>
      <c r="D161" s="23"/>
      <c r="E161" s="26" t="n">
        <f aca="false">(E159+E160)/2</f>
        <v>0</v>
      </c>
      <c r="F161" s="23"/>
      <c r="G161" s="45"/>
      <c r="H161" s="23"/>
      <c r="I161" s="23"/>
      <c r="J161" s="28"/>
      <c r="K161" s="23"/>
      <c r="L161" s="26" t="n">
        <f aca="false">(L159+L160)/2</f>
        <v>3.25</v>
      </c>
      <c r="M161" s="23"/>
      <c r="N161" s="45"/>
      <c r="O161" s="42"/>
      <c r="P161" s="43"/>
      <c r="Q161" s="33"/>
      <c r="R161" s="10" t="n">
        <f aca="false">Q161</f>
        <v>0</v>
      </c>
      <c r="S161" s="10" t="n">
        <f aca="false">A161</f>
        <v>0</v>
      </c>
    </row>
    <row r="162" customFormat="false" ht="98.5" hidden="false" customHeight="true" outlineLevel="0" collapsed="false">
      <c r="A162" s="32" t="s">
        <v>168</v>
      </c>
      <c r="B162" s="23" t="s">
        <v>169</v>
      </c>
      <c r="C162" s="46" t="s">
        <v>170</v>
      </c>
      <c r="D162" s="23"/>
      <c r="E162" s="26" t="n">
        <f aca="false">IF(E164&gt;=20,4,E164/5)</f>
        <v>0</v>
      </c>
      <c r="F162" s="47"/>
      <c r="G162" s="35" t="n">
        <f aca="false">E162</f>
        <v>0</v>
      </c>
      <c r="H162" s="23"/>
      <c r="I162" s="23"/>
      <c r="J162" s="28" t="str">
        <f aca="false">IF(ISBLANK(I162), "❌ BELUM ADA DOKUMEN PENDUKUNG", "✅ SILAHKAN AUDITOR MELAKUKAN VERIFIKASI DOKUMEN PENDUKUNGNYA")</f>
        <v>❌ BELUM ADA DOKUMEN PENDUKUNG</v>
      </c>
      <c r="K162" s="23"/>
      <c r="L162" s="26" t="n">
        <f aca="false">IF(L164&gt;=20,4,L164/5)</f>
        <v>0.8</v>
      </c>
      <c r="M162" s="47"/>
      <c r="N162" s="35" t="n">
        <f aca="false">L162</f>
        <v>0.8</v>
      </c>
      <c r="O162" s="29"/>
      <c r="P162" s="30"/>
      <c r="Q162" s="48" t="n">
        <f aca="false">AVERAGE(N171,N172,N173)</f>
        <v>3.25</v>
      </c>
      <c r="R162" s="10" t="n">
        <f aca="false">Q162</f>
        <v>3.25</v>
      </c>
      <c r="S162" s="10" t="str">
        <f aca="false">A162</f>
        <v>Kriteria 5 - Keuangan,Sarana danPrasarana</v>
      </c>
    </row>
    <row r="163" customFormat="false" ht="20.85" hidden="false" customHeight="false" outlineLevel="0" collapsed="false">
      <c r="A163" s="32"/>
      <c r="B163" s="32"/>
      <c r="C163" s="46" t="s">
        <v>171</v>
      </c>
      <c r="D163" s="23"/>
      <c r="E163" s="26"/>
      <c r="F163" s="47"/>
      <c r="G163" s="37"/>
      <c r="H163" s="23"/>
      <c r="I163" s="23"/>
      <c r="J163" s="28"/>
      <c r="K163" s="28"/>
      <c r="L163" s="26"/>
      <c r="M163" s="47"/>
      <c r="N163" s="37"/>
      <c r="O163" s="38"/>
      <c r="P163" s="39"/>
      <c r="Q163" s="48"/>
      <c r="R163" s="10" t="n">
        <f aca="false">Q163</f>
        <v>0</v>
      </c>
      <c r="S163" s="10" t="n">
        <f aca="false">A163</f>
        <v>0</v>
      </c>
    </row>
    <row r="164" customFormat="false" ht="26.85" hidden="false" customHeight="false" outlineLevel="0" collapsed="false">
      <c r="A164" s="32"/>
      <c r="B164" s="23"/>
      <c r="C164" s="46" t="s">
        <v>172</v>
      </c>
      <c r="D164" s="23"/>
      <c r="E164" s="25"/>
      <c r="F164" s="47"/>
      <c r="G164" s="37"/>
      <c r="H164" s="23"/>
      <c r="I164" s="23"/>
      <c r="J164" s="28"/>
      <c r="K164" s="28"/>
      <c r="L164" s="25" t="n">
        <v>4</v>
      </c>
      <c r="M164" s="47"/>
      <c r="N164" s="37"/>
      <c r="O164" s="38"/>
      <c r="P164" s="39"/>
      <c r="Q164" s="48"/>
      <c r="R164" s="10" t="n">
        <f aca="false">Q164</f>
        <v>0</v>
      </c>
      <c r="S164" s="10" t="n">
        <f aca="false">A164</f>
        <v>0</v>
      </c>
    </row>
    <row r="165" customFormat="false" ht="20.85" hidden="false" customHeight="true" outlineLevel="0" collapsed="false">
      <c r="A165" s="32"/>
      <c r="B165" s="23" t="s">
        <v>173</v>
      </c>
      <c r="C165" s="46" t="s">
        <v>174</v>
      </c>
      <c r="D165" s="23"/>
      <c r="E165" s="26" t="n">
        <f aca="false">IF(E167&gt;=10,4,(2*E167)/5)</f>
        <v>0</v>
      </c>
      <c r="F165" s="47"/>
      <c r="G165" s="35" t="n">
        <f aca="false">E165</f>
        <v>0</v>
      </c>
      <c r="H165" s="23"/>
      <c r="I165" s="23"/>
      <c r="J165" s="28"/>
      <c r="K165" s="28"/>
      <c r="L165" s="26" t="n">
        <f aca="false">IF(L167&gt;=10,4,(2*L167)/5)</f>
        <v>1.6</v>
      </c>
      <c r="M165" s="47"/>
      <c r="N165" s="35" t="n">
        <f aca="false">L165</f>
        <v>1.6</v>
      </c>
      <c r="O165" s="29"/>
      <c r="P165" s="30"/>
      <c r="Q165" s="48"/>
      <c r="R165" s="10" t="n">
        <f aca="false">Q165</f>
        <v>0</v>
      </c>
      <c r="S165" s="10" t="n">
        <f aca="false">A165</f>
        <v>0</v>
      </c>
    </row>
    <row r="166" customFormat="false" ht="20.85" hidden="false" customHeight="false" outlineLevel="0" collapsed="false">
      <c r="A166" s="32"/>
      <c r="B166" s="32"/>
      <c r="C166" s="46" t="s">
        <v>175</v>
      </c>
      <c r="D166" s="23"/>
      <c r="E166" s="26"/>
      <c r="F166" s="47"/>
      <c r="G166" s="37"/>
      <c r="H166" s="23"/>
      <c r="I166" s="23"/>
      <c r="J166" s="28"/>
      <c r="K166" s="28"/>
      <c r="L166" s="26"/>
      <c r="M166" s="47"/>
      <c r="N166" s="37"/>
      <c r="O166" s="38"/>
      <c r="P166" s="39"/>
      <c r="Q166" s="48"/>
      <c r="R166" s="10" t="n">
        <f aca="false">Q166</f>
        <v>0</v>
      </c>
      <c r="S166" s="10" t="n">
        <f aca="false">A166</f>
        <v>0</v>
      </c>
    </row>
    <row r="167" customFormat="false" ht="26.85" hidden="false" customHeight="false" outlineLevel="0" collapsed="false">
      <c r="A167" s="32"/>
      <c r="B167" s="23"/>
      <c r="C167" s="46" t="s">
        <v>176</v>
      </c>
      <c r="D167" s="23"/>
      <c r="E167" s="25"/>
      <c r="F167" s="47"/>
      <c r="G167" s="37"/>
      <c r="H167" s="23"/>
      <c r="I167" s="23"/>
      <c r="J167" s="28"/>
      <c r="K167" s="28"/>
      <c r="L167" s="25" t="n">
        <v>4</v>
      </c>
      <c r="M167" s="47"/>
      <c r="N167" s="37"/>
      <c r="O167" s="38"/>
      <c r="P167" s="39"/>
      <c r="Q167" s="48"/>
      <c r="R167" s="10" t="n">
        <f aca="false">Q167</f>
        <v>0</v>
      </c>
      <c r="S167" s="10" t="n">
        <f aca="false">A167</f>
        <v>0</v>
      </c>
    </row>
    <row r="168" customFormat="false" ht="20.85" hidden="false" customHeight="true" outlineLevel="0" collapsed="false">
      <c r="A168" s="32"/>
      <c r="B168" s="23" t="s">
        <v>177</v>
      </c>
      <c r="C168" s="46" t="s">
        <v>178</v>
      </c>
      <c r="D168" s="23"/>
      <c r="E168" s="26" t="n">
        <f aca="false">IF(E170&gt;=5,4,(4*E170)/5)</f>
        <v>0</v>
      </c>
      <c r="F168" s="47"/>
      <c r="G168" s="35" t="n">
        <f aca="false">E168</f>
        <v>0</v>
      </c>
      <c r="H168" s="23"/>
      <c r="I168" s="23"/>
      <c r="J168" s="28"/>
      <c r="K168" s="28"/>
      <c r="L168" s="26" t="n">
        <f aca="false">IF(L170&gt;=5,4,(4*L170)/5)</f>
        <v>3.2</v>
      </c>
      <c r="M168" s="47"/>
      <c r="N168" s="35" t="n">
        <f aca="false">L168</f>
        <v>3.2</v>
      </c>
      <c r="O168" s="29"/>
      <c r="P168" s="30"/>
      <c r="Q168" s="48"/>
      <c r="R168" s="10" t="n">
        <f aca="false">Q168</f>
        <v>0</v>
      </c>
      <c r="S168" s="10" t="n">
        <f aca="false">A168</f>
        <v>0</v>
      </c>
    </row>
    <row r="169" customFormat="false" ht="20.85" hidden="false" customHeight="false" outlineLevel="0" collapsed="false">
      <c r="A169" s="32"/>
      <c r="B169" s="32"/>
      <c r="C169" s="46" t="s">
        <v>179</v>
      </c>
      <c r="D169" s="23"/>
      <c r="E169" s="26"/>
      <c r="F169" s="47"/>
      <c r="G169" s="37"/>
      <c r="H169" s="23"/>
      <c r="I169" s="23"/>
      <c r="J169" s="28"/>
      <c r="K169" s="28"/>
      <c r="L169" s="26"/>
      <c r="M169" s="47"/>
      <c r="N169" s="37"/>
      <c r="O169" s="38"/>
      <c r="P169" s="39"/>
      <c r="Q169" s="48"/>
      <c r="R169" s="10" t="n">
        <f aca="false">Q169</f>
        <v>0</v>
      </c>
      <c r="S169" s="10" t="n">
        <f aca="false">A169</f>
        <v>0</v>
      </c>
    </row>
    <row r="170" customFormat="false" ht="26.85" hidden="false" customHeight="false" outlineLevel="0" collapsed="false">
      <c r="A170" s="32"/>
      <c r="B170" s="23"/>
      <c r="C170" s="46" t="s">
        <v>180</v>
      </c>
      <c r="D170" s="23"/>
      <c r="E170" s="25"/>
      <c r="F170" s="47"/>
      <c r="G170" s="37"/>
      <c r="H170" s="23"/>
      <c r="I170" s="23"/>
      <c r="J170" s="28"/>
      <c r="K170" s="23"/>
      <c r="L170" s="25" t="n">
        <v>4</v>
      </c>
      <c r="M170" s="47"/>
      <c r="N170" s="37"/>
      <c r="O170" s="38"/>
      <c r="P170" s="39"/>
      <c r="Q170" s="48"/>
      <c r="R170" s="10" t="n">
        <f aca="false">Q170</f>
        <v>0</v>
      </c>
      <c r="S170" s="10" t="n">
        <f aca="false">A170</f>
        <v>0</v>
      </c>
    </row>
    <row r="171" customFormat="false" ht="256.7" hidden="false" customHeight="false" outlineLevel="0" collapsed="false">
      <c r="A171" s="32"/>
      <c r="B171" s="23" t="s">
        <v>181</v>
      </c>
      <c r="C171" s="24" t="s">
        <v>182</v>
      </c>
      <c r="D171" s="23"/>
      <c r="E171" s="25"/>
      <c r="F171" s="23"/>
      <c r="G171" s="26" t="n">
        <f aca="false">E171</f>
        <v>0</v>
      </c>
      <c r="H171" s="23"/>
      <c r="I171" s="23"/>
      <c r="J171" s="28" t="str">
        <f aca="false">IF(ISBLANK(I171), "❌ BELUM ADA DOKUMEN PENDUKUNG", "✅ SILAHKAN AUDITOR MELAKUKAN VERIFIKASI DOKUMEN PENDUKUNGNYA")</f>
        <v>❌ BELUM ADA DOKUMEN PENDUKUNG</v>
      </c>
      <c r="K171" s="23"/>
      <c r="L171" s="25" t="n">
        <v>3.5</v>
      </c>
      <c r="M171" s="23"/>
      <c r="N171" s="26" t="n">
        <f aca="false">L171</f>
        <v>3.5</v>
      </c>
      <c r="O171" s="29"/>
      <c r="P171" s="30"/>
      <c r="Q171" s="48"/>
      <c r="R171" s="10" t="n">
        <f aca="false">Q171</f>
        <v>0</v>
      </c>
      <c r="S171" s="10" t="n">
        <f aca="false">A171</f>
        <v>0</v>
      </c>
    </row>
    <row r="172" customFormat="false" ht="202.95" hidden="false" customHeight="false" outlineLevel="0" collapsed="false">
      <c r="A172" s="32"/>
      <c r="B172" s="23" t="s">
        <v>183</v>
      </c>
      <c r="C172" s="24" t="s">
        <v>184</v>
      </c>
      <c r="D172" s="23"/>
      <c r="E172" s="25"/>
      <c r="F172" s="23"/>
      <c r="G172" s="26" t="n">
        <f aca="false">E172</f>
        <v>0</v>
      </c>
      <c r="H172" s="23"/>
      <c r="I172" s="23"/>
      <c r="J172" s="28" t="str">
        <f aca="false">IF(ISBLANK(I172), "❌ BELUM ADA DOKUMEN PENDUKUNG", "✅ SILAHKAN AUDITOR MELAKUKAN VERIFIKASI DOKUMEN PENDUKUNGNYA")</f>
        <v>❌ BELUM ADA DOKUMEN PENDUKUNG</v>
      </c>
      <c r="K172" s="23"/>
      <c r="L172" s="25" t="n">
        <v>3</v>
      </c>
      <c r="M172" s="23"/>
      <c r="N172" s="26" t="n">
        <f aca="false">L172</f>
        <v>3</v>
      </c>
      <c r="O172" s="29"/>
      <c r="P172" s="30"/>
      <c r="Q172" s="48"/>
      <c r="R172" s="10" t="n">
        <f aca="false">Q172</f>
        <v>0</v>
      </c>
      <c r="S172" s="10" t="n">
        <f aca="false">A172</f>
        <v>0</v>
      </c>
    </row>
    <row r="173" customFormat="false" ht="216.4" hidden="false" customHeight="false" outlineLevel="0" collapsed="false">
      <c r="A173" s="32"/>
      <c r="B173" s="23" t="s">
        <v>185</v>
      </c>
      <c r="C173" s="24" t="s">
        <v>186</v>
      </c>
      <c r="D173" s="23"/>
      <c r="E173" s="25"/>
      <c r="F173" s="23"/>
      <c r="G173" s="26" t="n">
        <f aca="false">E173</f>
        <v>0</v>
      </c>
      <c r="H173" s="23"/>
      <c r="I173" s="23"/>
      <c r="J173" s="28" t="str">
        <f aca="false">IF(ISBLANK(I173), "❌ BELUM ADA DOKUMEN PENDUKUNG", "✅ SILAHKAN AUDITOR MELAKUKAN VERIFIKASI DOKUMEN PENDUKUNGNYA")</f>
        <v>❌ BELUM ADA DOKUMEN PENDUKUNG</v>
      </c>
      <c r="K173" s="23"/>
      <c r="L173" s="25" t="n">
        <v>3.25</v>
      </c>
      <c r="M173" s="23"/>
      <c r="N173" s="26" t="n">
        <f aca="false">L173</f>
        <v>3.25</v>
      </c>
      <c r="O173" s="29"/>
      <c r="P173" s="30"/>
      <c r="Q173" s="48"/>
      <c r="R173" s="10" t="n">
        <f aca="false">Q173</f>
        <v>0</v>
      </c>
      <c r="S173" s="10" t="n">
        <f aca="false">A173</f>
        <v>0</v>
      </c>
    </row>
    <row r="174" customFormat="false" ht="243.25" hidden="false" customHeight="true" outlineLevel="0" collapsed="false">
      <c r="A174" s="23" t="s">
        <v>187</v>
      </c>
      <c r="B174" s="36" t="s">
        <v>188</v>
      </c>
      <c r="C174" s="24" t="s">
        <v>189</v>
      </c>
      <c r="D174" s="23"/>
      <c r="E174" s="25"/>
      <c r="F174" s="23"/>
      <c r="G174" s="35" t="n">
        <f aca="false">E177</f>
        <v>0</v>
      </c>
      <c r="H174" s="23"/>
      <c r="I174" s="23"/>
      <c r="J174" s="28" t="str">
        <f aca="false">IF(ISBLANK(I174), "❌ BELUM ADA DOKUMEN PENDUKUNG", "✅ SILAHKAN AUDITOR MELAKUKAN VERIFIKASI DOKUMEN PENDUKUNGNYA")</f>
        <v>❌ BELUM ADA DOKUMEN PENDUKUNG</v>
      </c>
      <c r="K174" s="23"/>
      <c r="L174" s="25" t="n">
        <v>3.75</v>
      </c>
      <c r="M174" s="23"/>
      <c r="N174" s="35" t="n">
        <f aca="false">L177</f>
        <v>3.35</v>
      </c>
      <c r="O174" s="29"/>
      <c r="P174" s="30"/>
      <c r="Q174" s="33" t="n">
        <f aca="false">AVERAGE(N174,N178,N179,N182,N188,N193,N194,N198,N202,N203,N247)</f>
        <v>3.32979797979798</v>
      </c>
      <c r="R174" s="10" t="n">
        <f aca="false">Q174</f>
        <v>3.32979797979798</v>
      </c>
      <c r="S174" s="10" t="str">
        <f aca="false">A174</f>
        <v>Kriteria 6 - Pendidikan</v>
      </c>
    </row>
    <row r="175" customFormat="false" ht="256.7" hidden="false" customHeight="false" outlineLevel="0" collapsed="false">
      <c r="A175" s="23"/>
      <c r="B175" s="36" t="s">
        <v>190</v>
      </c>
      <c r="C175" s="24" t="s">
        <v>191</v>
      </c>
      <c r="D175" s="23"/>
      <c r="E175" s="25"/>
      <c r="F175" s="23"/>
      <c r="G175" s="37"/>
      <c r="H175" s="23"/>
      <c r="I175" s="23"/>
      <c r="J175" s="28" t="str">
        <f aca="false">IF(ISBLANK(I175), "❌ BELUM ADA DOKUMEN PENDUKUNG", "✅ SILAHKAN AUDITOR MELAKUKAN VERIFIKASI DOKUMEN PENDUKUNGNYA")</f>
        <v>❌ BELUM ADA DOKUMEN PENDUKUNG</v>
      </c>
      <c r="K175" s="23"/>
      <c r="L175" s="25" t="n">
        <v>3.5</v>
      </c>
      <c r="M175" s="23"/>
      <c r="N175" s="37"/>
      <c r="O175" s="38"/>
      <c r="P175" s="39"/>
      <c r="Q175" s="33"/>
      <c r="R175" s="10" t="n">
        <f aca="false">Q175</f>
        <v>0</v>
      </c>
      <c r="S175" s="10" t="n">
        <f aca="false">A175</f>
        <v>0</v>
      </c>
    </row>
    <row r="176" customFormat="false" ht="243.25" hidden="false" customHeight="false" outlineLevel="0" collapsed="false">
      <c r="A176" s="23"/>
      <c r="B176" s="36" t="s">
        <v>192</v>
      </c>
      <c r="C176" s="24" t="s">
        <v>193</v>
      </c>
      <c r="D176" s="23"/>
      <c r="E176" s="25"/>
      <c r="F176" s="23"/>
      <c r="G176" s="37"/>
      <c r="H176" s="23"/>
      <c r="I176" s="23"/>
      <c r="J176" s="28" t="str">
        <f aca="false">IF(ISBLANK(I176), "❌ BELUM ADA DOKUMEN PENDUKUNG", "✅ SILAHKAN AUDITOR MELAKUKAN VERIFIKASI DOKUMEN PENDUKUNGNYA")</f>
        <v>❌ BELUM ADA DOKUMEN PENDUKUNG</v>
      </c>
      <c r="K176" s="23"/>
      <c r="L176" s="25" t="n">
        <v>3</v>
      </c>
      <c r="M176" s="23"/>
      <c r="N176" s="37"/>
      <c r="O176" s="38"/>
      <c r="P176" s="39"/>
      <c r="Q176" s="33"/>
      <c r="R176" s="10" t="n">
        <f aca="false">Q176</f>
        <v>0</v>
      </c>
      <c r="S176" s="10" t="n">
        <f aca="false">A176</f>
        <v>0</v>
      </c>
    </row>
    <row r="177" customFormat="false" ht="20.85" hidden="false" customHeight="false" outlineLevel="0" collapsed="false">
      <c r="A177" s="23"/>
      <c r="B177" s="36"/>
      <c r="C177" s="40" t="s">
        <v>194</v>
      </c>
      <c r="D177" s="23"/>
      <c r="E177" s="26" t="n">
        <f aca="false">(E174+(2*E175)+(2*E176))/5</f>
        <v>0</v>
      </c>
      <c r="F177" s="23"/>
      <c r="G177" s="45"/>
      <c r="H177" s="23"/>
      <c r="I177" s="23"/>
      <c r="J177" s="28"/>
      <c r="K177" s="23"/>
      <c r="L177" s="26" t="n">
        <f aca="false">(L174+(2*L175)+(2*L176))/5</f>
        <v>3.35</v>
      </c>
      <c r="M177" s="23"/>
      <c r="N177" s="45"/>
      <c r="O177" s="42"/>
      <c r="P177" s="43"/>
      <c r="Q177" s="33"/>
      <c r="R177" s="10" t="n">
        <f aca="false">Q177</f>
        <v>0</v>
      </c>
      <c r="S177" s="10" t="n">
        <f aca="false">A177</f>
        <v>0</v>
      </c>
    </row>
    <row r="178" customFormat="false" ht="189.55" hidden="false" customHeight="false" outlineLevel="0" collapsed="false">
      <c r="A178" s="23"/>
      <c r="B178" s="23" t="s">
        <v>195</v>
      </c>
      <c r="C178" s="24" t="s">
        <v>196</v>
      </c>
      <c r="D178" s="23"/>
      <c r="E178" s="25"/>
      <c r="F178" s="23"/>
      <c r="G178" s="26" t="n">
        <f aca="false">E178</f>
        <v>0</v>
      </c>
      <c r="H178" s="23"/>
      <c r="I178" s="23"/>
      <c r="J178" s="28" t="str">
        <f aca="false">IF(ISBLANK(I178), "❌ BELUM ADA DOKUMEN PENDUKUNG", "✅ SILAHKAN AUDITOR MELAKUKAN VERIFIKASI DOKUMEN PENDUKUNGNYA")</f>
        <v>❌ BELUM ADA DOKUMEN PENDUKUNG</v>
      </c>
      <c r="K178" s="23"/>
      <c r="L178" s="25" t="n">
        <v>3</v>
      </c>
      <c r="M178" s="23"/>
      <c r="N178" s="26" t="n">
        <f aca="false">L178</f>
        <v>3</v>
      </c>
      <c r="O178" s="29"/>
      <c r="P178" s="30"/>
      <c r="Q178" s="33"/>
      <c r="R178" s="10" t="n">
        <f aca="false">Q178</f>
        <v>0</v>
      </c>
      <c r="S178" s="10" t="n">
        <f aca="false">A178</f>
        <v>0</v>
      </c>
    </row>
    <row r="179" customFormat="false" ht="297" hidden="false" customHeight="false" outlineLevel="0" collapsed="false">
      <c r="A179" s="23"/>
      <c r="B179" s="36" t="s">
        <v>197</v>
      </c>
      <c r="C179" s="24" t="s">
        <v>198</v>
      </c>
      <c r="D179" s="23"/>
      <c r="E179" s="25"/>
      <c r="F179" s="23"/>
      <c r="G179" s="35" t="n">
        <f aca="false">E181</f>
        <v>0</v>
      </c>
      <c r="H179" s="23"/>
      <c r="I179" s="23"/>
      <c r="J179" s="28" t="str">
        <f aca="false">IF(ISBLANK(I179), "❌ BELUM ADA DOKUMEN PENDUKUNG", "✅ SILAHKAN AUDITOR MELAKUKAN VERIFIKASI DOKUMEN PENDUKUNGNYA")</f>
        <v>❌ BELUM ADA DOKUMEN PENDUKUNG</v>
      </c>
      <c r="K179" s="23"/>
      <c r="L179" s="25" t="n">
        <v>3</v>
      </c>
      <c r="M179" s="23"/>
      <c r="N179" s="35" t="n">
        <f aca="false">L181</f>
        <v>3</v>
      </c>
      <c r="O179" s="29"/>
      <c r="P179" s="30"/>
      <c r="Q179" s="33"/>
      <c r="R179" s="10" t="n">
        <f aca="false">Q179</f>
        <v>0</v>
      </c>
      <c r="S179" s="10" t="n">
        <f aca="false">A179</f>
        <v>0</v>
      </c>
    </row>
    <row r="180" customFormat="false" ht="216.4" hidden="false" customHeight="false" outlineLevel="0" collapsed="false">
      <c r="A180" s="23"/>
      <c r="B180" s="36" t="s">
        <v>199</v>
      </c>
      <c r="C180" s="24" t="s">
        <v>200</v>
      </c>
      <c r="D180" s="23"/>
      <c r="E180" s="25"/>
      <c r="F180" s="23"/>
      <c r="G180" s="37"/>
      <c r="H180" s="23"/>
      <c r="I180" s="23"/>
      <c r="J180" s="28" t="str">
        <f aca="false">IF(ISBLANK(I180), "❌ BELUM ADA DOKUMEN PENDUKUNG", "✅ SILAHKAN AUDITOR MELAKUKAN VERIFIKASI DOKUMEN PENDUKUNGNYA")</f>
        <v>❌ BELUM ADA DOKUMEN PENDUKUNG</v>
      </c>
      <c r="K180" s="23"/>
      <c r="L180" s="25" t="n">
        <v>3</v>
      </c>
      <c r="M180" s="23"/>
      <c r="N180" s="37"/>
      <c r="O180" s="38"/>
      <c r="P180" s="39"/>
      <c r="Q180" s="33"/>
      <c r="R180" s="10" t="n">
        <f aca="false">Q180</f>
        <v>0</v>
      </c>
      <c r="S180" s="10" t="n">
        <f aca="false">A180</f>
        <v>0</v>
      </c>
    </row>
    <row r="181" customFormat="false" ht="20.85" hidden="false" customHeight="false" outlineLevel="0" collapsed="false">
      <c r="A181" s="23"/>
      <c r="B181" s="36"/>
      <c r="C181" s="34" t="s">
        <v>45</v>
      </c>
      <c r="D181" s="23"/>
      <c r="E181" s="26" t="n">
        <f aca="false">(E179+(2*E180))/3</f>
        <v>0</v>
      </c>
      <c r="F181" s="23"/>
      <c r="G181" s="45"/>
      <c r="H181" s="23"/>
      <c r="I181" s="23"/>
      <c r="J181" s="28"/>
      <c r="K181" s="23"/>
      <c r="L181" s="26" t="n">
        <f aca="false">(L179+(2*L180))/3</f>
        <v>3</v>
      </c>
      <c r="M181" s="23"/>
      <c r="N181" s="45"/>
      <c r="O181" s="42"/>
      <c r="P181" s="43"/>
      <c r="Q181" s="33"/>
      <c r="R181" s="10" t="n">
        <f aca="false">Q181</f>
        <v>0</v>
      </c>
      <c r="S181" s="10" t="n">
        <f aca="false">A181</f>
        <v>0</v>
      </c>
    </row>
    <row r="182" customFormat="false" ht="270.1" hidden="false" customHeight="false" outlineLevel="0" collapsed="false">
      <c r="A182" s="23"/>
      <c r="B182" s="36" t="s">
        <v>201</v>
      </c>
      <c r="C182" s="24" t="s">
        <v>202</v>
      </c>
      <c r="D182" s="23"/>
      <c r="E182" s="25"/>
      <c r="F182" s="23"/>
      <c r="G182" s="35" t="n">
        <f aca="false">E187</f>
        <v>0</v>
      </c>
      <c r="H182" s="23"/>
      <c r="I182" s="23"/>
      <c r="J182" s="28" t="str">
        <f aca="false">IF(ISBLANK(I182), "❌ BELUM ADA DOKUMEN PENDUKUNG", "✅ SILAHKAN AUDITOR MELAKUKAN VERIFIKASI DOKUMEN PENDUKUNGNYA")</f>
        <v>❌ BELUM ADA DOKUMEN PENDUKUNG</v>
      </c>
      <c r="K182" s="23"/>
      <c r="L182" s="25" t="n">
        <v>3.5</v>
      </c>
      <c r="M182" s="23"/>
      <c r="N182" s="35" t="n">
        <f aca="false">L187</f>
        <v>3.27777777777778</v>
      </c>
      <c r="O182" s="29"/>
      <c r="P182" s="30"/>
      <c r="Q182" s="33"/>
      <c r="R182" s="10" t="n">
        <f aca="false">Q182</f>
        <v>0</v>
      </c>
      <c r="S182" s="10" t="n">
        <f aca="false">A182</f>
        <v>0</v>
      </c>
    </row>
    <row r="183" customFormat="false" ht="297" hidden="false" customHeight="false" outlineLevel="0" collapsed="false">
      <c r="A183" s="23"/>
      <c r="B183" s="36" t="s">
        <v>203</v>
      </c>
      <c r="C183" s="24" t="s">
        <v>204</v>
      </c>
      <c r="D183" s="23"/>
      <c r="E183" s="25"/>
      <c r="F183" s="23"/>
      <c r="G183" s="37"/>
      <c r="H183" s="23"/>
      <c r="I183" s="23"/>
      <c r="J183" s="28" t="str">
        <f aca="false">IF(ISBLANK(I183), "❌ BELUM ADA DOKUMEN PENDUKUNG", "✅ SILAHKAN AUDITOR MELAKUKAN VERIFIKASI DOKUMEN PENDUKUNGNYA")</f>
        <v>❌ BELUM ADA DOKUMEN PENDUKUNG</v>
      </c>
      <c r="K183" s="23"/>
      <c r="L183" s="25" t="n">
        <v>3.5</v>
      </c>
      <c r="M183" s="23"/>
      <c r="N183" s="37"/>
      <c r="O183" s="38"/>
      <c r="P183" s="39"/>
      <c r="Q183" s="33"/>
      <c r="R183" s="10" t="n">
        <f aca="false">Q183</f>
        <v>0</v>
      </c>
      <c r="S183" s="10" t="n">
        <f aca="false">A183</f>
        <v>0</v>
      </c>
    </row>
    <row r="184" customFormat="false" ht="243.25" hidden="false" customHeight="false" outlineLevel="0" collapsed="false">
      <c r="A184" s="23"/>
      <c r="B184" s="36" t="s">
        <v>205</v>
      </c>
      <c r="C184" s="24" t="s">
        <v>206</v>
      </c>
      <c r="D184" s="23"/>
      <c r="E184" s="25"/>
      <c r="F184" s="23"/>
      <c r="G184" s="37"/>
      <c r="H184" s="23"/>
      <c r="I184" s="23"/>
      <c r="J184" s="28" t="str">
        <f aca="false">IF(ISBLANK(I184), "❌ BELUM ADA DOKUMEN PENDUKUNG", "✅ SILAHKAN AUDITOR MELAKUKAN VERIFIKASI DOKUMEN PENDUKUNGNYA")</f>
        <v>❌ BELUM ADA DOKUMEN PENDUKUNG</v>
      </c>
      <c r="K184" s="23"/>
      <c r="L184" s="25" t="n">
        <v>3.5</v>
      </c>
      <c r="M184" s="23"/>
      <c r="N184" s="37"/>
      <c r="O184" s="38"/>
      <c r="P184" s="39"/>
      <c r="Q184" s="33"/>
      <c r="R184" s="10" t="n">
        <f aca="false">Q184</f>
        <v>0</v>
      </c>
      <c r="S184" s="10" t="n">
        <f aca="false">A184</f>
        <v>0</v>
      </c>
    </row>
    <row r="185" customFormat="false" ht="256.7" hidden="false" customHeight="false" outlineLevel="0" collapsed="false">
      <c r="A185" s="23"/>
      <c r="B185" s="36" t="s">
        <v>207</v>
      </c>
      <c r="C185" s="24" t="s">
        <v>208</v>
      </c>
      <c r="D185" s="23"/>
      <c r="E185" s="25"/>
      <c r="F185" s="23"/>
      <c r="G185" s="37"/>
      <c r="H185" s="23"/>
      <c r="I185" s="23"/>
      <c r="J185" s="28" t="str">
        <f aca="false">IF(ISBLANK(I185), "❌ BELUM ADA DOKUMEN PENDUKUNG", "✅ SILAHKAN AUDITOR MELAKUKAN VERIFIKASI DOKUMEN PENDUKUNGNYA")</f>
        <v>❌ BELUM ADA DOKUMEN PENDUKUNG</v>
      </c>
      <c r="K185" s="23"/>
      <c r="L185" s="25" t="n">
        <v>3</v>
      </c>
      <c r="M185" s="23"/>
      <c r="N185" s="37"/>
      <c r="O185" s="38"/>
      <c r="P185" s="39"/>
      <c r="Q185" s="33"/>
      <c r="R185" s="10" t="n">
        <f aca="false">Q185</f>
        <v>0</v>
      </c>
      <c r="S185" s="10" t="n">
        <f aca="false">A185</f>
        <v>0</v>
      </c>
    </row>
    <row r="186" customFormat="false" ht="256.7" hidden="false" customHeight="false" outlineLevel="0" collapsed="false">
      <c r="A186" s="23"/>
      <c r="B186" s="36" t="s">
        <v>209</v>
      </c>
      <c r="C186" s="24" t="s">
        <v>210</v>
      </c>
      <c r="D186" s="23"/>
      <c r="E186" s="25"/>
      <c r="F186" s="23"/>
      <c r="G186" s="37"/>
      <c r="H186" s="23"/>
      <c r="I186" s="23"/>
      <c r="J186" s="28" t="str">
        <f aca="false">IF(ISBLANK(I186), "❌ BELUM ADA DOKUMEN PENDUKUNG", "✅ SILAHKAN AUDITOR MELAKUKAN VERIFIKASI DOKUMEN PENDUKUNGNYA")</f>
        <v>❌ BELUM ADA DOKUMEN PENDUKUNG</v>
      </c>
      <c r="K186" s="23"/>
      <c r="L186" s="25" t="n">
        <v>3</v>
      </c>
      <c r="M186" s="23"/>
      <c r="N186" s="37"/>
      <c r="O186" s="38"/>
      <c r="P186" s="39"/>
      <c r="Q186" s="33"/>
      <c r="R186" s="10" t="n">
        <f aca="false">Q186</f>
        <v>0</v>
      </c>
      <c r="S186" s="10" t="n">
        <f aca="false">A186</f>
        <v>0</v>
      </c>
    </row>
    <row r="187" customFormat="false" ht="20.85" hidden="false" customHeight="false" outlineLevel="0" collapsed="false">
      <c r="A187" s="23"/>
      <c r="B187" s="36"/>
      <c r="C187" s="34" t="s">
        <v>211</v>
      </c>
      <c r="D187" s="23"/>
      <c r="E187" s="26" t="n">
        <f aca="false">(E182+(2*E183)+(2*E184)+(2*E185)+(2*E186))/9</f>
        <v>0</v>
      </c>
      <c r="F187" s="23"/>
      <c r="G187" s="45"/>
      <c r="H187" s="23"/>
      <c r="I187" s="23"/>
      <c r="J187" s="28"/>
      <c r="K187" s="23"/>
      <c r="L187" s="26" t="n">
        <f aca="false">(L182+(2*L183)+(2*L184)+(2*L185)+(2*L186))/9</f>
        <v>3.27777777777778</v>
      </c>
      <c r="M187" s="23"/>
      <c r="N187" s="45"/>
      <c r="O187" s="42"/>
      <c r="P187" s="43"/>
      <c r="Q187" s="33"/>
      <c r="R187" s="10" t="n">
        <f aca="false">Q187</f>
        <v>0</v>
      </c>
      <c r="S187" s="10" t="n">
        <f aca="false">A187</f>
        <v>0</v>
      </c>
    </row>
    <row r="188" customFormat="false" ht="20.85" hidden="false" customHeight="true" outlineLevel="0" collapsed="false">
      <c r="A188" s="23"/>
      <c r="B188" s="23" t="s">
        <v>212</v>
      </c>
      <c r="C188" s="46" t="s">
        <v>213</v>
      </c>
      <c r="D188" s="23"/>
      <c r="E188" s="26" t="e">
        <f aca="false">IF(E192&lt;20%,(20*E192),4)</f>
        <v>#DIV/0!</v>
      </c>
      <c r="F188" s="23"/>
      <c r="G188" s="35" t="e">
        <f aca="false">E188</f>
        <v>#DIV/0!</v>
      </c>
      <c r="H188" s="23"/>
      <c r="I188" s="23"/>
      <c r="J188" s="28" t="str">
        <f aca="false">IF(ISBLANK(I188), "❌ BELUM ADA DOKUMEN PENDUKUNG", "✅ SILAHKAN AUDITOR MELAKUKAN VERIFIKASI DOKUMEN PENDUKUNGNYA")</f>
        <v>❌ BELUM ADA DOKUMEN PENDUKUNG</v>
      </c>
      <c r="K188" s="23"/>
      <c r="L188" s="26" t="n">
        <f aca="false">IF(L192&lt;20%,(20*L192),4)</f>
        <v>4</v>
      </c>
      <c r="M188" s="23"/>
      <c r="N188" s="35" t="n">
        <f aca="false">L188</f>
        <v>4</v>
      </c>
      <c r="O188" s="29"/>
      <c r="P188" s="30"/>
      <c r="Q188" s="33"/>
      <c r="R188" s="10" t="n">
        <f aca="false">Q188</f>
        <v>0</v>
      </c>
      <c r="S188" s="10" t="n">
        <f aca="false">A188</f>
        <v>0</v>
      </c>
    </row>
    <row r="189" customFormat="false" ht="20.85" hidden="false" customHeight="false" outlineLevel="0" collapsed="false">
      <c r="A189" s="23"/>
      <c r="B189" s="23"/>
      <c r="C189" s="46" t="s">
        <v>214</v>
      </c>
      <c r="D189" s="23"/>
      <c r="E189" s="26"/>
      <c r="F189" s="23"/>
      <c r="G189" s="37"/>
      <c r="H189" s="23"/>
      <c r="I189" s="23"/>
      <c r="J189" s="28"/>
      <c r="K189" s="28"/>
      <c r="L189" s="26"/>
      <c r="M189" s="23"/>
      <c r="N189" s="37"/>
      <c r="O189" s="38"/>
      <c r="P189" s="39"/>
      <c r="Q189" s="33"/>
      <c r="R189" s="10" t="n">
        <f aca="false">Q189</f>
        <v>0</v>
      </c>
      <c r="S189" s="10" t="n">
        <f aca="false">A189</f>
        <v>0</v>
      </c>
    </row>
    <row r="190" customFormat="false" ht="26.85" hidden="false" customHeight="false" outlineLevel="0" collapsed="false">
      <c r="A190" s="23"/>
      <c r="B190" s="23"/>
      <c r="C190" s="46" t="s">
        <v>215</v>
      </c>
      <c r="D190" s="23"/>
      <c r="E190" s="25"/>
      <c r="F190" s="23"/>
      <c r="G190" s="37"/>
      <c r="H190" s="23"/>
      <c r="I190" s="23"/>
      <c r="J190" s="28"/>
      <c r="K190" s="28"/>
      <c r="L190" s="25" t="n">
        <v>4</v>
      </c>
      <c r="M190" s="23"/>
      <c r="N190" s="37"/>
      <c r="O190" s="38"/>
      <c r="P190" s="39"/>
      <c r="Q190" s="33"/>
      <c r="R190" s="10" t="n">
        <f aca="false">Q190</f>
        <v>0</v>
      </c>
      <c r="S190" s="10" t="n">
        <f aca="false">A190</f>
        <v>0</v>
      </c>
    </row>
    <row r="191" customFormat="false" ht="20.85" hidden="false" customHeight="false" outlineLevel="0" collapsed="false">
      <c r="A191" s="23"/>
      <c r="B191" s="23"/>
      <c r="C191" s="46" t="s">
        <v>216</v>
      </c>
      <c r="D191" s="23"/>
      <c r="E191" s="25"/>
      <c r="F191" s="23"/>
      <c r="G191" s="37"/>
      <c r="H191" s="23"/>
      <c r="I191" s="23"/>
      <c r="J191" s="28"/>
      <c r="K191" s="28"/>
      <c r="L191" s="25" t="n">
        <v>4</v>
      </c>
      <c r="M191" s="23"/>
      <c r="N191" s="37"/>
      <c r="O191" s="38"/>
      <c r="P191" s="39"/>
      <c r="Q191" s="33"/>
      <c r="R191" s="10" t="n">
        <f aca="false">Q191</f>
        <v>0</v>
      </c>
      <c r="S191" s="10" t="n">
        <f aca="false">A191</f>
        <v>0</v>
      </c>
    </row>
    <row r="192" customFormat="false" ht="20.85" hidden="false" customHeight="false" outlineLevel="0" collapsed="false">
      <c r="A192" s="23"/>
      <c r="B192" s="23"/>
      <c r="C192" s="46" t="s">
        <v>217</v>
      </c>
      <c r="D192" s="23"/>
      <c r="E192" s="51" t="e">
        <f aca="false">(E190/E191)*100%</f>
        <v>#DIV/0!</v>
      </c>
      <c r="F192" s="23"/>
      <c r="G192" s="45"/>
      <c r="H192" s="23"/>
      <c r="I192" s="23"/>
      <c r="J192" s="28"/>
      <c r="K192" s="23"/>
      <c r="L192" s="51" t="n">
        <f aca="false">(L190/L191)*100%</f>
        <v>1</v>
      </c>
      <c r="M192" s="23"/>
      <c r="N192" s="45"/>
      <c r="O192" s="42"/>
      <c r="P192" s="43"/>
      <c r="Q192" s="33"/>
      <c r="R192" s="10" t="n">
        <f aca="false">Q192</f>
        <v>0</v>
      </c>
      <c r="S192" s="10" t="n">
        <f aca="false">A192</f>
        <v>0</v>
      </c>
    </row>
    <row r="193" customFormat="false" ht="350.7" hidden="false" customHeight="false" outlineLevel="0" collapsed="false">
      <c r="A193" s="23"/>
      <c r="B193" s="23" t="s">
        <v>218</v>
      </c>
      <c r="C193" s="24" t="s">
        <v>219</v>
      </c>
      <c r="D193" s="23"/>
      <c r="E193" s="25"/>
      <c r="F193" s="23"/>
      <c r="G193" s="26" t="n">
        <f aca="false">E193</f>
        <v>0</v>
      </c>
      <c r="H193" s="23"/>
      <c r="I193" s="23"/>
      <c r="J193" s="28" t="str">
        <f aca="false">IF(ISBLANK(I193), "❌ BELUM ADA DOKUMEN PENDUKUNG", "✅ SILAHKAN AUDITOR MELAKUKAN VERIFIKASI DOKUMEN PENDUKUNGNYA")</f>
        <v>❌ BELUM ADA DOKUMEN PENDUKUNG</v>
      </c>
      <c r="K193" s="23"/>
      <c r="L193" s="25" t="n">
        <v>3</v>
      </c>
      <c r="M193" s="23"/>
      <c r="N193" s="26" t="n">
        <f aca="false">L193</f>
        <v>3</v>
      </c>
      <c r="O193" s="29"/>
      <c r="P193" s="30"/>
      <c r="Q193" s="33"/>
      <c r="R193" s="10" t="n">
        <f aca="false">Q193</f>
        <v>0</v>
      </c>
      <c r="S193" s="10" t="n">
        <f aca="false">A193</f>
        <v>0</v>
      </c>
    </row>
    <row r="194" customFormat="false" ht="243.25" hidden="false" customHeight="false" outlineLevel="0" collapsed="false">
      <c r="A194" s="23"/>
      <c r="B194" s="36" t="s">
        <v>220</v>
      </c>
      <c r="C194" s="24" t="s">
        <v>221</v>
      </c>
      <c r="D194" s="23"/>
      <c r="E194" s="25"/>
      <c r="F194" s="23"/>
      <c r="G194" s="35" t="n">
        <f aca="false">E197</f>
        <v>0</v>
      </c>
      <c r="H194" s="23"/>
      <c r="I194" s="23"/>
      <c r="J194" s="28" t="str">
        <f aca="false">IF(ISBLANK(I194), "❌ BELUM ADA DOKUMEN PENDUKUNG", "✅ SILAHKAN AUDITOR MELAKUKAN VERIFIKASI DOKUMEN PENDUKUNGNYA")</f>
        <v>❌ BELUM ADA DOKUMEN PENDUKUNG</v>
      </c>
      <c r="K194" s="23"/>
      <c r="L194" s="25" t="n">
        <v>3</v>
      </c>
      <c r="M194" s="23"/>
      <c r="N194" s="35" t="n">
        <f aca="false">L197</f>
        <v>3</v>
      </c>
      <c r="O194" s="29"/>
      <c r="P194" s="30"/>
      <c r="Q194" s="33"/>
      <c r="R194" s="10" t="n">
        <f aca="false">Q194</f>
        <v>0</v>
      </c>
      <c r="S194" s="10" t="n">
        <f aca="false">A194</f>
        <v>0</v>
      </c>
    </row>
    <row r="195" customFormat="false" ht="256.7" hidden="false" customHeight="false" outlineLevel="0" collapsed="false">
      <c r="A195" s="23"/>
      <c r="B195" s="36" t="s">
        <v>222</v>
      </c>
      <c r="C195" s="24" t="s">
        <v>223</v>
      </c>
      <c r="D195" s="23"/>
      <c r="E195" s="25"/>
      <c r="F195" s="23"/>
      <c r="G195" s="37"/>
      <c r="H195" s="23"/>
      <c r="I195" s="23"/>
      <c r="J195" s="28" t="str">
        <f aca="false">IF(ISBLANK(I195), "❌ BELUM ADA DOKUMEN PENDUKUNG", "✅ SILAHKAN AUDITOR MELAKUKAN VERIFIKASI DOKUMEN PENDUKUNGNYA")</f>
        <v>❌ BELUM ADA DOKUMEN PENDUKUNG</v>
      </c>
      <c r="K195" s="23"/>
      <c r="L195" s="25" t="n">
        <v>3</v>
      </c>
      <c r="M195" s="23"/>
      <c r="N195" s="37"/>
      <c r="O195" s="38"/>
      <c r="P195" s="39"/>
      <c r="Q195" s="33"/>
      <c r="R195" s="10" t="n">
        <f aca="false">Q195</f>
        <v>0</v>
      </c>
      <c r="S195" s="10" t="n">
        <f aca="false">A195</f>
        <v>0</v>
      </c>
    </row>
    <row r="196" customFormat="false" ht="270.1" hidden="false" customHeight="false" outlineLevel="0" collapsed="false">
      <c r="A196" s="23"/>
      <c r="B196" s="36" t="s">
        <v>224</v>
      </c>
      <c r="C196" s="24" t="s">
        <v>225</v>
      </c>
      <c r="D196" s="23"/>
      <c r="E196" s="25"/>
      <c r="F196" s="23"/>
      <c r="G196" s="37"/>
      <c r="H196" s="23"/>
      <c r="I196" s="23"/>
      <c r="J196" s="28" t="str">
        <f aca="false">IF(ISBLANK(I196), "❌ BELUM ADA DOKUMEN PENDUKUNG", "✅ SILAHKAN AUDITOR MELAKUKAN VERIFIKASI DOKUMEN PENDUKUNGNYA")</f>
        <v>❌ BELUM ADA DOKUMEN PENDUKUNG</v>
      </c>
      <c r="K196" s="23"/>
      <c r="L196" s="25" t="n">
        <v>3</v>
      </c>
      <c r="M196" s="23"/>
      <c r="N196" s="37"/>
      <c r="O196" s="38"/>
      <c r="P196" s="39"/>
      <c r="Q196" s="33"/>
      <c r="R196" s="10" t="n">
        <f aca="false">Q196</f>
        <v>0</v>
      </c>
      <c r="S196" s="10" t="n">
        <f aca="false">A196</f>
        <v>0</v>
      </c>
    </row>
    <row r="197" customFormat="false" ht="20.85" hidden="false" customHeight="false" outlineLevel="0" collapsed="false">
      <c r="A197" s="23"/>
      <c r="B197" s="36"/>
      <c r="C197" s="40" t="s">
        <v>194</v>
      </c>
      <c r="D197" s="23"/>
      <c r="E197" s="26" t="n">
        <f aca="false">(E194+(2*E195)+(2*E196))/5</f>
        <v>0</v>
      </c>
      <c r="F197" s="23"/>
      <c r="G197" s="45"/>
      <c r="H197" s="23"/>
      <c r="I197" s="23"/>
      <c r="J197" s="28"/>
      <c r="K197" s="23"/>
      <c r="L197" s="26" t="n">
        <f aca="false">(L194+(2*L195)+(2*L196))/5</f>
        <v>3</v>
      </c>
      <c r="M197" s="23"/>
      <c r="N197" s="45"/>
      <c r="O197" s="42"/>
      <c r="P197" s="43"/>
      <c r="Q197" s="33"/>
      <c r="R197" s="10" t="n">
        <f aca="false">Q197</f>
        <v>0</v>
      </c>
      <c r="S197" s="10" t="n">
        <f aca="false">A197</f>
        <v>0</v>
      </c>
    </row>
    <row r="198" customFormat="false" ht="20.85" hidden="false" customHeight="true" outlineLevel="0" collapsed="false">
      <c r="A198" s="23"/>
      <c r="B198" s="23" t="s">
        <v>226</v>
      </c>
      <c r="C198" s="46" t="s">
        <v>227</v>
      </c>
      <c r="D198" s="23"/>
      <c r="E198" s="26" t="str">
        <f aca="false">IF(E201&gt;3, 4,
 IF(AND(E201&gt;=2,E201&lt;=3), 3,
 IF(E201=1, 2, ". ")))</f>
        <v>. </v>
      </c>
      <c r="F198" s="23"/>
      <c r="G198" s="35" t="str">
        <f aca="false">E198</f>
        <v>. </v>
      </c>
      <c r="H198" s="23"/>
      <c r="I198" s="23"/>
      <c r="J198" s="28" t="str">
        <f aca="false">IF(ISBLANK(I198), "❌ BELUM ADA DOKUMEN PENDUKUNG", "✅ SILAHKAN AUDITOR MELAKUKAN VERIFIKASI DOKUMEN PENDUKUNGNYA")</f>
        <v>❌ BELUM ADA DOKUMEN PENDUKUNG</v>
      </c>
      <c r="K198" s="23"/>
      <c r="L198" s="26" t="n">
        <f aca="false">IF(L201&gt;3, 4,
 IF(AND(L201&gt;=2,L201&lt;=3), 3,
 IF(L201=1, 2, ". ")))</f>
        <v>4</v>
      </c>
      <c r="M198" s="23"/>
      <c r="N198" s="35" t="n">
        <f aca="false">L198</f>
        <v>4</v>
      </c>
      <c r="O198" s="29"/>
      <c r="P198" s="30"/>
      <c r="Q198" s="33"/>
      <c r="R198" s="10" t="n">
        <f aca="false">Q198</f>
        <v>0</v>
      </c>
      <c r="S198" s="10" t="n">
        <f aca="false">A198</f>
        <v>0</v>
      </c>
    </row>
    <row r="199" customFormat="false" ht="20.85" hidden="false" customHeight="false" outlineLevel="0" collapsed="false">
      <c r="A199" s="23"/>
      <c r="B199" s="23"/>
      <c r="C199" s="46" t="s">
        <v>228</v>
      </c>
      <c r="D199" s="23"/>
      <c r="E199" s="26"/>
      <c r="F199" s="23"/>
      <c r="G199" s="37"/>
      <c r="H199" s="23"/>
      <c r="I199" s="23"/>
      <c r="J199" s="28"/>
      <c r="K199" s="28"/>
      <c r="L199" s="26"/>
      <c r="M199" s="23"/>
      <c r="N199" s="37"/>
      <c r="O199" s="38"/>
      <c r="P199" s="39"/>
      <c r="Q199" s="33"/>
      <c r="R199" s="10" t="n">
        <f aca="false">Q199</f>
        <v>0</v>
      </c>
      <c r="S199" s="10" t="n">
        <f aca="false">A199</f>
        <v>0</v>
      </c>
    </row>
    <row r="200" customFormat="false" ht="20.85" hidden="false" customHeight="false" outlineLevel="0" collapsed="false">
      <c r="A200" s="23"/>
      <c r="B200" s="23"/>
      <c r="C200" s="46" t="s">
        <v>229</v>
      </c>
      <c r="D200" s="23"/>
      <c r="E200" s="26"/>
      <c r="F200" s="23"/>
      <c r="G200" s="37"/>
      <c r="H200" s="23"/>
      <c r="I200" s="23"/>
      <c r="J200" s="28"/>
      <c r="K200" s="28"/>
      <c r="L200" s="26"/>
      <c r="M200" s="23"/>
      <c r="N200" s="37"/>
      <c r="O200" s="38"/>
      <c r="P200" s="39"/>
      <c r="Q200" s="33"/>
      <c r="R200" s="10" t="n">
        <f aca="false">Q200</f>
        <v>0</v>
      </c>
      <c r="S200" s="10" t="n">
        <f aca="false">A200</f>
        <v>0</v>
      </c>
    </row>
    <row r="201" customFormat="false" ht="26.85" hidden="false" customHeight="false" outlineLevel="0" collapsed="false">
      <c r="A201" s="23"/>
      <c r="B201" s="23"/>
      <c r="C201" s="46" t="s">
        <v>230</v>
      </c>
      <c r="D201" s="23"/>
      <c r="E201" s="25"/>
      <c r="F201" s="23"/>
      <c r="G201" s="45"/>
      <c r="H201" s="23"/>
      <c r="I201" s="23"/>
      <c r="J201" s="28"/>
      <c r="K201" s="23"/>
      <c r="L201" s="25" t="n">
        <v>4</v>
      </c>
      <c r="M201" s="23"/>
      <c r="N201" s="45"/>
      <c r="O201" s="42"/>
      <c r="P201" s="43"/>
      <c r="Q201" s="33"/>
      <c r="R201" s="10" t="n">
        <f aca="false">Q201</f>
        <v>0</v>
      </c>
      <c r="S201" s="10" t="n">
        <f aca="false">A201</f>
        <v>0</v>
      </c>
    </row>
    <row r="202" customFormat="false" ht="135.8" hidden="false" customHeight="false" outlineLevel="0" collapsed="false">
      <c r="A202" s="23"/>
      <c r="B202" s="23" t="s">
        <v>231</v>
      </c>
      <c r="C202" s="24" t="s">
        <v>232</v>
      </c>
      <c r="D202" s="23"/>
      <c r="E202" s="25"/>
      <c r="F202" s="23"/>
      <c r="G202" s="26" t="n">
        <f aca="false">E202</f>
        <v>0</v>
      </c>
      <c r="H202" s="23"/>
      <c r="I202" s="23"/>
      <c r="J202" s="28" t="str">
        <f aca="false">IF(ISBLANK(I202), "❌ BELUM ADA DOKUMEN PENDUKUNG", "✅ SILAHKAN AUDITOR MELAKUKAN VERIFIKASI DOKUMEN PENDUKUNGNYA")</f>
        <v>❌ BELUM ADA DOKUMEN PENDUKUNG</v>
      </c>
      <c r="K202" s="23"/>
      <c r="L202" s="25" t="n">
        <v>3</v>
      </c>
      <c r="M202" s="23"/>
      <c r="N202" s="26" t="n">
        <f aca="false">L202</f>
        <v>3</v>
      </c>
      <c r="O202" s="29"/>
      <c r="P202" s="30"/>
      <c r="Q202" s="33"/>
      <c r="R202" s="10" t="n">
        <f aca="false">Q202</f>
        <v>0</v>
      </c>
      <c r="S202" s="10" t="n">
        <f aca="false">A202</f>
        <v>0</v>
      </c>
    </row>
    <row r="203" customFormat="false" ht="20.85" hidden="false" customHeight="true" outlineLevel="0" collapsed="false">
      <c r="A203" s="23"/>
      <c r="B203" s="23" t="s">
        <v>233</v>
      </c>
      <c r="C203" s="46" t="s">
        <v>234</v>
      </c>
      <c r="D203" s="23"/>
      <c r="E203" s="26" t="n">
        <f aca="false">IF(E246&gt;=0.75, 4,
 IF(E246&gt;=0.25, (8 * E246) - 2,
 0))</f>
        <v>0</v>
      </c>
      <c r="F203" s="23"/>
      <c r="G203" s="35" t="n">
        <f aca="false">E203</f>
        <v>0</v>
      </c>
      <c r="H203" s="23"/>
      <c r="I203" s="23"/>
      <c r="J203" s="28" t="str">
        <f aca="false">IF(ISBLANK(I203), "❌ BELUM ADA DOKUMEN PENDUKUNG", "✅ SILAHKAN AUDITOR MELAKUKAN VERIFIKASI DOKUMEN PENDUKUNGNYA")</f>
        <v>❌ BELUM ADA DOKUMEN PENDUKUNG</v>
      </c>
      <c r="K203" s="23"/>
      <c r="L203" s="26" t="n">
        <f aca="false">IF(L246&gt;=0.75, 4,
 IF(L246&gt;=0.25, (8 * L246) - 2,
 0))</f>
        <v>4</v>
      </c>
      <c r="M203" s="23"/>
      <c r="N203" s="35" t="n">
        <f aca="false">L203</f>
        <v>4</v>
      </c>
      <c r="O203" s="29"/>
      <c r="P203" s="30"/>
      <c r="Q203" s="33"/>
      <c r="R203" s="10" t="n">
        <f aca="false">Q203</f>
        <v>0</v>
      </c>
      <c r="S203" s="10" t="n">
        <f aca="false">A203</f>
        <v>0</v>
      </c>
    </row>
    <row r="204" customFormat="false" ht="20.85" hidden="false" customHeight="false" outlineLevel="0" collapsed="false">
      <c r="A204" s="23"/>
      <c r="B204" s="23"/>
      <c r="C204" s="23"/>
      <c r="D204" s="23"/>
      <c r="E204" s="26"/>
      <c r="F204" s="23"/>
      <c r="G204" s="37"/>
      <c r="H204" s="23"/>
      <c r="I204" s="23"/>
      <c r="J204" s="28"/>
      <c r="K204" s="28"/>
      <c r="L204" s="26"/>
      <c r="M204" s="23"/>
      <c r="N204" s="37"/>
      <c r="O204" s="38"/>
      <c r="P204" s="39"/>
      <c r="Q204" s="33"/>
      <c r="R204" s="10" t="n">
        <f aca="false">Q204</f>
        <v>0</v>
      </c>
      <c r="S204" s="10" t="n">
        <f aca="false">A204</f>
        <v>0</v>
      </c>
    </row>
    <row r="205" customFormat="false" ht="20.85" hidden="false" customHeight="false" outlineLevel="0" collapsed="false">
      <c r="A205" s="23"/>
      <c r="B205" s="23"/>
      <c r="C205" s="23"/>
      <c r="D205" s="23"/>
      <c r="E205" s="26"/>
      <c r="F205" s="23"/>
      <c r="G205" s="37"/>
      <c r="H205" s="23"/>
      <c r="I205" s="23"/>
      <c r="J205" s="28"/>
      <c r="K205" s="28"/>
      <c r="L205" s="26"/>
      <c r="M205" s="23"/>
      <c r="N205" s="37"/>
      <c r="O205" s="38"/>
      <c r="P205" s="39"/>
      <c r="Q205" s="33"/>
      <c r="R205" s="10" t="n">
        <f aca="false">Q205</f>
        <v>0</v>
      </c>
      <c r="S205" s="10" t="n">
        <f aca="false">A205</f>
        <v>0</v>
      </c>
    </row>
    <row r="206" customFormat="false" ht="20.85" hidden="false" customHeight="false" outlineLevel="0" collapsed="false">
      <c r="A206" s="23"/>
      <c r="B206" s="23"/>
      <c r="C206" s="23"/>
      <c r="D206" s="23"/>
      <c r="E206" s="26"/>
      <c r="F206" s="23"/>
      <c r="G206" s="37"/>
      <c r="H206" s="23"/>
      <c r="I206" s="23"/>
      <c r="J206" s="28"/>
      <c r="K206" s="28"/>
      <c r="L206" s="26"/>
      <c r="M206" s="23"/>
      <c r="N206" s="37"/>
      <c r="O206" s="38"/>
      <c r="P206" s="39"/>
      <c r="Q206" s="33"/>
      <c r="R206" s="10" t="n">
        <f aca="false">Q206</f>
        <v>0</v>
      </c>
      <c r="S206" s="10" t="n">
        <f aca="false">A206</f>
        <v>0</v>
      </c>
    </row>
    <row r="207" customFormat="false" ht="20.85" hidden="false" customHeight="false" outlineLevel="0" collapsed="false">
      <c r="A207" s="23"/>
      <c r="B207" s="23"/>
      <c r="C207" s="23"/>
      <c r="D207" s="23"/>
      <c r="E207" s="26"/>
      <c r="F207" s="23"/>
      <c r="G207" s="37"/>
      <c r="H207" s="23"/>
      <c r="I207" s="23"/>
      <c r="J207" s="28"/>
      <c r="K207" s="28"/>
      <c r="L207" s="26"/>
      <c r="M207" s="23"/>
      <c r="N207" s="37"/>
      <c r="O207" s="38"/>
      <c r="P207" s="39"/>
      <c r="Q207" s="33"/>
      <c r="R207" s="10" t="n">
        <f aca="false">Q207</f>
        <v>0</v>
      </c>
      <c r="S207" s="10" t="n">
        <f aca="false">A207</f>
        <v>0</v>
      </c>
    </row>
    <row r="208" customFormat="false" ht="20.85" hidden="false" customHeight="false" outlineLevel="0" collapsed="false">
      <c r="A208" s="23"/>
      <c r="B208" s="23"/>
      <c r="C208" s="23"/>
      <c r="D208" s="23"/>
      <c r="E208" s="26"/>
      <c r="F208" s="23"/>
      <c r="G208" s="37"/>
      <c r="H208" s="23"/>
      <c r="I208" s="23"/>
      <c r="J208" s="28"/>
      <c r="K208" s="28"/>
      <c r="L208" s="26"/>
      <c r="M208" s="23"/>
      <c r="N208" s="37"/>
      <c r="O208" s="38"/>
      <c r="P208" s="39"/>
      <c r="Q208" s="33"/>
      <c r="R208" s="10" t="n">
        <f aca="false">Q208</f>
        <v>0</v>
      </c>
      <c r="S208" s="10" t="n">
        <f aca="false">A208</f>
        <v>0</v>
      </c>
    </row>
    <row r="209" customFormat="false" ht="20.85" hidden="false" customHeight="false" outlineLevel="0" collapsed="false">
      <c r="A209" s="23"/>
      <c r="B209" s="23"/>
      <c r="C209" s="23"/>
      <c r="D209" s="23"/>
      <c r="E209" s="26"/>
      <c r="F209" s="23"/>
      <c r="G209" s="37"/>
      <c r="H209" s="23"/>
      <c r="I209" s="23"/>
      <c r="J209" s="28"/>
      <c r="K209" s="28"/>
      <c r="L209" s="26"/>
      <c r="M209" s="23"/>
      <c r="N209" s="37"/>
      <c r="O209" s="38"/>
      <c r="P209" s="39"/>
      <c r="Q209" s="33"/>
      <c r="R209" s="10" t="n">
        <f aca="false">Q209</f>
        <v>0</v>
      </c>
      <c r="S209" s="10" t="n">
        <f aca="false">A209</f>
        <v>0</v>
      </c>
    </row>
    <row r="210" customFormat="false" ht="20.85" hidden="false" customHeight="false" outlineLevel="0" collapsed="false">
      <c r="A210" s="23"/>
      <c r="B210" s="23"/>
      <c r="C210" s="23"/>
      <c r="D210" s="23"/>
      <c r="E210" s="26"/>
      <c r="F210" s="23"/>
      <c r="G210" s="37"/>
      <c r="H210" s="23"/>
      <c r="I210" s="23"/>
      <c r="J210" s="28"/>
      <c r="K210" s="28"/>
      <c r="L210" s="26"/>
      <c r="M210" s="23"/>
      <c r="N210" s="37"/>
      <c r="O210" s="38"/>
      <c r="P210" s="39"/>
      <c r="Q210" s="33"/>
      <c r="R210" s="10" t="n">
        <f aca="false">Q210</f>
        <v>0</v>
      </c>
      <c r="S210" s="10" t="n">
        <f aca="false">A210</f>
        <v>0</v>
      </c>
    </row>
    <row r="211" customFormat="false" ht="20.85" hidden="false" customHeight="false" outlineLevel="0" collapsed="false">
      <c r="A211" s="23"/>
      <c r="B211" s="23"/>
      <c r="C211" s="23"/>
      <c r="D211" s="23"/>
      <c r="E211" s="26"/>
      <c r="F211" s="23"/>
      <c r="G211" s="37"/>
      <c r="H211" s="23"/>
      <c r="I211" s="23"/>
      <c r="J211" s="28"/>
      <c r="K211" s="28"/>
      <c r="L211" s="26"/>
      <c r="M211" s="23"/>
      <c r="N211" s="37"/>
      <c r="O211" s="38"/>
      <c r="P211" s="39"/>
      <c r="Q211" s="33"/>
      <c r="R211" s="10" t="n">
        <f aca="false">Q211</f>
        <v>0</v>
      </c>
      <c r="S211" s="10" t="n">
        <f aca="false">A211</f>
        <v>0</v>
      </c>
    </row>
    <row r="212" customFormat="false" ht="20.85" hidden="false" customHeight="false" outlineLevel="0" collapsed="false">
      <c r="A212" s="23"/>
      <c r="B212" s="23"/>
      <c r="C212" s="23"/>
      <c r="D212" s="23"/>
      <c r="E212" s="26"/>
      <c r="F212" s="23"/>
      <c r="G212" s="37"/>
      <c r="H212" s="23"/>
      <c r="I212" s="23"/>
      <c r="J212" s="28"/>
      <c r="K212" s="28"/>
      <c r="L212" s="26"/>
      <c r="M212" s="23"/>
      <c r="N212" s="37"/>
      <c r="O212" s="38"/>
      <c r="P212" s="39"/>
      <c r="Q212" s="33"/>
      <c r="R212" s="10" t="n">
        <f aca="false">Q212</f>
        <v>0</v>
      </c>
      <c r="S212" s="10" t="n">
        <f aca="false">A212</f>
        <v>0</v>
      </c>
    </row>
    <row r="213" customFormat="false" ht="20.85" hidden="false" customHeight="false" outlineLevel="0" collapsed="false">
      <c r="A213" s="23"/>
      <c r="B213" s="23"/>
      <c r="C213" s="23"/>
      <c r="D213" s="23"/>
      <c r="E213" s="26"/>
      <c r="F213" s="23"/>
      <c r="G213" s="37"/>
      <c r="H213" s="23"/>
      <c r="I213" s="23"/>
      <c r="J213" s="28"/>
      <c r="K213" s="28"/>
      <c r="L213" s="26"/>
      <c r="M213" s="23"/>
      <c r="N213" s="37"/>
      <c r="O213" s="38"/>
      <c r="P213" s="39"/>
      <c r="Q213" s="33"/>
      <c r="R213" s="10" t="n">
        <f aca="false">Q213</f>
        <v>0</v>
      </c>
      <c r="S213" s="10" t="n">
        <f aca="false">A213</f>
        <v>0</v>
      </c>
    </row>
    <row r="214" customFormat="false" ht="20.85" hidden="false" customHeight="false" outlineLevel="0" collapsed="false">
      <c r="A214" s="23"/>
      <c r="B214" s="23"/>
      <c r="C214" s="23"/>
      <c r="D214" s="23"/>
      <c r="E214" s="26"/>
      <c r="F214" s="23"/>
      <c r="G214" s="37"/>
      <c r="H214" s="23"/>
      <c r="I214" s="23"/>
      <c r="J214" s="28"/>
      <c r="K214" s="28"/>
      <c r="L214" s="26"/>
      <c r="M214" s="23"/>
      <c r="N214" s="37"/>
      <c r="O214" s="38"/>
      <c r="P214" s="39"/>
      <c r="Q214" s="33"/>
      <c r="R214" s="10" t="n">
        <f aca="false">Q214</f>
        <v>0</v>
      </c>
      <c r="S214" s="10" t="n">
        <f aca="false">A214</f>
        <v>0</v>
      </c>
    </row>
    <row r="215" customFormat="false" ht="20.85" hidden="false" customHeight="false" outlineLevel="0" collapsed="false">
      <c r="A215" s="23"/>
      <c r="B215" s="23"/>
      <c r="C215" s="23"/>
      <c r="D215" s="23"/>
      <c r="E215" s="26"/>
      <c r="F215" s="23"/>
      <c r="G215" s="37"/>
      <c r="H215" s="23"/>
      <c r="I215" s="23"/>
      <c r="J215" s="28"/>
      <c r="K215" s="28"/>
      <c r="L215" s="26"/>
      <c r="M215" s="23"/>
      <c r="N215" s="37"/>
      <c r="O215" s="38"/>
      <c r="P215" s="39"/>
      <c r="Q215" s="33"/>
      <c r="R215" s="10" t="n">
        <f aca="false">Q215</f>
        <v>0</v>
      </c>
      <c r="S215" s="10" t="n">
        <f aca="false">A215</f>
        <v>0</v>
      </c>
    </row>
    <row r="216" customFormat="false" ht="20.85" hidden="false" customHeight="false" outlineLevel="0" collapsed="false">
      <c r="A216" s="23"/>
      <c r="B216" s="23"/>
      <c r="C216" s="46"/>
      <c r="D216" s="23"/>
      <c r="E216" s="26"/>
      <c r="F216" s="23"/>
      <c r="G216" s="37"/>
      <c r="H216" s="23"/>
      <c r="I216" s="23"/>
      <c r="J216" s="28"/>
      <c r="K216" s="28"/>
      <c r="L216" s="26"/>
      <c r="M216" s="23"/>
      <c r="N216" s="37"/>
      <c r="O216" s="38"/>
      <c r="P216" s="39"/>
      <c r="Q216" s="33"/>
      <c r="R216" s="10" t="n">
        <f aca="false">Q216</f>
        <v>0</v>
      </c>
      <c r="S216" s="10" t="n">
        <f aca="false">A216</f>
        <v>0</v>
      </c>
    </row>
    <row r="217" customFormat="false" ht="20.85" hidden="false" customHeight="false" outlineLevel="0" collapsed="false">
      <c r="A217" s="23"/>
      <c r="B217" s="23"/>
      <c r="C217" s="52" t="s">
        <v>235</v>
      </c>
      <c r="D217" s="23"/>
      <c r="E217" s="53"/>
      <c r="F217" s="23"/>
      <c r="G217" s="37"/>
      <c r="H217" s="23"/>
      <c r="I217" s="23"/>
      <c r="J217" s="28"/>
      <c r="K217" s="28"/>
      <c r="L217" s="53" t="n">
        <v>0.32</v>
      </c>
      <c r="M217" s="23"/>
      <c r="N217" s="37"/>
      <c r="O217" s="38"/>
      <c r="P217" s="39"/>
      <c r="Q217" s="33"/>
      <c r="R217" s="10" t="n">
        <f aca="false">Q217</f>
        <v>0</v>
      </c>
      <c r="S217" s="10" t="n">
        <f aca="false">A217</f>
        <v>0</v>
      </c>
    </row>
    <row r="218" customFormat="false" ht="20.85" hidden="false" customHeight="false" outlineLevel="0" collapsed="false">
      <c r="A218" s="23"/>
      <c r="B218" s="23"/>
      <c r="C218" s="52" t="s">
        <v>236</v>
      </c>
      <c r="D218" s="23"/>
      <c r="E218" s="53"/>
      <c r="F218" s="23"/>
      <c r="G218" s="37"/>
      <c r="H218" s="23"/>
      <c r="I218" s="23"/>
      <c r="J218" s="28"/>
      <c r="K218" s="28"/>
      <c r="L218" s="53" t="n">
        <v>0.51</v>
      </c>
      <c r="M218" s="23"/>
      <c r="N218" s="37"/>
      <c r="O218" s="38"/>
      <c r="P218" s="39"/>
      <c r="Q218" s="33"/>
      <c r="R218" s="10" t="n">
        <f aca="false">Q218</f>
        <v>0</v>
      </c>
      <c r="S218" s="10" t="n">
        <f aca="false">A218</f>
        <v>0</v>
      </c>
    </row>
    <row r="219" customFormat="false" ht="20.85" hidden="false" customHeight="false" outlineLevel="0" collapsed="false">
      <c r="A219" s="23"/>
      <c r="B219" s="23"/>
      <c r="C219" s="52" t="s">
        <v>237</v>
      </c>
      <c r="D219" s="23"/>
      <c r="E219" s="53"/>
      <c r="F219" s="23"/>
      <c r="G219" s="37"/>
      <c r="H219" s="23"/>
      <c r="I219" s="23"/>
      <c r="J219" s="28"/>
      <c r="K219" s="28"/>
      <c r="L219" s="53" t="n">
        <v>0.14</v>
      </c>
      <c r="M219" s="23"/>
      <c r="N219" s="37"/>
      <c r="O219" s="38"/>
      <c r="P219" s="39"/>
      <c r="Q219" s="33"/>
      <c r="R219" s="10" t="n">
        <f aca="false">Q219</f>
        <v>0</v>
      </c>
      <c r="S219" s="10" t="n">
        <f aca="false">A219</f>
        <v>0</v>
      </c>
    </row>
    <row r="220" customFormat="false" ht="20.85" hidden="false" customHeight="false" outlineLevel="0" collapsed="false">
      <c r="A220" s="23"/>
      <c r="B220" s="23"/>
      <c r="C220" s="52" t="s">
        <v>238</v>
      </c>
      <c r="D220" s="23"/>
      <c r="E220" s="53"/>
      <c r="F220" s="23"/>
      <c r="G220" s="37"/>
      <c r="H220" s="23"/>
      <c r="I220" s="23"/>
      <c r="J220" s="28"/>
      <c r="K220" s="28"/>
      <c r="L220" s="53" t="n">
        <v>0.03</v>
      </c>
      <c r="M220" s="23"/>
      <c r="N220" s="37"/>
      <c r="O220" s="38"/>
      <c r="P220" s="39"/>
      <c r="Q220" s="33"/>
      <c r="R220" s="10" t="n">
        <f aca="false">Q220</f>
        <v>0</v>
      </c>
      <c r="S220" s="10" t="n">
        <f aca="false">A220</f>
        <v>0</v>
      </c>
    </row>
    <row r="221" customFormat="false" ht="20.85" hidden="false" customHeight="true" outlineLevel="0" collapsed="false">
      <c r="A221" s="23"/>
      <c r="B221" s="23"/>
      <c r="C221" s="44" t="s">
        <v>239</v>
      </c>
      <c r="D221" s="23"/>
      <c r="E221" s="54" t="n">
        <f aca="false">4*E217+3*E218+2*E219+E220</f>
        <v>0</v>
      </c>
      <c r="F221" s="23"/>
      <c r="G221" s="37"/>
      <c r="H221" s="23"/>
      <c r="I221" s="23"/>
      <c r="J221" s="28"/>
      <c r="K221" s="28"/>
      <c r="L221" s="54" t="n">
        <f aca="false">4*L217+3*L218+2*L219+L220</f>
        <v>3.12</v>
      </c>
      <c r="M221" s="23"/>
      <c r="N221" s="37"/>
      <c r="O221" s="38"/>
      <c r="P221" s="39"/>
      <c r="Q221" s="33"/>
      <c r="R221" s="10" t="n">
        <f aca="false">Q221</f>
        <v>0</v>
      </c>
      <c r="S221" s="10" t="n">
        <f aca="false">A221</f>
        <v>0</v>
      </c>
    </row>
    <row r="222" customFormat="false" ht="20.85" hidden="false" customHeight="false" outlineLevel="0" collapsed="false">
      <c r="A222" s="23"/>
      <c r="B222" s="23"/>
      <c r="C222" s="44"/>
      <c r="D222" s="23"/>
      <c r="E222" s="54"/>
      <c r="F222" s="23"/>
      <c r="G222" s="37"/>
      <c r="H222" s="23"/>
      <c r="I222" s="23"/>
      <c r="J222" s="28"/>
      <c r="K222" s="28"/>
      <c r="L222" s="54"/>
      <c r="M222" s="23"/>
      <c r="N222" s="37"/>
      <c r="O222" s="38"/>
      <c r="P222" s="39"/>
      <c r="Q222" s="33"/>
      <c r="R222" s="10" t="n">
        <f aca="false">Q222</f>
        <v>0</v>
      </c>
      <c r="S222" s="10" t="n">
        <f aca="false">A222</f>
        <v>0</v>
      </c>
    </row>
    <row r="223" customFormat="false" ht="20.85" hidden="false" customHeight="false" outlineLevel="0" collapsed="false">
      <c r="A223" s="23"/>
      <c r="B223" s="23"/>
      <c r="C223" s="52" t="s">
        <v>235</v>
      </c>
      <c r="D223" s="23"/>
      <c r="E223" s="53"/>
      <c r="F223" s="23"/>
      <c r="G223" s="37"/>
      <c r="H223" s="23"/>
      <c r="I223" s="23"/>
      <c r="J223" s="28"/>
      <c r="K223" s="28"/>
      <c r="L223" s="53" t="n">
        <v>0.32</v>
      </c>
      <c r="M223" s="23"/>
      <c r="N223" s="37"/>
      <c r="O223" s="38"/>
      <c r="P223" s="39"/>
      <c r="Q223" s="33"/>
      <c r="R223" s="10" t="n">
        <f aca="false">Q223</f>
        <v>0</v>
      </c>
      <c r="S223" s="10" t="n">
        <f aca="false">A223</f>
        <v>0</v>
      </c>
    </row>
    <row r="224" customFormat="false" ht="20.85" hidden="false" customHeight="false" outlineLevel="0" collapsed="false">
      <c r="A224" s="23"/>
      <c r="B224" s="23"/>
      <c r="C224" s="52" t="s">
        <v>236</v>
      </c>
      <c r="D224" s="23"/>
      <c r="E224" s="53"/>
      <c r="F224" s="23"/>
      <c r="G224" s="37"/>
      <c r="H224" s="23"/>
      <c r="I224" s="23"/>
      <c r="J224" s="28"/>
      <c r="K224" s="28"/>
      <c r="L224" s="53" t="n">
        <v>0.51</v>
      </c>
      <c r="M224" s="23"/>
      <c r="N224" s="37"/>
      <c r="O224" s="38"/>
      <c r="P224" s="39"/>
      <c r="Q224" s="33"/>
      <c r="R224" s="10" t="n">
        <f aca="false">Q224</f>
        <v>0</v>
      </c>
      <c r="S224" s="10" t="n">
        <f aca="false">A224</f>
        <v>0</v>
      </c>
    </row>
    <row r="225" customFormat="false" ht="20.85" hidden="false" customHeight="false" outlineLevel="0" collapsed="false">
      <c r="A225" s="23"/>
      <c r="B225" s="23"/>
      <c r="C225" s="52" t="s">
        <v>237</v>
      </c>
      <c r="D225" s="23"/>
      <c r="E225" s="53"/>
      <c r="F225" s="23"/>
      <c r="G225" s="37"/>
      <c r="H225" s="23"/>
      <c r="I225" s="23"/>
      <c r="J225" s="28"/>
      <c r="K225" s="28"/>
      <c r="L225" s="53" t="n">
        <v>0.14</v>
      </c>
      <c r="M225" s="23"/>
      <c r="N225" s="37"/>
      <c r="O225" s="38"/>
      <c r="P225" s="39"/>
      <c r="Q225" s="33"/>
      <c r="R225" s="10" t="n">
        <f aca="false">Q225</f>
        <v>0</v>
      </c>
      <c r="S225" s="10" t="n">
        <f aca="false">A225</f>
        <v>0</v>
      </c>
    </row>
    <row r="226" customFormat="false" ht="20.85" hidden="false" customHeight="false" outlineLevel="0" collapsed="false">
      <c r="A226" s="23"/>
      <c r="B226" s="23"/>
      <c r="C226" s="52" t="s">
        <v>238</v>
      </c>
      <c r="D226" s="23"/>
      <c r="E226" s="53"/>
      <c r="F226" s="23"/>
      <c r="G226" s="37"/>
      <c r="H226" s="23"/>
      <c r="I226" s="23"/>
      <c r="J226" s="28"/>
      <c r="K226" s="28"/>
      <c r="L226" s="53" t="n">
        <v>0.03</v>
      </c>
      <c r="M226" s="23"/>
      <c r="N226" s="37"/>
      <c r="O226" s="38"/>
      <c r="P226" s="39"/>
      <c r="Q226" s="33"/>
      <c r="R226" s="10" t="n">
        <f aca="false">Q226</f>
        <v>0</v>
      </c>
      <c r="S226" s="10" t="n">
        <f aca="false">A226</f>
        <v>0</v>
      </c>
    </row>
    <row r="227" customFormat="false" ht="20.85" hidden="false" customHeight="true" outlineLevel="0" collapsed="false">
      <c r="A227" s="23"/>
      <c r="B227" s="23"/>
      <c r="C227" s="44" t="s">
        <v>240</v>
      </c>
      <c r="D227" s="23"/>
      <c r="E227" s="54" t="n">
        <f aca="false">4*E223+3*E224+2*E225+E226</f>
        <v>0</v>
      </c>
      <c r="F227" s="23"/>
      <c r="G227" s="37"/>
      <c r="H227" s="23"/>
      <c r="I227" s="23"/>
      <c r="J227" s="28"/>
      <c r="K227" s="28"/>
      <c r="L227" s="54" t="n">
        <f aca="false">4*L223+3*L224+2*L225+L226</f>
        <v>3.12</v>
      </c>
      <c r="M227" s="23"/>
      <c r="N227" s="37"/>
      <c r="O227" s="38"/>
      <c r="P227" s="39"/>
      <c r="Q227" s="33"/>
      <c r="R227" s="10" t="n">
        <f aca="false">Q227</f>
        <v>0</v>
      </c>
      <c r="S227" s="10" t="n">
        <f aca="false">A227</f>
        <v>0</v>
      </c>
    </row>
    <row r="228" customFormat="false" ht="20.85" hidden="false" customHeight="false" outlineLevel="0" collapsed="false">
      <c r="A228" s="23"/>
      <c r="B228" s="23"/>
      <c r="C228" s="44"/>
      <c r="D228" s="23"/>
      <c r="E228" s="54"/>
      <c r="F228" s="23"/>
      <c r="G228" s="37"/>
      <c r="H228" s="23"/>
      <c r="I228" s="23"/>
      <c r="J228" s="28"/>
      <c r="K228" s="28"/>
      <c r="L228" s="54"/>
      <c r="M228" s="23"/>
      <c r="N228" s="37"/>
      <c r="O228" s="38"/>
      <c r="P228" s="39"/>
      <c r="Q228" s="33"/>
      <c r="R228" s="10" t="n">
        <f aca="false">Q228</f>
        <v>0</v>
      </c>
      <c r="S228" s="10" t="n">
        <f aca="false">A228</f>
        <v>0</v>
      </c>
    </row>
    <row r="229" customFormat="false" ht="20.85" hidden="false" customHeight="false" outlineLevel="0" collapsed="false">
      <c r="A229" s="23"/>
      <c r="B229" s="23"/>
      <c r="C229" s="52" t="s">
        <v>235</v>
      </c>
      <c r="D229" s="23"/>
      <c r="E229" s="55"/>
      <c r="F229" s="23"/>
      <c r="G229" s="37"/>
      <c r="H229" s="23"/>
      <c r="I229" s="23"/>
      <c r="J229" s="28"/>
      <c r="K229" s="28"/>
      <c r="L229" s="55" t="n">
        <v>0.33</v>
      </c>
      <c r="M229" s="23"/>
      <c r="N229" s="37"/>
      <c r="O229" s="38"/>
      <c r="P229" s="39"/>
      <c r="Q229" s="33"/>
      <c r="R229" s="10" t="n">
        <f aca="false">Q229</f>
        <v>0</v>
      </c>
      <c r="S229" s="10" t="n">
        <f aca="false">A229</f>
        <v>0</v>
      </c>
    </row>
    <row r="230" customFormat="false" ht="20.85" hidden="false" customHeight="false" outlineLevel="0" collapsed="false">
      <c r="A230" s="23"/>
      <c r="B230" s="23"/>
      <c r="C230" s="52" t="s">
        <v>236</v>
      </c>
      <c r="D230" s="23"/>
      <c r="E230" s="55"/>
      <c r="F230" s="23"/>
      <c r="G230" s="37"/>
      <c r="H230" s="23"/>
      <c r="I230" s="23"/>
      <c r="J230" s="28"/>
      <c r="K230" s="28"/>
      <c r="L230" s="55" t="n">
        <v>0.52</v>
      </c>
      <c r="M230" s="23"/>
      <c r="N230" s="37"/>
      <c r="O230" s="38"/>
      <c r="P230" s="39"/>
      <c r="Q230" s="33"/>
      <c r="R230" s="10" t="n">
        <f aca="false">Q230</f>
        <v>0</v>
      </c>
      <c r="S230" s="10" t="n">
        <f aca="false">A230</f>
        <v>0</v>
      </c>
    </row>
    <row r="231" customFormat="false" ht="20.85" hidden="false" customHeight="false" outlineLevel="0" collapsed="false">
      <c r="A231" s="23"/>
      <c r="B231" s="23"/>
      <c r="C231" s="52" t="s">
        <v>237</v>
      </c>
      <c r="D231" s="23"/>
      <c r="E231" s="55"/>
      <c r="F231" s="23"/>
      <c r="G231" s="37"/>
      <c r="H231" s="23"/>
      <c r="I231" s="23"/>
      <c r="J231" s="28"/>
      <c r="K231" s="28"/>
      <c r="L231" s="55" t="n">
        <v>0.13</v>
      </c>
      <c r="M231" s="23"/>
      <c r="N231" s="37"/>
      <c r="O231" s="38"/>
      <c r="P231" s="39"/>
      <c r="Q231" s="33"/>
      <c r="R231" s="10" t="n">
        <f aca="false">Q231</f>
        <v>0</v>
      </c>
      <c r="S231" s="10" t="n">
        <f aca="false">A231</f>
        <v>0</v>
      </c>
    </row>
    <row r="232" customFormat="false" ht="20.85" hidden="false" customHeight="false" outlineLevel="0" collapsed="false">
      <c r="A232" s="23"/>
      <c r="B232" s="23"/>
      <c r="C232" s="52" t="s">
        <v>238</v>
      </c>
      <c r="D232" s="23"/>
      <c r="E232" s="55"/>
      <c r="F232" s="23"/>
      <c r="G232" s="37"/>
      <c r="H232" s="23"/>
      <c r="I232" s="23"/>
      <c r="J232" s="28"/>
      <c r="K232" s="28"/>
      <c r="L232" s="55" t="n">
        <v>0.02</v>
      </c>
      <c r="M232" s="23"/>
      <c r="N232" s="37"/>
      <c r="O232" s="38"/>
      <c r="P232" s="39"/>
      <c r="Q232" s="33"/>
      <c r="R232" s="10" t="n">
        <f aca="false">Q232</f>
        <v>0</v>
      </c>
      <c r="S232" s="10" t="n">
        <f aca="false">A232</f>
        <v>0</v>
      </c>
    </row>
    <row r="233" customFormat="false" ht="20.85" hidden="false" customHeight="true" outlineLevel="0" collapsed="false">
      <c r="A233" s="23"/>
      <c r="B233" s="23"/>
      <c r="C233" s="44" t="s">
        <v>241</v>
      </c>
      <c r="D233" s="23"/>
      <c r="E233" s="54" t="n">
        <f aca="false">4*E229+3*E230+2*E231+E232</f>
        <v>0</v>
      </c>
      <c r="F233" s="23"/>
      <c r="G233" s="37"/>
      <c r="H233" s="23"/>
      <c r="I233" s="23"/>
      <c r="J233" s="28"/>
      <c r="K233" s="28"/>
      <c r="L233" s="54" t="n">
        <f aca="false">4*L229+3*L230+2*L231+L232</f>
        <v>3.16</v>
      </c>
      <c r="M233" s="23"/>
      <c r="N233" s="37"/>
      <c r="O233" s="38"/>
      <c r="P233" s="39"/>
      <c r="Q233" s="33"/>
      <c r="R233" s="10" t="n">
        <f aca="false">Q233</f>
        <v>0</v>
      </c>
      <c r="S233" s="10" t="n">
        <f aca="false">A233</f>
        <v>0</v>
      </c>
    </row>
    <row r="234" customFormat="false" ht="20.85" hidden="false" customHeight="false" outlineLevel="0" collapsed="false">
      <c r="A234" s="23"/>
      <c r="B234" s="23"/>
      <c r="C234" s="44"/>
      <c r="D234" s="23"/>
      <c r="E234" s="54"/>
      <c r="F234" s="23"/>
      <c r="G234" s="37"/>
      <c r="H234" s="23"/>
      <c r="I234" s="23"/>
      <c r="J234" s="28"/>
      <c r="K234" s="28"/>
      <c r="L234" s="54"/>
      <c r="M234" s="23"/>
      <c r="N234" s="37"/>
      <c r="O234" s="38"/>
      <c r="P234" s="39"/>
      <c r="Q234" s="33"/>
      <c r="R234" s="10" t="n">
        <f aca="false">Q234</f>
        <v>0</v>
      </c>
      <c r="S234" s="10" t="n">
        <f aca="false">A234</f>
        <v>0</v>
      </c>
    </row>
    <row r="235" customFormat="false" ht="20.85" hidden="false" customHeight="false" outlineLevel="0" collapsed="false">
      <c r="A235" s="23"/>
      <c r="B235" s="23"/>
      <c r="C235" s="52" t="s">
        <v>235</v>
      </c>
      <c r="D235" s="23"/>
      <c r="E235" s="53"/>
      <c r="F235" s="23"/>
      <c r="G235" s="37"/>
      <c r="H235" s="23"/>
      <c r="I235" s="23"/>
      <c r="J235" s="28"/>
      <c r="K235" s="28"/>
      <c r="L235" s="53" t="n">
        <v>0.33</v>
      </c>
      <c r="M235" s="23"/>
      <c r="N235" s="37"/>
      <c r="O235" s="38"/>
      <c r="P235" s="39"/>
      <c r="Q235" s="33"/>
      <c r="R235" s="10" t="n">
        <f aca="false">Q235</f>
        <v>0</v>
      </c>
      <c r="S235" s="10" t="n">
        <f aca="false">A235</f>
        <v>0</v>
      </c>
    </row>
    <row r="236" customFormat="false" ht="20.85" hidden="false" customHeight="false" outlineLevel="0" collapsed="false">
      <c r="A236" s="23"/>
      <c r="B236" s="23"/>
      <c r="C236" s="52" t="s">
        <v>236</v>
      </c>
      <c r="D236" s="23"/>
      <c r="E236" s="53"/>
      <c r="F236" s="23"/>
      <c r="G236" s="37"/>
      <c r="H236" s="23"/>
      <c r="I236" s="23"/>
      <c r="J236" s="28"/>
      <c r="K236" s="28"/>
      <c r="L236" s="53" t="n">
        <v>0.52</v>
      </c>
      <c r="M236" s="23"/>
      <c r="N236" s="37"/>
      <c r="O236" s="38"/>
      <c r="P236" s="39"/>
      <c r="Q236" s="33"/>
      <c r="R236" s="10" t="n">
        <f aca="false">Q236</f>
        <v>0</v>
      </c>
      <c r="S236" s="10" t="n">
        <f aca="false">A236</f>
        <v>0</v>
      </c>
    </row>
    <row r="237" customFormat="false" ht="20.85" hidden="false" customHeight="false" outlineLevel="0" collapsed="false">
      <c r="A237" s="23"/>
      <c r="B237" s="23"/>
      <c r="C237" s="52" t="s">
        <v>237</v>
      </c>
      <c r="D237" s="23"/>
      <c r="E237" s="53"/>
      <c r="F237" s="23"/>
      <c r="G237" s="37"/>
      <c r="H237" s="23"/>
      <c r="I237" s="23"/>
      <c r="J237" s="28"/>
      <c r="K237" s="28"/>
      <c r="L237" s="53" t="n">
        <v>0.13</v>
      </c>
      <c r="M237" s="23"/>
      <c r="N237" s="37"/>
      <c r="O237" s="38"/>
      <c r="P237" s="39"/>
      <c r="Q237" s="33"/>
      <c r="R237" s="10" t="n">
        <f aca="false">Q237</f>
        <v>0</v>
      </c>
      <c r="S237" s="10" t="n">
        <f aca="false">A237</f>
        <v>0</v>
      </c>
    </row>
    <row r="238" customFormat="false" ht="20.85" hidden="false" customHeight="false" outlineLevel="0" collapsed="false">
      <c r="A238" s="23"/>
      <c r="B238" s="23"/>
      <c r="C238" s="52" t="s">
        <v>238</v>
      </c>
      <c r="D238" s="23"/>
      <c r="E238" s="53"/>
      <c r="F238" s="23"/>
      <c r="G238" s="37"/>
      <c r="H238" s="23"/>
      <c r="I238" s="23"/>
      <c r="J238" s="28"/>
      <c r="K238" s="28"/>
      <c r="L238" s="53" t="n">
        <v>0.02</v>
      </c>
      <c r="M238" s="23"/>
      <c r="N238" s="37"/>
      <c r="O238" s="38"/>
      <c r="P238" s="39"/>
      <c r="Q238" s="33"/>
      <c r="R238" s="10" t="n">
        <f aca="false">Q238</f>
        <v>0</v>
      </c>
      <c r="S238" s="10" t="n">
        <f aca="false">A238</f>
        <v>0</v>
      </c>
    </row>
    <row r="239" customFormat="false" ht="20.85" hidden="false" customHeight="true" outlineLevel="0" collapsed="false">
      <c r="A239" s="23"/>
      <c r="B239" s="23"/>
      <c r="C239" s="56" t="s">
        <v>242</v>
      </c>
      <c r="D239" s="23"/>
      <c r="E239" s="54" t="n">
        <f aca="false">4*E235+3*E236+2*E237+E238</f>
        <v>0</v>
      </c>
      <c r="F239" s="23"/>
      <c r="G239" s="37"/>
      <c r="H239" s="23"/>
      <c r="I239" s="23"/>
      <c r="J239" s="28"/>
      <c r="K239" s="28"/>
      <c r="L239" s="54" t="n">
        <f aca="false">4*L235+3*L236+2*L237+L238</f>
        <v>3.16</v>
      </c>
      <c r="M239" s="23"/>
      <c r="N239" s="37"/>
      <c r="O239" s="38"/>
      <c r="P239" s="39"/>
      <c r="Q239" s="33"/>
      <c r="R239" s="10" t="n">
        <f aca="false">Q239</f>
        <v>0</v>
      </c>
      <c r="S239" s="10" t="n">
        <f aca="false">A239</f>
        <v>0</v>
      </c>
    </row>
    <row r="240" customFormat="false" ht="20.85" hidden="false" customHeight="false" outlineLevel="0" collapsed="false">
      <c r="A240" s="23"/>
      <c r="B240" s="23"/>
      <c r="C240" s="23"/>
      <c r="D240" s="23"/>
      <c r="E240" s="54"/>
      <c r="F240" s="23"/>
      <c r="G240" s="37"/>
      <c r="H240" s="23"/>
      <c r="I240" s="23"/>
      <c r="J240" s="28"/>
      <c r="K240" s="28"/>
      <c r="L240" s="54"/>
      <c r="M240" s="23"/>
      <c r="N240" s="37"/>
      <c r="O240" s="38"/>
      <c r="P240" s="39"/>
      <c r="Q240" s="33"/>
      <c r="R240" s="10" t="n">
        <f aca="false">Q240</f>
        <v>0</v>
      </c>
      <c r="S240" s="10" t="n">
        <f aca="false">A240</f>
        <v>0</v>
      </c>
    </row>
    <row r="241" customFormat="false" ht="20.85" hidden="false" customHeight="false" outlineLevel="0" collapsed="false">
      <c r="A241" s="23"/>
      <c r="B241" s="23"/>
      <c r="C241" s="52" t="s">
        <v>235</v>
      </c>
      <c r="D241" s="23"/>
      <c r="E241" s="53"/>
      <c r="F241" s="23"/>
      <c r="G241" s="37"/>
      <c r="H241" s="23"/>
      <c r="I241" s="23"/>
      <c r="J241" s="28"/>
      <c r="K241" s="28"/>
      <c r="L241" s="53" t="n">
        <v>0.31</v>
      </c>
      <c r="M241" s="23"/>
      <c r="N241" s="37"/>
      <c r="O241" s="38"/>
      <c r="P241" s="39"/>
      <c r="Q241" s="33"/>
      <c r="R241" s="10" t="n">
        <f aca="false">Q241</f>
        <v>0</v>
      </c>
      <c r="S241" s="10" t="n">
        <f aca="false">A241</f>
        <v>0</v>
      </c>
    </row>
    <row r="242" customFormat="false" ht="20.85" hidden="false" customHeight="false" outlineLevel="0" collapsed="false">
      <c r="A242" s="23"/>
      <c r="B242" s="23"/>
      <c r="C242" s="52" t="s">
        <v>236</v>
      </c>
      <c r="D242" s="23"/>
      <c r="E242" s="53"/>
      <c r="F242" s="23"/>
      <c r="G242" s="37"/>
      <c r="H242" s="23"/>
      <c r="I242" s="23"/>
      <c r="J242" s="28"/>
      <c r="K242" s="28"/>
      <c r="L242" s="53" t="n">
        <v>0.5</v>
      </c>
      <c r="M242" s="23"/>
      <c r="N242" s="37"/>
      <c r="O242" s="38"/>
      <c r="P242" s="39"/>
      <c r="Q242" s="33"/>
      <c r="R242" s="10" t="n">
        <f aca="false">Q242</f>
        <v>0</v>
      </c>
      <c r="S242" s="10" t="n">
        <f aca="false">A242</f>
        <v>0</v>
      </c>
    </row>
    <row r="243" customFormat="false" ht="20.85" hidden="false" customHeight="false" outlineLevel="0" collapsed="false">
      <c r="A243" s="23"/>
      <c r="B243" s="23"/>
      <c r="C243" s="52" t="s">
        <v>237</v>
      </c>
      <c r="D243" s="23"/>
      <c r="E243" s="53"/>
      <c r="F243" s="23"/>
      <c r="G243" s="37"/>
      <c r="H243" s="23"/>
      <c r="I243" s="23"/>
      <c r="J243" s="28"/>
      <c r="K243" s="28"/>
      <c r="L243" s="53" t="n">
        <v>0.15</v>
      </c>
      <c r="M243" s="23"/>
      <c r="N243" s="37"/>
      <c r="O243" s="38"/>
      <c r="P243" s="39"/>
      <c r="Q243" s="33"/>
      <c r="R243" s="10" t="n">
        <f aca="false">Q243</f>
        <v>0</v>
      </c>
      <c r="S243" s="10" t="n">
        <f aca="false">A243</f>
        <v>0</v>
      </c>
    </row>
    <row r="244" customFormat="false" ht="20.85" hidden="false" customHeight="false" outlineLevel="0" collapsed="false">
      <c r="A244" s="23"/>
      <c r="B244" s="23"/>
      <c r="C244" s="52" t="s">
        <v>238</v>
      </c>
      <c r="D244" s="23"/>
      <c r="E244" s="53"/>
      <c r="F244" s="23"/>
      <c r="G244" s="37"/>
      <c r="H244" s="23"/>
      <c r="I244" s="23"/>
      <c r="J244" s="28"/>
      <c r="K244" s="28"/>
      <c r="L244" s="53" t="n">
        <v>0.04</v>
      </c>
      <c r="M244" s="23"/>
      <c r="N244" s="37"/>
      <c r="O244" s="38"/>
      <c r="P244" s="39"/>
      <c r="Q244" s="33"/>
      <c r="R244" s="10" t="n">
        <f aca="false">Q244</f>
        <v>0</v>
      </c>
      <c r="S244" s="10" t="n">
        <f aca="false">A244</f>
        <v>0</v>
      </c>
    </row>
    <row r="245" customFormat="false" ht="26.85" hidden="false" customHeight="false" outlineLevel="0" collapsed="false">
      <c r="A245" s="23"/>
      <c r="B245" s="23"/>
      <c r="C245" s="44" t="s">
        <v>243</v>
      </c>
      <c r="D245" s="23"/>
      <c r="E245" s="54" t="n">
        <f aca="false">4*E241+3*E242+2*E243+E244</f>
        <v>0</v>
      </c>
      <c r="F245" s="23"/>
      <c r="G245" s="37"/>
      <c r="H245" s="23"/>
      <c r="I245" s="23"/>
      <c r="J245" s="28"/>
      <c r="K245" s="28"/>
      <c r="L245" s="54" t="n">
        <f aca="false">4*L241+3*L242+2*L243+L244</f>
        <v>3.08</v>
      </c>
      <c r="M245" s="23"/>
      <c r="N245" s="37"/>
      <c r="O245" s="38"/>
      <c r="P245" s="39"/>
      <c r="Q245" s="33"/>
      <c r="R245" s="10" t="n">
        <f aca="false">Q245</f>
        <v>0</v>
      </c>
      <c r="S245" s="10" t="n">
        <f aca="false">A245</f>
        <v>0</v>
      </c>
    </row>
    <row r="246" customFormat="false" ht="20.85" hidden="false" customHeight="false" outlineLevel="0" collapsed="false">
      <c r="A246" s="23"/>
      <c r="B246" s="23"/>
      <c r="C246" s="32" t="s">
        <v>244</v>
      </c>
      <c r="D246" s="23"/>
      <c r="E246" s="26" t="n">
        <f aca="false">(E245+E239+E233+E227+E221)/5</f>
        <v>0</v>
      </c>
      <c r="F246" s="23"/>
      <c r="G246" s="45"/>
      <c r="H246" s="23"/>
      <c r="I246" s="23"/>
      <c r="J246" s="28"/>
      <c r="K246" s="23"/>
      <c r="L246" s="26" t="n">
        <f aca="false">(L245+L239+L233+L227+L221)/5</f>
        <v>3.128</v>
      </c>
      <c r="M246" s="23"/>
      <c r="N246" s="45"/>
      <c r="O246" s="42"/>
      <c r="P246" s="43"/>
      <c r="Q246" s="33"/>
      <c r="R246" s="10" t="n">
        <f aca="false">Q246</f>
        <v>0</v>
      </c>
      <c r="S246" s="10" t="n">
        <f aca="false">A246</f>
        <v>0</v>
      </c>
    </row>
    <row r="247" customFormat="false" ht="243.25" hidden="false" customHeight="false" outlineLevel="0" collapsed="false">
      <c r="A247" s="23"/>
      <c r="B247" s="23" t="s">
        <v>245</v>
      </c>
      <c r="C247" s="24" t="s">
        <v>246</v>
      </c>
      <c r="D247" s="23"/>
      <c r="E247" s="25"/>
      <c r="F247" s="23"/>
      <c r="G247" s="26" t="n">
        <f aca="false">E247</f>
        <v>0</v>
      </c>
      <c r="H247" s="23"/>
      <c r="I247" s="23"/>
      <c r="J247" s="28" t="str">
        <f aca="false">IF(ISBLANK(I247), "❌ BELUM ADA DOKUMEN PENDUKUNG", "✅ SILAHKAN AUDITOR MELAKUKAN VERIFIKASI DOKUMEN PENDUKUNGNYA")</f>
        <v>❌ BELUM ADA DOKUMEN PENDUKUNG</v>
      </c>
      <c r="K247" s="23"/>
      <c r="L247" s="25" t="n">
        <v>3</v>
      </c>
      <c r="M247" s="23"/>
      <c r="N247" s="26" t="n">
        <f aca="false">L247</f>
        <v>3</v>
      </c>
      <c r="O247" s="29"/>
      <c r="P247" s="30"/>
      <c r="Q247" s="33"/>
      <c r="R247" s="10" t="n">
        <f aca="false">Q247</f>
        <v>0</v>
      </c>
      <c r="S247" s="10" t="n">
        <f aca="false">A247</f>
        <v>0</v>
      </c>
    </row>
    <row r="248" customFormat="false" ht="243.25" hidden="false" customHeight="true" outlineLevel="0" collapsed="false">
      <c r="A248" s="23" t="s">
        <v>247</v>
      </c>
      <c r="B248" s="23" t="s">
        <v>248</v>
      </c>
      <c r="C248" s="24" t="s">
        <v>249</v>
      </c>
      <c r="D248" s="23"/>
      <c r="E248" s="25"/>
      <c r="F248" s="23"/>
      <c r="G248" s="26" t="n">
        <f aca="false">E248</f>
        <v>0</v>
      </c>
      <c r="H248" s="23"/>
      <c r="I248" s="23"/>
      <c r="J248" s="28" t="str">
        <f aca="false">IF(ISBLANK(I248), "❌ BELUM ADA DOKUMEN PENDUKUNG", "✅ SILAHKAN AUDITOR MELAKUKAN VERIFIKASI DOKUMEN PENDUKUNGNYA")</f>
        <v>❌ BELUM ADA DOKUMEN PENDUKUNG</v>
      </c>
      <c r="K248" s="23"/>
      <c r="L248" s="25" t="n">
        <v>3</v>
      </c>
      <c r="M248" s="23"/>
      <c r="N248" s="26" t="n">
        <f aca="false">L248</f>
        <v>3</v>
      </c>
      <c r="O248" s="29"/>
      <c r="P248" s="30"/>
      <c r="Q248" s="31" t="n">
        <f aca="false">AVERAGE(N248,N249)</f>
        <v>3.5</v>
      </c>
      <c r="R248" s="10" t="n">
        <f aca="false">Q248</f>
        <v>3.5</v>
      </c>
      <c r="S248" s="10" t="str">
        <f aca="false">A248</f>
        <v>Kriteria 7 - Penelitian</v>
      </c>
    </row>
    <row r="249" customFormat="false" ht="20.85" hidden="false" customHeight="true" outlineLevel="0" collapsed="false">
      <c r="A249" s="23"/>
      <c r="B249" s="23" t="s">
        <v>250</v>
      </c>
      <c r="C249" s="46" t="s">
        <v>251</v>
      </c>
      <c r="D249" s="23"/>
      <c r="E249" s="26" t="e">
        <f aca="false">IF(E254&gt;=0.25, 4, 2 + (8 * E254))</f>
        <v>#DIV/0!</v>
      </c>
      <c r="F249" s="23"/>
      <c r="G249" s="35" t="e">
        <f aca="false">E249</f>
        <v>#DIV/0!</v>
      </c>
      <c r="H249" s="23"/>
      <c r="I249" s="23"/>
      <c r="J249" s="28" t="str">
        <f aca="false">IF(ISBLANK(I249), "❌ BELUM ADA DOKUMEN PENDUKUNG", "✅ SILAHKAN AUDITOR MELAKUKAN VERIFIKASI DOKUMEN PENDUKUNGNYA")</f>
        <v>❌ BELUM ADA DOKUMEN PENDUKUNG</v>
      </c>
      <c r="K249" s="23"/>
      <c r="L249" s="26" t="n">
        <f aca="false">IF(L254&gt;=0.25, 4, 2 + (8 * L254))</f>
        <v>4</v>
      </c>
      <c r="M249" s="23"/>
      <c r="N249" s="35" t="n">
        <f aca="false">L249</f>
        <v>4</v>
      </c>
      <c r="O249" s="29"/>
      <c r="P249" s="30"/>
      <c r="Q249" s="31"/>
      <c r="R249" s="10" t="n">
        <f aca="false">Q249</f>
        <v>0</v>
      </c>
      <c r="S249" s="10" t="n">
        <f aca="false">A249</f>
        <v>0</v>
      </c>
    </row>
    <row r="250" customFormat="false" ht="20.85" hidden="false" customHeight="false" outlineLevel="0" collapsed="false">
      <c r="A250" s="23"/>
      <c r="B250" s="23"/>
      <c r="C250" s="23"/>
      <c r="D250" s="23"/>
      <c r="E250" s="26"/>
      <c r="F250" s="23"/>
      <c r="G250" s="37"/>
      <c r="H250" s="23"/>
      <c r="I250" s="23"/>
      <c r="J250" s="28"/>
      <c r="K250" s="28"/>
      <c r="L250" s="26"/>
      <c r="M250" s="23"/>
      <c r="N250" s="37"/>
      <c r="O250" s="38"/>
      <c r="P250" s="39"/>
      <c r="Q250" s="31"/>
      <c r="R250" s="10" t="n">
        <f aca="false">Q250</f>
        <v>0</v>
      </c>
      <c r="S250" s="10" t="n">
        <f aca="false">A250</f>
        <v>0</v>
      </c>
    </row>
    <row r="251" customFormat="false" ht="20.85" hidden="false" customHeight="false" outlineLevel="0" collapsed="false">
      <c r="A251" s="23"/>
      <c r="B251" s="23"/>
      <c r="C251" s="46"/>
      <c r="D251" s="23"/>
      <c r="E251" s="26"/>
      <c r="F251" s="23"/>
      <c r="G251" s="37"/>
      <c r="H251" s="23"/>
      <c r="I251" s="23"/>
      <c r="J251" s="28"/>
      <c r="K251" s="28"/>
      <c r="L251" s="26"/>
      <c r="M251" s="23"/>
      <c r="N251" s="37"/>
      <c r="O251" s="38"/>
      <c r="P251" s="39"/>
      <c r="Q251" s="31"/>
      <c r="R251" s="10" t="n">
        <f aca="false">Q251</f>
        <v>0</v>
      </c>
      <c r="S251" s="10" t="n">
        <f aca="false">A251</f>
        <v>0</v>
      </c>
    </row>
    <row r="252" customFormat="false" ht="39.55" hidden="false" customHeight="false" outlineLevel="0" collapsed="false">
      <c r="A252" s="23"/>
      <c r="B252" s="23"/>
      <c r="C252" s="46" t="s">
        <v>252</v>
      </c>
      <c r="D252" s="23"/>
      <c r="E252" s="25"/>
      <c r="F252" s="23"/>
      <c r="G252" s="37"/>
      <c r="H252" s="23"/>
      <c r="I252" s="23"/>
      <c r="J252" s="28"/>
      <c r="K252" s="28"/>
      <c r="L252" s="25" t="n">
        <v>500</v>
      </c>
      <c r="M252" s="23"/>
      <c r="N252" s="37"/>
      <c r="O252" s="38"/>
      <c r="P252" s="39"/>
      <c r="Q252" s="31"/>
      <c r="R252" s="10" t="n">
        <f aca="false">Q252</f>
        <v>0</v>
      </c>
      <c r="S252" s="10" t="n">
        <f aca="false">A252</f>
        <v>0</v>
      </c>
    </row>
    <row r="253" customFormat="false" ht="20.85" hidden="false" customHeight="false" outlineLevel="0" collapsed="false">
      <c r="A253" s="23"/>
      <c r="B253" s="23"/>
      <c r="C253" s="46" t="s">
        <v>253</v>
      </c>
      <c r="D253" s="23"/>
      <c r="E253" s="25"/>
      <c r="F253" s="23"/>
      <c r="G253" s="37"/>
      <c r="H253" s="23"/>
      <c r="I253" s="23"/>
      <c r="J253" s="28"/>
      <c r="K253" s="28"/>
      <c r="L253" s="25" t="n">
        <v>213</v>
      </c>
      <c r="M253" s="23"/>
      <c r="N253" s="37"/>
      <c r="O253" s="38"/>
      <c r="P253" s="39"/>
      <c r="Q253" s="31"/>
      <c r="R253" s="10" t="n">
        <f aca="false">Q253</f>
        <v>0</v>
      </c>
      <c r="S253" s="10" t="n">
        <f aca="false">A253</f>
        <v>0</v>
      </c>
    </row>
    <row r="254" customFormat="false" ht="20.85" hidden="false" customHeight="false" outlineLevel="0" collapsed="false">
      <c r="A254" s="23"/>
      <c r="B254" s="23"/>
      <c r="C254" s="46" t="s">
        <v>254</v>
      </c>
      <c r="D254" s="23"/>
      <c r="E254" s="26" t="e">
        <f aca="false">(E252/E253)*100%</f>
        <v>#DIV/0!</v>
      </c>
      <c r="F254" s="23"/>
      <c r="G254" s="45"/>
      <c r="H254" s="23"/>
      <c r="I254" s="23"/>
      <c r="J254" s="28"/>
      <c r="K254" s="23"/>
      <c r="L254" s="26" t="n">
        <f aca="false">(L252/L253)*100%</f>
        <v>2.34741784037559</v>
      </c>
      <c r="M254" s="23"/>
      <c r="N254" s="45"/>
      <c r="O254" s="42"/>
      <c r="P254" s="43"/>
      <c r="Q254" s="31"/>
      <c r="R254" s="10" t="n">
        <f aca="false">Q254</f>
        <v>0</v>
      </c>
      <c r="S254" s="10" t="n">
        <f aca="false">A254</f>
        <v>0</v>
      </c>
    </row>
    <row r="255" customFormat="false" ht="243.25" hidden="false" customHeight="true" outlineLevel="0" collapsed="false">
      <c r="A255" s="32" t="s">
        <v>255</v>
      </c>
      <c r="B255" s="23" t="s">
        <v>256</v>
      </c>
      <c r="C255" s="24" t="s">
        <v>257</v>
      </c>
      <c r="D255" s="23"/>
      <c r="E255" s="25"/>
      <c r="F255" s="23"/>
      <c r="G255" s="26" t="n">
        <f aca="false">E255</f>
        <v>0</v>
      </c>
      <c r="H255" s="23"/>
      <c r="I255" s="23"/>
      <c r="J255" s="28" t="str">
        <f aca="false">IF(ISBLANK(I255), "❌ BELUM ADA DOKUMEN PENDUKUNG", "✅ SILAHKAN AUDITOR MELAKUKAN VERIFIKASI DOKUMEN PENDUKUNGNYA")</f>
        <v>❌ BELUM ADA DOKUMEN PENDUKUNG</v>
      </c>
      <c r="K255" s="23"/>
      <c r="L255" s="25" t="n">
        <v>3.5</v>
      </c>
      <c r="M255" s="23"/>
      <c r="N255" s="26" t="n">
        <f aca="false">L255</f>
        <v>3.5</v>
      </c>
      <c r="O255" s="29"/>
      <c r="P255" s="30"/>
      <c r="Q255" s="57" t="n">
        <f aca="false">AVERAGE(N255,N256)</f>
        <v>3.75</v>
      </c>
      <c r="R255" s="10" t="n">
        <f aca="false">Q255</f>
        <v>3.75</v>
      </c>
      <c r="S255" s="10" t="str">
        <f aca="false">A255</f>
        <v>Kriteria 8 - Pengabdian kepada Masyarakat</v>
      </c>
    </row>
    <row r="256" customFormat="false" ht="20.85" hidden="false" customHeight="true" outlineLevel="0" collapsed="false">
      <c r="A256" s="32"/>
      <c r="B256" s="23" t="s">
        <v>258</v>
      </c>
      <c r="C256" s="46" t="s">
        <v>259</v>
      </c>
      <c r="D256" s="23"/>
      <c r="E256" s="26" t="e">
        <f aca="false">IF(E260&gt;=0.25, 4, 2 + (8 * E260))</f>
        <v>#DIV/0!</v>
      </c>
      <c r="F256" s="23"/>
      <c r="G256" s="35" t="e">
        <f aca="false">E256</f>
        <v>#DIV/0!</v>
      </c>
      <c r="H256" s="23"/>
      <c r="I256" s="23"/>
      <c r="J256" s="28" t="str">
        <f aca="false">IF(ISBLANK(I256), "❌ BELUM ADA DOKUMEN PENDUKUNG", "✅ SILAHKAN AUDITOR MELAKUKAN VERIFIKASI DOKUMEN PENDUKUNGNYA")</f>
        <v>❌ BELUM ADA DOKUMEN PENDUKUNG</v>
      </c>
      <c r="K256" s="23"/>
      <c r="L256" s="26" t="n">
        <f aca="false">IF(L260&gt;=0.25, 4, 2 + (8 * L260))</f>
        <v>4</v>
      </c>
      <c r="M256" s="23"/>
      <c r="N256" s="35" t="n">
        <f aca="false">L256</f>
        <v>4</v>
      </c>
      <c r="O256" s="29"/>
      <c r="P256" s="30"/>
      <c r="Q256" s="57"/>
      <c r="R256" s="10" t="n">
        <f aca="false">Q256</f>
        <v>0</v>
      </c>
      <c r="S256" s="10" t="n">
        <f aca="false">A256</f>
        <v>0</v>
      </c>
    </row>
    <row r="257" customFormat="false" ht="20.85" hidden="false" customHeight="false" outlineLevel="0" collapsed="false">
      <c r="A257" s="32"/>
      <c r="B257" s="32"/>
      <c r="C257" s="46" t="s">
        <v>260</v>
      </c>
      <c r="D257" s="23"/>
      <c r="E257" s="26"/>
      <c r="F257" s="23"/>
      <c r="G257" s="37"/>
      <c r="H257" s="23"/>
      <c r="I257" s="23"/>
      <c r="J257" s="28"/>
      <c r="K257" s="28"/>
      <c r="L257" s="26"/>
      <c r="M257" s="23"/>
      <c r="N257" s="37"/>
      <c r="O257" s="38"/>
      <c r="P257" s="39"/>
      <c r="Q257" s="57"/>
      <c r="R257" s="10" t="n">
        <f aca="false">Q257</f>
        <v>0</v>
      </c>
      <c r="S257" s="10" t="n">
        <f aca="false">A257</f>
        <v>0</v>
      </c>
    </row>
    <row r="258" customFormat="false" ht="39.55" hidden="false" customHeight="false" outlineLevel="0" collapsed="false">
      <c r="A258" s="32"/>
      <c r="B258" s="32"/>
      <c r="C258" s="46" t="s">
        <v>261</v>
      </c>
      <c r="D258" s="23"/>
      <c r="E258" s="25"/>
      <c r="F258" s="23"/>
      <c r="G258" s="37"/>
      <c r="H258" s="23"/>
      <c r="I258" s="23"/>
      <c r="J258" s="28"/>
      <c r="K258" s="28"/>
      <c r="L258" s="25" t="n">
        <v>127</v>
      </c>
      <c r="M258" s="23"/>
      <c r="N258" s="37"/>
      <c r="O258" s="38"/>
      <c r="P258" s="39"/>
      <c r="Q258" s="57"/>
      <c r="R258" s="10" t="n">
        <f aca="false">Q258</f>
        <v>0</v>
      </c>
      <c r="S258" s="10" t="n">
        <f aca="false">A258</f>
        <v>0</v>
      </c>
    </row>
    <row r="259" customFormat="false" ht="20.85" hidden="false" customHeight="false" outlineLevel="0" collapsed="false">
      <c r="A259" s="32"/>
      <c r="B259" s="32"/>
      <c r="C259" s="46" t="s">
        <v>262</v>
      </c>
      <c r="D259" s="23"/>
      <c r="E259" s="25"/>
      <c r="F259" s="23"/>
      <c r="G259" s="37"/>
      <c r="H259" s="23"/>
      <c r="I259" s="23"/>
      <c r="J259" s="28"/>
      <c r="K259" s="28"/>
      <c r="L259" s="25" t="n">
        <v>127</v>
      </c>
      <c r="M259" s="23"/>
      <c r="N259" s="37"/>
      <c r="O259" s="38"/>
      <c r="P259" s="39"/>
      <c r="Q259" s="57"/>
      <c r="R259" s="10" t="n">
        <f aca="false">Q259</f>
        <v>0</v>
      </c>
      <c r="S259" s="10" t="n">
        <f aca="false">A259</f>
        <v>0</v>
      </c>
    </row>
    <row r="260" customFormat="false" ht="20.85" hidden="false" customHeight="false" outlineLevel="0" collapsed="false">
      <c r="A260" s="32"/>
      <c r="B260" s="32"/>
      <c r="C260" s="46" t="s">
        <v>263</v>
      </c>
      <c r="D260" s="23"/>
      <c r="E260" s="26" t="e">
        <f aca="false">(E258/E259)*100%</f>
        <v>#DIV/0!</v>
      </c>
      <c r="F260" s="23"/>
      <c r="G260" s="45"/>
      <c r="H260" s="23"/>
      <c r="I260" s="23"/>
      <c r="J260" s="28"/>
      <c r="K260" s="23"/>
      <c r="L260" s="26" t="n">
        <f aca="false">(L258/L259)*100%</f>
        <v>1</v>
      </c>
      <c r="M260" s="23"/>
      <c r="N260" s="45"/>
      <c r="O260" s="42"/>
      <c r="P260" s="43"/>
      <c r="Q260" s="57"/>
      <c r="R260" s="10" t="n">
        <f aca="false">Q260</f>
        <v>0</v>
      </c>
      <c r="S260" s="10" t="n">
        <f aca="false">A260</f>
        <v>0</v>
      </c>
    </row>
    <row r="261" customFormat="false" ht="135.8" hidden="false" customHeight="true" outlineLevel="0" collapsed="false">
      <c r="A261" s="23" t="s">
        <v>264</v>
      </c>
      <c r="B261" s="23" t="s">
        <v>265</v>
      </c>
      <c r="C261" s="24" t="s">
        <v>266</v>
      </c>
      <c r="D261" s="23"/>
      <c r="E261" s="25"/>
      <c r="F261" s="23"/>
      <c r="G261" s="26" t="n">
        <f aca="false">E261</f>
        <v>0</v>
      </c>
      <c r="H261" s="23"/>
      <c r="I261" s="23"/>
      <c r="J261" s="28" t="str">
        <f aca="false">IF(ISBLANK(I261), "❌ BELUM ADA DOKUMEN PENDUKUNG", "✅ SILAHKAN AUDITOR MELAKUKAN VERIFIKASI DOKUMEN PENDUKUNGNYA")</f>
        <v>❌ BELUM ADA DOKUMEN PENDUKUNG</v>
      </c>
      <c r="K261" s="23"/>
      <c r="L261" s="25" t="n">
        <v>3</v>
      </c>
      <c r="M261" s="23"/>
      <c r="N261" s="26" t="n">
        <f aca="false">L261</f>
        <v>3</v>
      </c>
      <c r="O261" s="29"/>
      <c r="P261" s="30"/>
      <c r="Q261" s="31" t="n">
        <f aca="false">AVERAGE(N261,N262,N264,N278,N293,N295:N297,N297,N299,N300,N325,N340,N367,N413,N434)</f>
        <v>3.3964793845105</v>
      </c>
      <c r="R261" s="10" t="n">
        <f aca="false">Q261</f>
        <v>3.3964793845105</v>
      </c>
      <c r="S261" s="10" t="str">
        <f aca="false">A261</f>
        <v>Kriteria 9 - Luaran dan Capaian Tridharma</v>
      </c>
    </row>
    <row r="262" customFormat="false" ht="28.35" hidden="false" customHeight="true" outlineLevel="0" collapsed="false">
      <c r="A262" s="23"/>
      <c r="B262" s="23" t="s">
        <v>267</v>
      </c>
      <c r="C262" s="24" t="s">
        <v>268</v>
      </c>
      <c r="D262" s="23"/>
      <c r="E262" s="23" t="str">
        <f aca="false">IF(E263&gt;=3.25, 4,
 IF(E263&gt;=2, ((8 * E263) - 6) / 5,
 "ISI RIPK"))</f>
        <v>ISI RIPK</v>
      </c>
      <c r="F262" s="23"/>
      <c r="G262" s="35" t="str">
        <f aca="false">E262</f>
        <v>ISI RIPK</v>
      </c>
      <c r="H262" s="23"/>
      <c r="I262" s="23"/>
      <c r="J262" s="28" t="str">
        <f aca="false">IF(ISBLANK(I262), "❌ BELUM ADA DOKUMEN PENDUKUNG", "✅ SILAHKAN AUDITOR MELAKUKAN VERIFIKASI DOKUMEN PENDUKUNGNYA")</f>
        <v>❌ BELUM ADA DOKUMEN PENDUKUNG</v>
      </c>
      <c r="K262" s="23"/>
      <c r="L262" s="23" t="n">
        <f aca="false">IF(L263&gt;=3.25, 4,
 IF(L263&gt;=2, ((8 * L263) - 6) / 5,
 "ISI RIPK"))</f>
        <v>4</v>
      </c>
      <c r="M262" s="23"/>
      <c r="N262" s="35" t="n">
        <f aca="false">L262</f>
        <v>4</v>
      </c>
      <c r="O262" s="29"/>
      <c r="P262" s="30"/>
      <c r="Q262" s="31"/>
      <c r="R262" s="10" t="n">
        <f aca="false">Q262</f>
        <v>0</v>
      </c>
      <c r="S262" s="10" t="n">
        <f aca="false">A262</f>
        <v>0</v>
      </c>
    </row>
    <row r="263" customFormat="false" ht="32.25" hidden="false" customHeight="true" outlineLevel="0" collapsed="false">
      <c r="A263" s="23"/>
      <c r="B263" s="23"/>
      <c r="C263" s="24" t="s">
        <v>269</v>
      </c>
      <c r="D263" s="23"/>
      <c r="E263" s="25"/>
      <c r="F263" s="23"/>
      <c r="G263" s="45"/>
      <c r="H263" s="23"/>
      <c r="I263" s="23"/>
      <c r="J263" s="28"/>
      <c r="K263" s="23"/>
      <c r="L263" s="25" t="n">
        <v>3.75</v>
      </c>
      <c r="M263" s="23"/>
      <c r="N263" s="45"/>
      <c r="O263" s="42"/>
      <c r="P263" s="43"/>
      <c r="Q263" s="31"/>
      <c r="R263" s="10" t="n">
        <f aca="false">Q263</f>
        <v>0</v>
      </c>
      <c r="S263" s="10" t="n">
        <f aca="false">A263</f>
        <v>0</v>
      </c>
    </row>
    <row r="264" customFormat="false" ht="20.85" hidden="false" customHeight="true" outlineLevel="0" collapsed="false">
      <c r="A264" s="23"/>
      <c r="B264" s="23" t="s">
        <v>270</v>
      </c>
      <c r="C264" s="46" t="s">
        <v>271</v>
      </c>
      <c r="D264" s="23"/>
      <c r="E264" s="26" t="e">
        <f aca="false">IF(E275&gt;=0.001, 4,
 IF(AND(E275&lt;0.001, E276&gt;=0.01), 3 + (E275 / 0.001),
 IF(AND(E275=0, E276=0, E277&gt;=0.02), 2,
 IF(AND(E275&gt;0, E275&lt;0.001, E276&gt;0, E276&lt;0.01), 2 + (2 * (E275 / 0.001)) + (E276 / 0.01) - ((E275 * E276) / (0.001 * 0.01)),
 IF(AND(E275=0, E276=0, E277&lt;0.02), (2 * E277) / 0.02,
 "")))))</f>
        <v>#DIV/0!</v>
      </c>
      <c r="F264" s="23"/>
      <c r="G264" s="35" t="e">
        <f aca="false">E264</f>
        <v>#DIV/0!</v>
      </c>
      <c r="H264" s="23"/>
      <c r="I264" s="23"/>
      <c r="J264" s="28" t="str">
        <f aca="false">IF(ISBLANK(I264), "❌ BELUM ADA DOKUMEN PENDUKUNG", "✅ SILAHKAN AUDITOR MELAKUKAN VERIFIKASI DOKUMEN PENDUKUNGNYA")</f>
        <v>❌ BELUM ADA DOKUMEN PENDUKUNG</v>
      </c>
      <c r="K264" s="23"/>
      <c r="L264" s="26" t="n">
        <f aca="false">IF(L275&gt;=0.001, 4,
 IF(AND(L275&lt;0.001, L276&gt;=0.01), 3 + (L275 / 0.001),
 IF(AND(L275=0, L276=0, L277&gt;=0.02), 2,
 IF(AND(L275&gt;0, L275&lt;0.001, L276&gt;0, L276&lt;0.01), 2 + (2 * (L275 / 0.001)) + (L276 / 0.01) - ((L275 * L276) / (0.001 * 0.01)),
 IF(AND(L275=0, L276=0, L277&lt;0.02), (2 * L277) / 0.02,
 "")))))</f>
        <v>4</v>
      </c>
      <c r="M264" s="23"/>
      <c r="N264" s="35" t="n">
        <f aca="false">L264</f>
        <v>4</v>
      </c>
      <c r="O264" s="29"/>
      <c r="P264" s="30"/>
      <c r="Q264" s="31"/>
      <c r="R264" s="10" t="n">
        <f aca="false">Q264</f>
        <v>0</v>
      </c>
      <c r="S264" s="10" t="n">
        <f aca="false">A264</f>
        <v>0</v>
      </c>
    </row>
    <row r="265" customFormat="false" ht="20.85" hidden="false" customHeight="false" outlineLevel="0" collapsed="false">
      <c r="A265" s="23"/>
      <c r="B265" s="23"/>
      <c r="C265" s="23"/>
      <c r="D265" s="23"/>
      <c r="E265" s="26"/>
      <c r="F265" s="23"/>
      <c r="G265" s="37"/>
      <c r="H265" s="23"/>
      <c r="I265" s="23"/>
      <c r="J265" s="28"/>
      <c r="K265" s="28"/>
      <c r="L265" s="26"/>
      <c r="M265" s="23"/>
      <c r="N265" s="37"/>
      <c r="O265" s="38"/>
      <c r="P265" s="39"/>
      <c r="Q265" s="31"/>
      <c r="R265" s="10" t="n">
        <f aca="false">Q265</f>
        <v>0</v>
      </c>
      <c r="S265" s="10" t="n">
        <f aca="false">A265</f>
        <v>0</v>
      </c>
    </row>
    <row r="266" customFormat="false" ht="20.85" hidden="false" customHeight="false" outlineLevel="0" collapsed="false">
      <c r="A266" s="23"/>
      <c r="B266" s="23"/>
      <c r="C266" s="23"/>
      <c r="D266" s="23"/>
      <c r="E266" s="26"/>
      <c r="F266" s="23"/>
      <c r="G266" s="37"/>
      <c r="H266" s="23"/>
      <c r="I266" s="23"/>
      <c r="J266" s="28"/>
      <c r="K266" s="28"/>
      <c r="L266" s="26"/>
      <c r="M266" s="23"/>
      <c r="N266" s="37"/>
      <c r="O266" s="38"/>
      <c r="P266" s="39"/>
      <c r="Q266" s="31"/>
      <c r="R266" s="10" t="n">
        <f aca="false">Q266</f>
        <v>0</v>
      </c>
      <c r="S266" s="10" t="n">
        <f aca="false">A266</f>
        <v>0</v>
      </c>
    </row>
    <row r="267" customFormat="false" ht="20.85" hidden="false" customHeight="false" outlineLevel="0" collapsed="false">
      <c r="A267" s="23"/>
      <c r="B267" s="23"/>
      <c r="C267" s="23"/>
      <c r="D267" s="23"/>
      <c r="E267" s="26"/>
      <c r="F267" s="23"/>
      <c r="G267" s="37"/>
      <c r="H267" s="23"/>
      <c r="I267" s="23"/>
      <c r="J267" s="28"/>
      <c r="K267" s="28"/>
      <c r="L267" s="26"/>
      <c r="M267" s="23"/>
      <c r="N267" s="37"/>
      <c r="O267" s="38"/>
      <c r="P267" s="39"/>
      <c r="Q267" s="31"/>
      <c r="R267" s="10" t="n">
        <f aca="false">Q267</f>
        <v>0</v>
      </c>
      <c r="S267" s="10" t="n">
        <f aca="false">A267</f>
        <v>0</v>
      </c>
    </row>
    <row r="268" customFormat="false" ht="20.85" hidden="false" customHeight="false" outlineLevel="0" collapsed="false">
      <c r="A268" s="23"/>
      <c r="B268" s="23"/>
      <c r="C268" s="23"/>
      <c r="D268" s="23"/>
      <c r="E268" s="26"/>
      <c r="F268" s="23"/>
      <c r="G268" s="37"/>
      <c r="H268" s="23"/>
      <c r="I268" s="23"/>
      <c r="J268" s="28"/>
      <c r="K268" s="28"/>
      <c r="L268" s="26"/>
      <c r="M268" s="23"/>
      <c r="N268" s="37"/>
      <c r="O268" s="38"/>
      <c r="P268" s="39"/>
      <c r="Q268" s="31"/>
      <c r="R268" s="10" t="n">
        <f aca="false">Q268</f>
        <v>0</v>
      </c>
      <c r="S268" s="10" t="n">
        <f aca="false">A268</f>
        <v>0</v>
      </c>
    </row>
    <row r="269" customFormat="false" ht="20.85" hidden="false" customHeight="false" outlineLevel="0" collapsed="false">
      <c r="A269" s="23"/>
      <c r="B269" s="23"/>
      <c r="C269" s="23"/>
      <c r="D269" s="23"/>
      <c r="E269" s="26"/>
      <c r="F269" s="23"/>
      <c r="G269" s="37"/>
      <c r="H269" s="23"/>
      <c r="I269" s="23"/>
      <c r="J269" s="28"/>
      <c r="K269" s="28"/>
      <c r="L269" s="26"/>
      <c r="M269" s="23"/>
      <c r="N269" s="37"/>
      <c r="O269" s="38"/>
      <c r="P269" s="39"/>
      <c r="Q269" s="31"/>
      <c r="R269" s="10" t="n">
        <f aca="false">Q269</f>
        <v>0</v>
      </c>
      <c r="S269" s="10" t="n">
        <f aca="false">A269</f>
        <v>0</v>
      </c>
    </row>
    <row r="270" customFormat="false" ht="20.85" hidden="false" customHeight="false" outlineLevel="0" collapsed="false">
      <c r="A270" s="23"/>
      <c r="B270" s="23"/>
      <c r="C270" s="46"/>
      <c r="D270" s="23"/>
      <c r="E270" s="26"/>
      <c r="F270" s="23"/>
      <c r="G270" s="37"/>
      <c r="H270" s="23"/>
      <c r="I270" s="23"/>
      <c r="J270" s="28"/>
      <c r="K270" s="28"/>
      <c r="L270" s="26"/>
      <c r="M270" s="23"/>
      <c r="N270" s="37"/>
      <c r="O270" s="38"/>
      <c r="P270" s="39"/>
      <c r="Q270" s="31"/>
      <c r="R270" s="10" t="n">
        <f aca="false">Q270</f>
        <v>0</v>
      </c>
      <c r="S270" s="10" t="n">
        <f aca="false">A270</f>
        <v>0</v>
      </c>
    </row>
    <row r="271" customFormat="false" ht="20.85" hidden="false" customHeight="false" outlineLevel="0" collapsed="false">
      <c r="A271" s="23"/>
      <c r="B271" s="23"/>
      <c r="C271" s="46" t="s">
        <v>272</v>
      </c>
      <c r="D271" s="23"/>
      <c r="E271" s="25"/>
      <c r="F271" s="23"/>
      <c r="G271" s="37"/>
      <c r="H271" s="23"/>
      <c r="I271" s="23"/>
      <c r="J271" s="28"/>
      <c r="K271" s="28"/>
      <c r="L271" s="25" t="n">
        <v>14</v>
      </c>
      <c r="M271" s="23"/>
      <c r="N271" s="37"/>
      <c r="O271" s="38"/>
      <c r="P271" s="39"/>
      <c r="Q271" s="31"/>
      <c r="R271" s="10" t="n">
        <f aca="false">Q271</f>
        <v>0</v>
      </c>
      <c r="S271" s="10" t="n">
        <f aca="false">A271</f>
        <v>0</v>
      </c>
    </row>
    <row r="272" customFormat="false" ht="20.85" hidden="false" customHeight="false" outlineLevel="0" collapsed="false">
      <c r="A272" s="23"/>
      <c r="B272" s="23"/>
      <c r="C272" s="46" t="s">
        <v>273</v>
      </c>
      <c r="D272" s="23"/>
      <c r="E272" s="25"/>
      <c r="F272" s="23"/>
      <c r="G272" s="37"/>
      <c r="H272" s="23"/>
      <c r="I272" s="23"/>
      <c r="J272" s="28"/>
      <c r="K272" s="28"/>
      <c r="L272" s="25" t="n">
        <v>2</v>
      </c>
      <c r="M272" s="23"/>
      <c r="N272" s="37"/>
      <c r="O272" s="38"/>
      <c r="P272" s="39"/>
      <c r="Q272" s="31"/>
      <c r="R272" s="10" t="n">
        <f aca="false">Q272</f>
        <v>0</v>
      </c>
      <c r="S272" s="10" t="n">
        <f aca="false">A272</f>
        <v>0</v>
      </c>
    </row>
    <row r="273" customFormat="false" ht="20.85" hidden="false" customHeight="false" outlineLevel="0" collapsed="false">
      <c r="A273" s="23"/>
      <c r="B273" s="23"/>
      <c r="C273" s="46" t="s">
        <v>274</v>
      </c>
      <c r="D273" s="23"/>
      <c r="E273" s="25"/>
      <c r="F273" s="23"/>
      <c r="G273" s="37"/>
      <c r="H273" s="23"/>
      <c r="I273" s="23"/>
      <c r="J273" s="28"/>
      <c r="K273" s="28"/>
      <c r="L273" s="25" t="n">
        <v>2</v>
      </c>
      <c r="M273" s="23"/>
      <c r="N273" s="37"/>
      <c r="O273" s="38"/>
      <c r="P273" s="39"/>
      <c r="Q273" s="31"/>
      <c r="R273" s="10" t="n">
        <f aca="false">Q273</f>
        <v>0</v>
      </c>
      <c r="S273" s="10" t="n">
        <f aca="false">A273</f>
        <v>0</v>
      </c>
    </row>
    <row r="274" customFormat="false" ht="20.85" hidden="false" customHeight="false" outlineLevel="0" collapsed="false">
      <c r="A274" s="23"/>
      <c r="B274" s="23"/>
      <c r="C274" s="46" t="s">
        <v>103</v>
      </c>
      <c r="D274" s="23"/>
      <c r="E274" s="25"/>
      <c r="F274" s="23"/>
      <c r="G274" s="37"/>
      <c r="H274" s="23"/>
      <c r="I274" s="23"/>
      <c r="J274" s="28"/>
      <c r="K274" s="28"/>
      <c r="L274" s="25" t="n">
        <v>1477</v>
      </c>
      <c r="M274" s="23"/>
      <c r="N274" s="37"/>
      <c r="O274" s="38"/>
      <c r="P274" s="39"/>
      <c r="Q274" s="31"/>
      <c r="R274" s="10" t="n">
        <f aca="false">Q274</f>
        <v>0</v>
      </c>
      <c r="S274" s="10" t="n">
        <f aca="false">A274</f>
        <v>0</v>
      </c>
    </row>
    <row r="275" customFormat="false" ht="20.85" hidden="false" customHeight="false" outlineLevel="0" collapsed="false">
      <c r="A275" s="23"/>
      <c r="B275" s="23"/>
      <c r="C275" s="46" t="s">
        <v>275</v>
      </c>
      <c r="D275" s="23"/>
      <c r="E275" s="26" t="e">
        <f aca="false">E271/E274</f>
        <v>#DIV/0!</v>
      </c>
      <c r="F275" s="23"/>
      <c r="G275" s="37"/>
      <c r="H275" s="23"/>
      <c r="I275" s="23"/>
      <c r="J275" s="28"/>
      <c r="K275" s="28"/>
      <c r="L275" s="26" t="n">
        <f aca="false">L271/L274</f>
        <v>0.00947867298578199</v>
      </c>
      <c r="M275" s="23"/>
      <c r="N275" s="37"/>
      <c r="O275" s="38"/>
      <c r="P275" s="39"/>
      <c r="Q275" s="31"/>
      <c r="R275" s="10" t="n">
        <f aca="false">Q275</f>
        <v>0</v>
      </c>
      <c r="S275" s="10" t="n">
        <f aca="false">A275</f>
        <v>0</v>
      </c>
    </row>
    <row r="276" customFormat="false" ht="20.85" hidden="false" customHeight="false" outlineLevel="0" collapsed="false">
      <c r="A276" s="23"/>
      <c r="B276" s="23"/>
      <c r="C276" s="46" t="s">
        <v>276</v>
      </c>
      <c r="D276" s="23"/>
      <c r="E276" s="26" t="e">
        <f aca="false">E272/E274</f>
        <v>#DIV/0!</v>
      </c>
      <c r="F276" s="23"/>
      <c r="G276" s="37"/>
      <c r="H276" s="23"/>
      <c r="I276" s="23"/>
      <c r="J276" s="28"/>
      <c r="K276" s="28"/>
      <c r="L276" s="26" t="n">
        <f aca="false">L272/L274</f>
        <v>0.001354096140826</v>
      </c>
      <c r="M276" s="23"/>
      <c r="N276" s="37"/>
      <c r="O276" s="38"/>
      <c r="P276" s="39"/>
      <c r="Q276" s="31"/>
      <c r="R276" s="10" t="n">
        <f aca="false">Q276</f>
        <v>0</v>
      </c>
      <c r="S276" s="10" t="n">
        <f aca="false">A276</f>
        <v>0</v>
      </c>
    </row>
    <row r="277" customFormat="false" ht="20.85" hidden="false" customHeight="false" outlineLevel="0" collapsed="false">
      <c r="A277" s="23"/>
      <c r="B277" s="23"/>
      <c r="C277" s="46" t="s">
        <v>277</v>
      </c>
      <c r="D277" s="23"/>
      <c r="E277" s="26" t="e">
        <f aca="false">E273/E274</f>
        <v>#DIV/0!</v>
      </c>
      <c r="F277" s="23"/>
      <c r="G277" s="45"/>
      <c r="H277" s="23"/>
      <c r="I277" s="23"/>
      <c r="J277" s="28"/>
      <c r="K277" s="23"/>
      <c r="L277" s="26" t="n">
        <f aca="false">L273/L274</f>
        <v>0.001354096140826</v>
      </c>
      <c r="M277" s="23"/>
      <c r="N277" s="45"/>
      <c r="O277" s="42"/>
      <c r="P277" s="43"/>
      <c r="Q277" s="31"/>
      <c r="R277" s="10" t="n">
        <f aca="false">Q277</f>
        <v>0</v>
      </c>
      <c r="S277" s="10" t="n">
        <f aca="false">A277</f>
        <v>0</v>
      </c>
    </row>
    <row r="278" customFormat="false" ht="20.85" hidden="false" customHeight="true" outlineLevel="0" collapsed="false">
      <c r="A278" s="23"/>
      <c r="B278" s="23" t="s">
        <v>278</v>
      </c>
      <c r="C278" s="46" t="s">
        <v>279</v>
      </c>
      <c r="D278" s="23"/>
      <c r="E278" s="26" t="e">
        <f aca="false">IF(E285&gt;=0.002, 4,
 IF(AND(E285&lt;0.002, E286&gt;=0.02), 3 + (E285 / 0.002),
 IF(AND(E285=0, E286=0, E287&gt;=0.04), 2,
 IF(AND(E285&gt;0, E285&lt;0.002, E286&gt;0, E286&lt;0.02), 2 + (2 * (E285 / 0.002)) + (E286 / 0.02) - ((E285 * E286) / (0.002 * 0.02)),
 IF(AND(E285=0, E286=0, E287&lt;0.04), (2 * E287) / 0.04,
 "")))))</f>
        <v>#DIV/0!</v>
      </c>
      <c r="F278" s="23"/>
      <c r="G278" s="35" t="e">
        <f aca="false">E278</f>
        <v>#DIV/0!</v>
      </c>
      <c r="H278" s="23"/>
      <c r="I278" s="23"/>
      <c r="J278" s="28" t="str">
        <f aca="false">IF(ISBLANK(I278), "❌ BELUM ADA DOKUMEN PENDUKUNG", "✅ SILAHKAN AUDITOR MELAKUKAN VERIFIKASI DOKUMEN PENDUKUNGNYA")</f>
        <v>❌ BELUM ADA DOKUMEN PENDUKUNG</v>
      </c>
      <c r="K278" s="23"/>
      <c r="L278" s="26" t="n">
        <f aca="false">IF(L285&gt;=0.002, 4,
 IF(AND(L285&lt;0.002, L286&gt;=0.02), 3 + (L285 / 0.002),
 IF(AND(L285=0, L286=0, L287&gt;=0.04), 2,
 IF(AND(L285&gt;0, L285&lt;0.002, L286&gt;0, L286&lt;0.02), 2 + (2 * (L285 / 0.002)) + (L286 / 0.02) - ((L285 * L286) / (0.002 * 0.02)),
 IF(AND(L285=0, L286=0, L287&lt;0.04), (2 * L287) / 0.04,
 "")))))</f>
        <v>4</v>
      </c>
      <c r="M278" s="23"/>
      <c r="N278" s="35" t="n">
        <f aca="false">L278</f>
        <v>4</v>
      </c>
      <c r="O278" s="29"/>
      <c r="P278" s="30"/>
      <c r="Q278" s="31"/>
      <c r="R278" s="10" t="n">
        <f aca="false">Q278</f>
        <v>0</v>
      </c>
      <c r="S278" s="10" t="n">
        <f aca="false">A278</f>
        <v>0</v>
      </c>
    </row>
    <row r="279" customFormat="false" ht="20.85" hidden="false" customHeight="false" outlineLevel="0" collapsed="false">
      <c r="A279" s="23"/>
      <c r="B279" s="23"/>
      <c r="C279" s="23"/>
      <c r="D279" s="23"/>
      <c r="E279" s="26"/>
      <c r="F279" s="23"/>
      <c r="G279" s="37"/>
      <c r="H279" s="23"/>
      <c r="I279" s="23"/>
      <c r="J279" s="28"/>
      <c r="K279" s="28"/>
      <c r="L279" s="26"/>
      <c r="M279" s="23"/>
      <c r="N279" s="37"/>
      <c r="O279" s="38"/>
      <c r="P279" s="39"/>
      <c r="Q279" s="31"/>
      <c r="R279" s="10" t="n">
        <f aca="false">Q279</f>
        <v>0</v>
      </c>
      <c r="S279" s="10" t="n">
        <f aca="false">A279</f>
        <v>0</v>
      </c>
    </row>
    <row r="280" customFormat="false" ht="20.85" hidden="false" customHeight="false" outlineLevel="0" collapsed="false">
      <c r="A280" s="23"/>
      <c r="B280" s="23"/>
      <c r="C280" s="23"/>
      <c r="D280" s="23"/>
      <c r="E280" s="26"/>
      <c r="F280" s="23"/>
      <c r="G280" s="37"/>
      <c r="H280" s="23"/>
      <c r="I280" s="23"/>
      <c r="J280" s="28"/>
      <c r="K280" s="28"/>
      <c r="L280" s="26"/>
      <c r="M280" s="23"/>
      <c r="N280" s="37"/>
      <c r="O280" s="38"/>
      <c r="P280" s="39"/>
      <c r="Q280" s="31"/>
      <c r="R280" s="10" t="n">
        <f aca="false">Q280</f>
        <v>0</v>
      </c>
      <c r="S280" s="10" t="n">
        <f aca="false">A280</f>
        <v>0</v>
      </c>
    </row>
    <row r="281" customFormat="false" ht="20.85" hidden="false" customHeight="false" outlineLevel="0" collapsed="false">
      <c r="A281" s="23"/>
      <c r="B281" s="23"/>
      <c r="C281" s="23"/>
      <c r="D281" s="23"/>
      <c r="E281" s="26"/>
      <c r="F281" s="23"/>
      <c r="G281" s="37"/>
      <c r="H281" s="23"/>
      <c r="I281" s="23"/>
      <c r="J281" s="28"/>
      <c r="K281" s="28"/>
      <c r="L281" s="26"/>
      <c r="M281" s="23"/>
      <c r="N281" s="37"/>
      <c r="O281" s="38"/>
      <c r="P281" s="39"/>
      <c r="Q281" s="31"/>
      <c r="R281" s="10" t="n">
        <f aca="false">Q281</f>
        <v>0</v>
      </c>
      <c r="S281" s="10" t="n">
        <f aca="false">A281</f>
        <v>0</v>
      </c>
    </row>
    <row r="282" customFormat="false" ht="20.85" hidden="false" customHeight="false" outlineLevel="0" collapsed="false">
      <c r="A282" s="23"/>
      <c r="B282" s="23"/>
      <c r="C282" s="23"/>
      <c r="D282" s="23"/>
      <c r="E282" s="26"/>
      <c r="F282" s="23"/>
      <c r="G282" s="37"/>
      <c r="H282" s="23"/>
      <c r="I282" s="23"/>
      <c r="J282" s="28"/>
      <c r="K282" s="28"/>
      <c r="L282" s="26"/>
      <c r="M282" s="23"/>
      <c r="N282" s="37"/>
      <c r="O282" s="38"/>
      <c r="P282" s="39"/>
      <c r="Q282" s="31"/>
      <c r="R282" s="10" t="n">
        <f aca="false">Q282</f>
        <v>0</v>
      </c>
      <c r="S282" s="10" t="n">
        <f aca="false">A282</f>
        <v>0</v>
      </c>
    </row>
    <row r="283" customFormat="false" ht="20.85" hidden="false" customHeight="false" outlineLevel="0" collapsed="false">
      <c r="A283" s="23"/>
      <c r="B283" s="23"/>
      <c r="C283" s="23"/>
      <c r="D283" s="23"/>
      <c r="E283" s="26"/>
      <c r="F283" s="23"/>
      <c r="G283" s="37"/>
      <c r="H283" s="23"/>
      <c r="I283" s="23"/>
      <c r="J283" s="28"/>
      <c r="K283" s="28"/>
      <c r="L283" s="26"/>
      <c r="M283" s="23"/>
      <c r="N283" s="37"/>
      <c r="O283" s="38"/>
      <c r="P283" s="39"/>
      <c r="Q283" s="31"/>
      <c r="R283" s="10" t="n">
        <f aca="false">Q283</f>
        <v>0</v>
      </c>
      <c r="S283" s="10" t="n">
        <f aca="false">A283</f>
        <v>0</v>
      </c>
    </row>
    <row r="284" customFormat="false" ht="20.85" hidden="false" customHeight="false" outlineLevel="0" collapsed="false">
      <c r="A284" s="23"/>
      <c r="B284" s="23"/>
      <c r="C284" s="46"/>
      <c r="D284" s="23"/>
      <c r="E284" s="26"/>
      <c r="F284" s="23"/>
      <c r="G284" s="37"/>
      <c r="H284" s="23"/>
      <c r="I284" s="23"/>
      <c r="J284" s="28"/>
      <c r="K284" s="28"/>
      <c r="L284" s="26"/>
      <c r="M284" s="23"/>
      <c r="N284" s="37"/>
      <c r="O284" s="38"/>
      <c r="P284" s="39"/>
      <c r="Q284" s="31"/>
      <c r="R284" s="10" t="n">
        <f aca="false">Q284</f>
        <v>0</v>
      </c>
      <c r="S284" s="10" t="n">
        <f aca="false">A284</f>
        <v>0</v>
      </c>
    </row>
    <row r="285" customFormat="false" ht="20.85" hidden="false" customHeight="false" outlineLevel="0" collapsed="false">
      <c r="A285" s="23"/>
      <c r="B285" s="23"/>
      <c r="C285" s="46" t="s">
        <v>280</v>
      </c>
      <c r="D285" s="23"/>
      <c r="E285" s="26" t="e">
        <f aca="false">E288/E292</f>
        <v>#DIV/0!</v>
      </c>
      <c r="F285" s="23"/>
      <c r="G285" s="37"/>
      <c r="H285" s="23"/>
      <c r="I285" s="23"/>
      <c r="J285" s="28"/>
      <c r="K285" s="28"/>
      <c r="L285" s="26" t="n">
        <f aca="false">L288/L292</f>
        <v>0.004062288422478</v>
      </c>
      <c r="M285" s="23"/>
      <c r="N285" s="37"/>
      <c r="O285" s="38"/>
      <c r="P285" s="39"/>
      <c r="Q285" s="31"/>
      <c r="R285" s="10" t="n">
        <f aca="false">Q285</f>
        <v>0</v>
      </c>
      <c r="S285" s="10" t="n">
        <f aca="false">A285</f>
        <v>0</v>
      </c>
    </row>
    <row r="286" customFormat="false" ht="20.85" hidden="false" customHeight="false" outlineLevel="0" collapsed="false">
      <c r="A286" s="23"/>
      <c r="B286" s="23"/>
      <c r="C286" s="46" t="s">
        <v>281</v>
      </c>
      <c r="D286" s="23"/>
      <c r="E286" s="26" t="e">
        <f aca="false">E290/E292</f>
        <v>#DIV/0!</v>
      </c>
      <c r="F286" s="23"/>
      <c r="G286" s="37"/>
      <c r="H286" s="23"/>
      <c r="I286" s="23"/>
      <c r="J286" s="28"/>
      <c r="K286" s="28"/>
      <c r="L286" s="26" t="n">
        <f aca="false">L290/L292</f>
        <v>0.000677048070412999</v>
      </c>
      <c r="M286" s="23"/>
      <c r="N286" s="37"/>
      <c r="O286" s="38"/>
      <c r="P286" s="39"/>
      <c r="Q286" s="31"/>
      <c r="R286" s="10" t="n">
        <f aca="false">Q286</f>
        <v>0</v>
      </c>
      <c r="S286" s="10" t="n">
        <f aca="false">A286</f>
        <v>0</v>
      </c>
    </row>
    <row r="287" customFormat="false" ht="20.85" hidden="false" customHeight="false" outlineLevel="0" collapsed="false">
      <c r="A287" s="23"/>
      <c r="B287" s="23"/>
      <c r="C287" s="46" t="s">
        <v>277</v>
      </c>
      <c r="D287" s="23"/>
      <c r="E287" s="26" t="e">
        <f aca="false">E291/E292</f>
        <v>#DIV/0!</v>
      </c>
      <c r="F287" s="23"/>
      <c r="G287" s="37"/>
      <c r="H287" s="23"/>
      <c r="I287" s="23"/>
      <c r="J287" s="28"/>
      <c r="K287" s="28"/>
      <c r="L287" s="26" t="n">
        <f aca="false">L291/L292</f>
        <v>0.002031144211239</v>
      </c>
      <c r="M287" s="23"/>
      <c r="N287" s="37"/>
      <c r="O287" s="38"/>
      <c r="P287" s="39"/>
      <c r="Q287" s="31"/>
      <c r="R287" s="10" t="n">
        <f aca="false">Q287</f>
        <v>0</v>
      </c>
      <c r="S287" s="10" t="n">
        <f aca="false">A287</f>
        <v>0</v>
      </c>
    </row>
    <row r="288" customFormat="false" ht="20.85" hidden="false" customHeight="true" outlineLevel="0" collapsed="false">
      <c r="A288" s="23"/>
      <c r="B288" s="23"/>
      <c r="C288" s="46" t="s">
        <v>282</v>
      </c>
      <c r="D288" s="23"/>
      <c r="E288" s="25"/>
      <c r="F288" s="23"/>
      <c r="G288" s="37"/>
      <c r="H288" s="23"/>
      <c r="I288" s="23"/>
      <c r="J288" s="28"/>
      <c r="K288" s="28"/>
      <c r="L288" s="25" t="n">
        <v>6</v>
      </c>
      <c r="M288" s="23"/>
      <c r="N288" s="37"/>
      <c r="O288" s="38"/>
      <c r="P288" s="39"/>
      <c r="Q288" s="31"/>
      <c r="R288" s="10" t="n">
        <f aca="false">Q288</f>
        <v>0</v>
      </c>
      <c r="S288" s="10" t="n">
        <f aca="false">A288</f>
        <v>0</v>
      </c>
    </row>
    <row r="289" customFormat="false" ht="20.85" hidden="false" customHeight="false" outlineLevel="0" collapsed="false">
      <c r="A289" s="23"/>
      <c r="B289" s="23"/>
      <c r="C289" s="46"/>
      <c r="D289" s="23"/>
      <c r="E289" s="25"/>
      <c r="F289" s="23"/>
      <c r="G289" s="37"/>
      <c r="H289" s="23"/>
      <c r="I289" s="23"/>
      <c r="J289" s="28"/>
      <c r="K289" s="28"/>
      <c r="L289" s="25"/>
      <c r="M289" s="23"/>
      <c r="N289" s="37"/>
      <c r="O289" s="38"/>
      <c r="P289" s="39"/>
      <c r="Q289" s="31"/>
      <c r="R289" s="10" t="n">
        <f aca="false">Q289</f>
        <v>0</v>
      </c>
      <c r="S289" s="10" t="n">
        <f aca="false">A289</f>
        <v>0</v>
      </c>
    </row>
    <row r="290" customFormat="false" ht="20.85" hidden="false" customHeight="false" outlineLevel="0" collapsed="false">
      <c r="A290" s="23"/>
      <c r="B290" s="23"/>
      <c r="C290" s="46" t="s">
        <v>283</v>
      </c>
      <c r="D290" s="23"/>
      <c r="E290" s="25"/>
      <c r="F290" s="23"/>
      <c r="G290" s="37"/>
      <c r="H290" s="23"/>
      <c r="I290" s="23"/>
      <c r="J290" s="28"/>
      <c r="K290" s="28"/>
      <c r="L290" s="25" t="n">
        <v>1</v>
      </c>
      <c r="M290" s="23"/>
      <c r="N290" s="37"/>
      <c r="O290" s="38"/>
      <c r="P290" s="39"/>
      <c r="Q290" s="31"/>
      <c r="R290" s="10" t="n">
        <f aca="false">Q290</f>
        <v>0</v>
      </c>
      <c r="S290" s="10" t="n">
        <f aca="false">A290</f>
        <v>0</v>
      </c>
    </row>
    <row r="291" customFormat="false" ht="20.85" hidden="false" customHeight="false" outlineLevel="0" collapsed="false">
      <c r="A291" s="23"/>
      <c r="B291" s="23"/>
      <c r="C291" s="46" t="s">
        <v>284</v>
      </c>
      <c r="D291" s="23"/>
      <c r="E291" s="25"/>
      <c r="F291" s="23"/>
      <c r="G291" s="37"/>
      <c r="H291" s="23"/>
      <c r="I291" s="23"/>
      <c r="J291" s="28"/>
      <c r="K291" s="28"/>
      <c r="L291" s="25" t="n">
        <v>3</v>
      </c>
      <c r="M291" s="23"/>
      <c r="N291" s="37"/>
      <c r="O291" s="38"/>
      <c r="P291" s="39"/>
      <c r="Q291" s="31"/>
      <c r="R291" s="10" t="n">
        <f aca="false">Q291</f>
        <v>0</v>
      </c>
      <c r="S291" s="10" t="n">
        <f aca="false">A291</f>
        <v>0</v>
      </c>
    </row>
    <row r="292" customFormat="false" ht="20.85" hidden="false" customHeight="false" outlineLevel="0" collapsed="false">
      <c r="A292" s="23"/>
      <c r="B292" s="23"/>
      <c r="C292" s="46" t="s">
        <v>103</v>
      </c>
      <c r="D292" s="23"/>
      <c r="E292" s="25"/>
      <c r="F292" s="23"/>
      <c r="G292" s="45"/>
      <c r="H292" s="23"/>
      <c r="I292" s="23"/>
      <c r="J292" s="28"/>
      <c r="K292" s="23"/>
      <c r="L292" s="25" t="n">
        <v>1477</v>
      </c>
      <c r="M292" s="23"/>
      <c r="N292" s="45"/>
      <c r="O292" s="42"/>
      <c r="P292" s="43"/>
      <c r="Q292" s="31"/>
      <c r="R292" s="10" t="n">
        <f aca="false">Q292</f>
        <v>0</v>
      </c>
      <c r="S292" s="10" t="n">
        <f aca="false">A292</f>
        <v>0</v>
      </c>
    </row>
    <row r="293" customFormat="false" ht="55.2" hidden="false" customHeight="true" outlineLevel="0" collapsed="false">
      <c r="A293" s="23"/>
      <c r="B293" s="23" t="s">
        <v>285</v>
      </c>
      <c r="C293" s="24" t="s">
        <v>286</v>
      </c>
      <c r="D293" s="23"/>
      <c r="E293" s="26" t="n">
        <f aca="false">IF(AND(E294&gt;3.5,E294&lt;=4.5), 4,
 IF(AND(E294&gt;3,E294&lt;=3.5), 8*E294 - 24,
 IF(AND(E294&gt;4.5,E294&lt;=7), (56 - 8*E294)/5,
 IF(E294&lt;=3, 0, ""))))</f>
        <v>0</v>
      </c>
      <c r="F293" s="23"/>
      <c r="G293" s="35" t="n">
        <f aca="false">E293</f>
        <v>0</v>
      </c>
      <c r="H293" s="23"/>
      <c r="I293" s="23"/>
      <c r="J293" s="28" t="str">
        <f aca="false">IF(ISBLANK(I293), "❌ BELUM ADA DOKUMEN PENDUKUNG", "✅ SILAHKAN AUDITOR MELAKUKAN VERIFIKASI DOKUMEN PENDUKUNGNYA")</f>
        <v>❌ BELUM ADA DOKUMEN PENDUKUNG</v>
      </c>
      <c r="K293" s="23"/>
      <c r="L293" s="26" t="n">
        <f aca="false">IF(AND(L294&gt;3.5,L294&lt;=4.5), 4,
 IF(AND(L294&gt;3,L294&lt;=3.5), 8*L294 - 24,
 IF(AND(L294&gt;4.5,L294&lt;=7), (56 - 8*L294)/5,
 IF(L294&lt;=3, 0, ""))))</f>
        <v>4</v>
      </c>
      <c r="M293" s="23"/>
      <c r="N293" s="35" t="n">
        <f aca="false">L293</f>
        <v>4</v>
      </c>
      <c r="O293" s="29"/>
      <c r="P293" s="30"/>
      <c r="Q293" s="31"/>
      <c r="R293" s="10" t="n">
        <f aca="false">Q293</f>
        <v>0</v>
      </c>
      <c r="S293" s="10" t="n">
        <f aca="false">A293</f>
        <v>0</v>
      </c>
    </row>
    <row r="294" customFormat="false" ht="20.85" hidden="false" customHeight="false" outlineLevel="0" collapsed="false">
      <c r="A294" s="23"/>
      <c r="B294" s="23"/>
      <c r="C294" s="24" t="s">
        <v>287</v>
      </c>
      <c r="D294" s="23"/>
      <c r="E294" s="25"/>
      <c r="F294" s="23"/>
      <c r="G294" s="45"/>
      <c r="H294" s="23"/>
      <c r="I294" s="23"/>
      <c r="J294" s="28"/>
      <c r="K294" s="23"/>
      <c r="L294" s="25" t="n">
        <v>4</v>
      </c>
      <c r="M294" s="23"/>
      <c r="N294" s="45"/>
      <c r="O294" s="42"/>
      <c r="P294" s="43"/>
      <c r="Q294" s="31"/>
      <c r="R294" s="10" t="n">
        <f aca="false">Q294</f>
        <v>0</v>
      </c>
      <c r="S294" s="10" t="n">
        <f aca="false">A294</f>
        <v>0</v>
      </c>
    </row>
    <row r="295" customFormat="false" ht="28.35" hidden="false" customHeight="true" outlineLevel="0" collapsed="false">
      <c r="A295" s="23"/>
      <c r="B295" s="23" t="s">
        <v>288</v>
      </c>
      <c r="C295" s="24" t="s">
        <v>289</v>
      </c>
      <c r="D295" s="23"/>
      <c r="E295" s="26" t="n">
        <f aca="false">IF(E296&gt;=0.5, 4, 1 + (6 * E296))</f>
        <v>1</v>
      </c>
      <c r="F295" s="23"/>
      <c r="G295" s="35" t="n">
        <f aca="false">E295</f>
        <v>1</v>
      </c>
      <c r="H295" s="23"/>
      <c r="I295" s="23"/>
      <c r="J295" s="28" t="str">
        <f aca="false">IF(ISBLANK(I295), "❌ BELUM ADA DOKUMEN PENDUKUNG", "✅ SILAHKAN AUDITOR MELAKUKAN VERIFIKASI DOKUMEN PENDUKUNGNYA")</f>
        <v>❌ BELUM ADA DOKUMEN PENDUKUNG</v>
      </c>
      <c r="K295" s="23"/>
      <c r="L295" s="26" t="n">
        <f aca="false">IF(L296&gt;=0.5, 4, 1 + (6 * L296))</f>
        <v>4</v>
      </c>
      <c r="M295" s="23"/>
      <c r="N295" s="35" t="n">
        <f aca="false">L295</f>
        <v>4</v>
      </c>
      <c r="O295" s="29"/>
      <c r="P295" s="30"/>
      <c r="Q295" s="31"/>
      <c r="R295" s="10" t="n">
        <f aca="false">Q295</f>
        <v>0</v>
      </c>
      <c r="S295" s="10" t="n">
        <f aca="false">A295</f>
        <v>0</v>
      </c>
    </row>
    <row r="296" customFormat="false" ht="20.85" hidden="false" customHeight="false" outlineLevel="0" collapsed="false">
      <c r="A296" s="23"/>
      <c r="B296" s="23"/>
      <c r="C296" s="24" t="s">
        <v>290</v>
      </c>
      <c r="D296" s="23"/>
      <c r="E296" s="25"/>
      <c r="F296" s="23"/>
      <c r="G296" s="45"/>
      <c r="H296" s="23"/>
      <c r="I296" s="23"/>
      <c r="J296" s="28"/>
      <c r="K296" s="23"/>
      <c r="L296" s="25" t="n">
        <v>3</v>
      </c>
      <c r="M296" s="23"/>
      <c r="N296" s="45"/>
      <c r="O296" s="42"/>
      <c r="P296" s="43"/>
      <c r="Q296" s="31"/>
      <c r="R296" s="10" t="n">
        <f aca="false">Q296</f>
        <v>0</v>
      </c>
      <c r="S296" s="10" t="n">
        <f aca="false">A296</f>
        <v>0</v>
      </c>
    </row>
    <row r="297" customFormat="false" ht="41.75" hidden="false" customHeight="true" outlineLevel="0" collapsed="false">
      <c r="A297" s="23"/>
      <c r="B297" s="23" t="s">
        <v>291</v>
      </c>
      <c r="C297" s="24" t="s">
        <v>292</v>
      </c>
      <c r="D297" s="23"/>
      <c r="E297" s="26" t="n">
        <f aca="false">IF(E298&gt;=0.85, 4,
 IF(E298&gt;=0.3, ((80 * E298) - 24) / 11,
 0))</f>
        <v>0</v>
      </c>
      <c r="F297" s="23"/>
      <c r="G297" s="35" t="n">
        <f aca="false">E297</f>
        <v>0</v>
      </c>
      <c r="H297" s="23"/>
      <c r="I297" s="23"/>
      <c r="J297" s="28" t="str">
        <f aca="false">IF(ISBLANK(I297), "❌ BELUM ADA DOKUMEN PENDUKUNG", "✅ SILAHKAN AUDITOR MELAKUKAN VERIFIKASI DOKUMEN PENDUKUNGNYA")</f>
        <v>❌ BELUM ADA DOKUMEN PENDUKUNG</v>
      </c>
      <c r="K297" s="23"/>
      <c r="L297" s="26" t="n">
        <f aca="false">IF(L298&gt;=0.85, 4,
 IF(L298&gt;=0.3, ((80 * L298) - 24) / 11,
 0))</f>
        <v>4</v>
      </c>
      <c r="M297" s="23"/>
      <c r="N297" s="35" t="n">
        <f aca="false">L297</f>
        <v>4</v>
      </c>
      <c r="O297" s="29"/>
      <c r="P297" s="30"/>
      <c r="Q297" s="31"/>
      <c r="R297" s="10" t="n">
        <f aca="false">Q297</f>
        <v>0</v>
      </c>
      <c r="S297" s="10" t="n">
        <f aca="false">A297</f>
        <v>0</v>
      </c>
    </row>
    <row r="298" customFormat="false" ht="20.85" hidden="false" customHeight="false" outlineLevel="0" collapsed="false">
      <c r="A298" s="23"/>
      <c r="B298" s="23"/>
      <c r="C298" s="24" t="s">
        <v>293</v>
      </c>
      <c r="D298" s="23"/>
      <c r="E298" s="25"/>
      <c r="F298" s="23"/>
      <c r="G298" s="45"/>
      <c r="H298" s="23"/>
      <c r="I298" s="23"/>
      <c r="J298" s="28"/>
      <c r="K298" s="23"/>
      <c r="L298" s="25" t="n">
        <v>3</v>
      </c>
      <c r="M298" s="23"/>
      <c r="N298" s="45"/>
      <c r="O298" s="42"/>
      <c r="P298" s="43"/>
      <c r="Q298" s="31"/>
      <c r="R298" s="10" t="n">
        <f aca="false">Q298</f>
        <v>0</v>
      </c>
      <c r="S298" s="10" t="n">
        <f aca="false">A298</f>
        <v>0</v>
      </c>
    </row>
    <row r="299" customFormat="false" ht="243.25" hidden="false" customHeight="false" outlineLevel="0" collapsed="false">
      <c r="A299" s="23"/>
      <c r="B299" s="23" t="s">
        <v>294</v>
      </c>
      <c r="C299" s="24" t="s">
        <v>295</v>
      </c>
      <c r="D299" s="23"/>
      <c r="E299" s="25"/>
      <c r="F299" s="23"/>
      <c r="G299" s="26" t="n">
        <f aca="false">E299</f>
        <v>0</v>
      </c>
      <c r="H299" s="23"/>
      <c r="I299" s="23"/>
      <c r="J299" s="28" t="str">
        <f aca="false">IF(ISBLANK(I299), "❌ BELUM ADA DOKUMEN PENDUKUNG", "✅ SILAHKAN AUDITOR MELAKUKAN VERIFIKASI DOKUMEN PENDUKUNGNYA")</f>
        <v>❌ BELUM ADA DOKUMEN PENDUKUNG</v>
      </c>
      <c r="K299" s="23"/>
      <c r="L299" s="25" t="n">
        <v>3</v>
      </c>
      <c r="M299" s="23"/>
      <c r="N299" s="26" t="n">
        <f aca="false">L299</f>
        <v>3</v>
      </c>
      <c r="O299" s="29"/>
      <c r="P299" s="30"/>
      <c r="Q299" s="31"/>
      <c r="R299" s="10" t="n">
        <f aca="false">Q299</f>
        <v>0</v>
      </c>
      <c r="S299" s="10" t="n">
        <f aca="false">A299</f>
        <v>0</v>
      </c>
    </row>
    <row r="300" customFormat="false" ht="20.85" hidden="false" customHeight="true" outlineLevel="0" collapsed="false">
      <c r="A300" s="23"/>
      <c r="B300" s="23" t="s">
        <v>296</v>
      </c>
      <c r="C300" s="46" t="s">
        <v>297</v>
      </c>
      <c r="D300" s="23"/>
      <c r="E300" s="25"/>
      <c r="F300" s="23"/>
      <c r="G300" s="35" t="e">
        <f aca="false">E324</f>
        <v>#DIV/0!</v>
      </c>
      <c r="H300" s="23"/>
      <c r="I300" s="23"/>
      <c r="J300" s="28" t="str">
        <f aca="false">IF(ISBLANK(I300), "❌ BELUM ADA DOKUMEN PENDUKUNG", "✅ SILAHKAN AUDITOR MELAKUKAN VERIFIKASI DOKUMEN PENDUKUNGNYA")</f>
        <v>❌ BELUM ADA DOKUMEN PENDUKUNG</v>
      </c>
      <c r="K300" s="23"/>
      <c r="L300" s="25" t="n">
        <v>89</v>
      </c>
      <c r="M300" s="23"/>
      <c r="N300" s="35" t="n">
        <f aca="false">L324</f>
        <v>1.70307502395892</v>
      </c>
      <c r="O300" s="29"/>
      <c r="P300" s="30"/>
      <c r="Q300" s="31"/>
      <c r="R300" s="10" t="n">
        <f aca="false">Q300</f>
        <v>0</v>
      </c>
      <c r="S300" s="10" t="n">
        <f aca="false">A300</f>
        <v>0</v>
      </c>
    </row>
    <row r="301" customFormat="false" ht="20.85" hidden="false" customHeight="false" outlineLevel="0" collapsed="false">
      <c r="A301" s="23"/>
      <c r="B301" s="23"/>
      <c r="C301" s="46" t="s">
        <v>298</v>
      </c>
      <c r="D301" s="23"/>
      <c r="E301" s="25"/>
      <c r="F301" s="23"/>
      <c r="G301" s="37"/>
      <c r="H301" s="23"/>
      <c r="I301" s="23"/>
      <c r="J301" s="28"/>
      <c r="K301" s="28"/>
      <c r="L301" s="25" t="n">
        <v>814</v>
      </c>
      <c r="M301" s="23"/>
      <c r="N301" s="37"/>
      <c r="O301" s="38"/>
      <c r="P301" s="39"/>
      <c r="Q301" s="31"/>
      <c r="R301" s="10" t="n">
        <f aca="false">Q301</f>
        <v>0</v>
      </c>
      <c r="S301" s="10" t="n">
        <f aca="false">A301</f>
        <v>0</v>
      </c>
    </row>
    <row r="302" customFormat="false" ht="20.85" hidden="false" customHeight="false" outlineLevel="0" collapsed="false">
      <c r="A302" s="23"/>
      <c r="B302" s="23"/>
      <c r="C302" s="46" t="s">
        <v>299</v>
      </c>
      <c r="D302" s="23"/>
      <c r="E302" s="25"/>
      <c r="F302" s="23"/>
      <c r="G302" s="37"/>
      <c r="H302" s="23"/>
      <c r="I302" s="23"/>
      <c r="J302" s="28"/>
      <c r="K302" s="28"/>
      <c r="L302" s="25" t="n">
        <v>214</v>
      </c>
      <c r="M302" s="23"/>
      <c r="N302" s="37"/>
      <c r="O302" s="38"/>
      <c r="P302" s="39"/>
      <c r="Q302" s="31"/>
      <c r="R302" s="10" t="n">
        <f aca="false">Q302</f>
        <v>0</v>
      </c>
      <c r="S302" s="10" t="n">
        <f aca="false">A302</f>
        <v>0</v>
      </c>
    </row>
    <row r="303" customFormat="false" ht="20.85" hidden="false" customHeight="false" outlineLevel="0" collapsed="false">
      <c r="A303" s="23"/>
      <c r="B303" s="23"/>
      <c r="C303" s="46" t="s">
        <v>300</v>
      </c>
      <c r="D303" s="23"/>
      <c r="E303" s="25"/>
      <c r="F303" s="23"/>
      <c r="G303" s="37"/>
      <c r="H303" s="23"/>
      <c r="I303" s="23"/>
      <c r="J303" s="28"/>
      <c r="K303" s="28"/>
      <c r="L303" s="25" t="n">
        <v>62</v>
      </c>
      <c r="M303" s="23"/>
      <c r="N303" s="37"/>
      <c r="O303" s="38"/>
      <c r="P303" s="39"/>
      <c r="Q303" s="31"/>
      <c r="R303" s="10" t="n">
        <f aca="false">Q303</f>
        <v>0</v>
      </c>
      <c r="S303" s="10" t="n">
        <f aca="false">A303</f>
        <v>0</v>
      </c>
    </row>
    <row r="304" customFormat="false" ht="20.85" hidden="false" customHeight="false" outlineLevel="0" collapsed="false">
      <c r="A304" s="23"/>
      <c r="B304" s="23"/>
      <c r="C304" s="46" t="s">
        <v>301</v>
      </c>
      <c r="D304" s="23"/>
      <c r="E304" s="25"/>
      <c r="F304" s="23"/>
      <c r="G304" s="37"/>
      <c r="H304" s="23"/>
      <c r="I304" s="23"/>
      <c r="J304" s="28"/>
      <c r="K304" s="28"/>
      <c r="L304" s="25" t="n">
        <v>60</v>
      </c>
      <c r="M304" s="23"/>
      <c r="N304" s="37"/>
      <c r="O304" s="38"/>
      <c r="P304" s="39"/>
      <c r="Q304" s="31"/>
      <c r="R304" s="10" t="n">
        <f aca="false">Q304</f>
        <v>0</v>
      </c>
      <c r="S304" s="10" t="n">
        <f aca="false">A304</f>
        <v>0</v>
      </c>
    </row>
    <row r="305" customFormat="false" ht="20.85" hidden="false" customHeight="false" outlineLevel="0" collapsed="false">
      <c r="A305" s="23"/>
      <c r="B305" s="23"/>
      <c r="C305" s="46" t="s">
        <v>302</v>
      </c>
      <c r="D305" s="23"/>
      <c r="E305" s="25"/>
      <c r="F305" s="23"/>
      <c r="G305" s="37"/>
      <c r="H305" s="23"/>
      <c r="I305" s="23"/>
      <c r="J305" s="28"/>
      <c r="K305" s="28"/>
      <c r="L305" s="25" t="n">
        <v>95</v>
      </c>
      <c r="M305" s="23"/>
      <c r="N305" s="37"/>
      <c r="O305" s="38"/>
      <c r="P305" s="39"/>
      <c r="Q305" s="31"/>
      <c r="R305" s="10" t="n">
        <f aca="false">Q305</f>
        <v>0</v>
      </c>
      <c r="S305" s="10" t="n">
        <f aca="false">A305</f>
        <v>0</v>
      </c>
    </row>
    <row r="306" customFormat="false" ht="33.75" hidden="false" customHeight="true" outlineLevel="0" collapsed="false">
      <c r="A306" s="23"/>
      <c r="B306" s="23"/>
      <c r="C306" s="46" t="s">
        <v>303</v>
      </c>
      <c r="D306" s="23"/>
      <c r="E306" s="26" t="n">
        <f aca="false">IF(SUM(E300:E302)&gt;=300,1,2)</f>
        <v>2</v>
      </c>
      <c r="F306" s="23"/>
      <c r="G306" s="37"/>
      <c r="H306" s="23"/>
      <c r="I306" s="23"/>
      <c r="J306" s="28"/>
      <c r="K306" s="28"/>
      <c r="L306" s="26" t="n">
        <f aca="false">IF(SUM(L300:L302)&gt;=300,1,2)</f>
        <v>1</v>
      </c>
      <c r="M306" s="23"/>
      <c r="N306" s="37"/>
      <c r="O306" s="38"/>
      <c r="P306" s="39"/>
      <c r="Q306" s="31"/>
      <c r="R306" s="10" t="n">
        <f aca="false">Q306</f>
        <v>0</v>
      </c>
      <c r="S306" s="10" t="n">
        <f aca="false">A306</f>
        <v>0</v>
      </c>
    </row>
    <row r="307" customFormat="false" ht="64.5" hidden="false" customHeight="true" outlineLevel="0" collapsed="false">
      <c r="A307" s="23"/>
      <c r="B307" s="23"/>
      <c r="C307" s="46"/>
      <c r="D307" s="23"/>
      <c r="E307" s="26"/>
      <c r="F307" s="23"/>
      <c r="G307" s="37"/>
      <c r="H307" s="23"/>
      <c r="I307" s="23"/>
      <c r="J307" s="28"/>
      <c r="K307" s="28"/>
      <c r="L307" s="26"/>
      <c r="M307" s="23"/>
      <c r="N307" s="37"/>
      <c r="O307" s="38"/>
      <c r="P307" s="39"/>
      <c r="Q307" s="31"/>
      <c r="R307" s="10" t="n">
        <f aca="false">Q307</f>
        <v>0</v>
      </c>
      <c r="S307" s="10" t="n">
        <f aca="false">A307</f>
        <v>0</v>
      </c>
    </row>
    <row r="308" customFormat="false" ht="20.85" hidden="false" customHeight="false" outlineLevel="0" collapsed="false">
      <c r="A308" s="23"/>
      <c r="B308" s="23"/>
      <c r="C308" s="46" t="s">
        <v>304</v>
      </c>
      <c r="D308" s="23"/>
      <c r="E308" s="51" t="e">
        <f aca="false">(SUM(E303:E305)/SUM(E300:E302))*100%</f>
        <v>#DIV/0!</v>
      </c>
      <c r="F308" s="23"/>
      <c r="G308" s="37"/>
      <c r="H308" s="23"/>
      <c r="I308" s="23"/>
      <c r="J308" s="28"/>
      <c r="K308" s="28"/>
      <c r="L308" s="51" t="n">
        <f aca="false">(SUM(L303:L305)/SUM(L300:L302))*100%</f>
        <v>0.194270367054611</v>
      </c>
      <c r="M308" s="23"/>
      <c r="N308" s="37"/>
      <c r="O308" s="38"/>
      <c r="P308" s="39"/>
      <c r="Q308" s="31"/>
      <c r="R308" s="10" t="n">
        <f aca="false">Q308</f>
        <v>0</v>
      </c>
      <c r="S308" s="10" t="n">
        <f aca="false">A308</f>
        <v>0</v>
      </c>
    </row>
    <row r="309" customFormat="false" ht="20.85" hidden="false" customHeight="false" outlineLevel="0" collapsed="false">
      <c r="A309" s="23"/>
      <c r="B309" s="23"/>
      <c r="C309" s="46" t="s">
        <v>305</v>
      </c>
      <c r="D309" s="23"/>
      <c r="E309" s="51" t="n">
        <f aca="false">IF(E306=1,30%,(50%-((SUM(E300:E302)/300)*20%)))</f>
        <v>0.5</v>
      </c>
      <c r="F309" s="23"/>
      <c r="G309" s="37"/>
      <c r="H309" s="23"/>
      <c r="I309" s="23"/>
      <c r="J309" s="28"/>
      <c r="K309" s="28"/>
      <c r="L309" s="51" t="n">
        <f aca="false">IF(L306=1,30%,(50%-((SUM(L300:L302)/300)*20%)))</f>
        <v>0.3</v>
      </c>
      <c r="M309" s="23"/>
      <c r="N309" s="37"/>
      <c r="O309" s="38"/>
      <c r="P309" s="39"/>
      <c r="Q309" s="31"/>
      <c r="R309" s="10" t="n">
        <f aca="false">Q309</f>
        <v>0</v>
      </c>
      <c r="S309" s="10" t="n">
        <f aca="false">A309</f>
        <v>0</v>
      </c>
    </row>
    <row r="310" customFormat="false" ht="20.85" hidden="false" customHeight="false" outlineLevel="0" collapsed="false">
      <c r="A310" s="23"/>
      <c r="B310" s="23"/>
      <c r="C310" s="44" t="s">
        <v>306</v>
      </c>
      <c r="D310" s="23"/>
      <c r="E310" s="44"/>
      <c r="F310" s="23"/>
      <c r="G310" s="37"/>
      <c r="H310" s="23"/>
      <c r="I310" s="23"/>
      <c r="J310" s="28"/>
      <c r="K310" s="28"/>
      <c r="L310" s="44"/>
      <c r="M310" s="23"/>
      <c r="N310" s="37"/>
      <c r="O310" s="38"/>
      <c r="P310" s="39"/>
      <c r="Q310" s="31"/>
      <c r="R310" s="10" t="n">
        <f aca="false">Q310</f>
        <v>0</v>
      </c>
      <c r="S310" s="10" t="n">
        <f aca="false">A310</f>
        <v>0</v>
      </c>
    </row>
    <row r="311" customFormat="false" ht="20.85" hidden="false" customHeight="false" outlineLevel="0" collapsed="false">
      <c r="A311" s="23"/>
      <c r="B311" s="23"/>
      <c r="C311" s="58" t="s">
        <v>307</v>
      </c>
      <c r="D311" s="23"/>
      <c r="E311" s="25"/>
      <c r="F311" s="23"/>
      <c r="G311" s="37"/>
      <c r="H311" s="23"/>
      <c r="I311" s="23"/>
      <c r="J311" s="28"/>
      <c r="K311" s="28"/>
      <c r="L311" s="25" t="n">
        <v>39</v>
      </c>
      <c r="M311" s="23"/>
      <c r="N311" s="37"/>
      <c r="O311" s="38"/>
      <c r="P311" s="39"/>
      <c r="Q311" s="31"/>
      <c r="R311" s="10" t="n">
        <f aca="false">Q311</f>
        <v>0</v>
      </c>
      <c r="S311" s="10" t="n">
        <f aca="false">A311</f>
        <v>0</v>
      </c>
    </row>
    <row r="312" customFormat="false" ht="20.85" hidden="false" customHeight="false" outlineLevel="0" collapsed="false">
      <c r="A312" s="23"/>
      <c r="B312" s="23"/>
      <c r="C312" s="58" t="s">
        <v>308</v>
      </c>
      <c r="D312" s="23"/>
      <c r="E312" s="25"/>
      <c r="F312" s="23"/>
      <c r="G312" s="37"/>
      <c r="H312" s="23"/>
      <c r="I312" s="23"/>
      <c r="J312" s="28"/>
      <c r="K312" s="28"/>
      <c r="L312" s="25" t="n">
        <v>19</v>
      </c>
      <c r="M312" s="23"/>
      <c r="N312" s="37"/>
      <c r="O312" s="38"/>
      <c r="P312" s="39"/>
      <c r="Q312" s="31"/>
      <c r="R312" s="10" t="n">
        <f aca="false">Q312</f>
        <v>0</v>
      </c>
      <c r="S312" s="10" t="n">
        <f aca="false">A312</f>
        <v>0</v>
      </c>
    </row>
    <row r="313" customFormat="false" ht="20.85" hidden="false" customHeight="false" outlineLevel="0" collapsed="false">
      <c r="A313" s="23"/>
      <c r="B313" s="23"/>
      <c r="C313" s="58" t="s">
        <v>309</v>
      </c>
      <c r="D313" s="23"/>
      <c r="E313" s="25"/>
      <c r="F313" s="23"/>
      <c r="G313" s="37"/>
      <c r="H313" s="23"/>
      <c r="I313" s="23"/>
      <c r="J313" s="28"/>
      <c r="K313" s="28"/>
      <c r="L313" s="25" t="n">
        <v>14</v>
      </c>
      <c r="M313" s="23"/>
      <c r="N313" s="37"/>
      <c r="O313" s="38"/>
      <c r="P313" s="39"/>
      <c r="Q313" s="31"/>
      <c r="R313" s="10" t="n">
        <f aca="false">Q313</f>
        <v>0</v>
      </c>
      <c r="S313" s="10" t="n">
        <f aca="false">A313</f>
        <v>0</v>
      </c>
    </row>
    <row r="314" customFormat="false" ht="26.85" hidden="false" customHeight="false" outlineLevel="0" collapsed="false">
      <c r="A314" s="23"/>
      <c r="B314" s="23"/>
      <c r="C314" s="44" t="s">
        <v>310</v>
      </c>
      <c r="D314" s="23"/>
      <c r="E314" s="44"/>
      <c r="F314" s="23"/>
      <c r="G314" s="37"/>
      <c r="H314" s="23"/>
      <c r="I314" s="23"/>
      <c r="J314" s="28"/>
      <c r="K314" s="28"/>
      <c r="L314" s="44"/>
      <c r="M314" s="23"/>
      <c r="N314" s="37"/>
      <c r="O314" s="38"/>
      <c r="P314" s="39"/>
      <c r="Q314" s="31"/>
      <c r="R314" s="10" t="n">
        <f aca="false">Q314</f>
        <v>0</v>
      </c>
      <c r="S314" s="10" t="n">
        <f aca="false">A314</f>
        <v>0</v>
      </c>
    </row>
    <row r="315" customFormat="false" ht="20.85" hidden="false" customHeight="false" outlineLevel="0" collapsed="false">
      <c r="A315" s="23"/>
      <c r="B315" s="23"/>
      <c r="C315" s="46" t="s">
        <v>307</v>
      </c>
      <c r="D315" s="23"/>
      <c r="E315" s="25"/>
      <c r="F315" s="23"/>
      <c r="G315" s="37"/>
      <c r="H315" s="23"/>
      <c r="I315" s="23"/>
      <c r="J315" s="28"/>
      <c r="K315" s="28"/>
      <c r="L315" s="25" t="n">
        <v>34</v>
      </c>
      <c r="M315" s="23"/>
      <c r="N315" s="37"/>
      <c r="O315" s="38"/>
      <c r="P315" s="39"/>
      <c r="Q315" s="31"/>
      <c r="R315" s="10" t="n">
        <f aca="false">Q315</f>
        <v>0</v>
      </c>
      <c r="S315" s="10" t="n">
        <f aca="false">A315</f>
        <v>0</v>
      </c>
    </row>
    <row r="316" customFormat="false" ht="20.85" hidden="false" customHeight="false" outlineLevel="0" collapsed="false">
      <c r="A316" s="23"/>
      <c r="B316" s="23"/>
      <c r="C316" s="46" t="s">
        <v>308</v>
      </c>
      <c r="D316" s="23"/>
      <c r="E316" s="25"/>
      <c r="F316" s="23"/>
      <c r="G316" s="37"/>
      <c r="H316" s="23"/>
      <c r="I316" s="23"/>
      <c r="J316" s="28"/>
      <c r="K316" s="28"/>
      <c r="L316" s="25" t="n">
        <v>14</v>
      </c>
      <c r="M316" s="23"/>
      <c r="N316" s="37"/>
      <c r="O316" s="38"/>
      <c r="P316" s="39"/>
      <c r="Q316" s="31"/>
      <c r="R316" s="10" t="n">
        <f aca="false">Q316</f>
        <v>0</v>
      </c>
      <c r="S316" s="10" t="n">
        <f aca="false">A316</f>
        <v>0</v>
      </c>
    </row>
    <row r="317" customFormat="false" ht="20.85" hidden="false" customHeight="false" outlineLevel="0" collapsed="false">
      <c r="A317" s="23"/>
      <c r="B317" s="23"/>
      <c r="C317" s="46" t="s">
        <v>309</v>
      </c>
      <c r="D317" s="23"/>
      <c r="E317" s="25"/>
      <c r="F317" s="23"/>
      <c r="G317" s="37"/>
      <c r="H317" s="23"/>
      <c r="I317" s="23"/>
      <c r="J317" s="28"/>
      <c r="K317" s="28"/>
      <c r="L317" s="25" t="n">
        <v>12</v>
      </c>
      <c r="M317" s="23"/>
      <c r="N317" s="37"/>
      <c r="O317" s="38"/>
      <c r="P317" s="39"/>
      <c r="Q317" s="31"/>
      <c r="R317" s="10" t="n">
        <f aca="false">Q317</f>
        <v>0</v>
      </c>
      <c r="S317" s="10" t="n">
        <f aca="false">A317</f>
        <v>0</v>
      </c>
    </row>
    <row r="318" customFormat="false" ht="26.85" hidden="false" customHeight="false" outlineLevel="0" collapsed="false">
      <c r="A318" s="23"/>
      <c r="B318" s="23"/>
      <c r="C318" s="44" t="s">
        <v>311</v>
      </c>
      <c r="D318" s="23"/>
      <c r="E318" s="40"/>
      <c r="F318" s="23"/>
      <c r="G318" s="37"/>
      <c r="H318" s="23"/>
      <c r="I318" s="23"/>
      <c r="J318" s="28"/>
      <c r="K318" s="28"/>
      <c r="L318" s="40"/>
      <c r="M318" s="23"/>
      <c r="N318" s="37"/>
      <c r="O318" s="38"/>
      <c r="P318" s="39"/>
      <c r="Q318" s="31"/>
      <c r="R318" s="10" t="n">
        <f aca="false">Q318</f>
        <v>0</v>
      </c>
      <c r="S318" s="10" t="n">
        <f aca="false">A318</f>
        <v>0</v>
      </c>
    </row>
    <row r="319" customFormat="false" ht="20.85" hidden="false" customHeight="false" outlineLevel="0" collapsed="false">
      <c r="A319" s="23"/>
      <c r="B319" s="23"/>
      <c r="C319" s="58" t="s">
        <v>307</v>
      </c>
      <c r="D319" s="23"/>
      <c r="E319" s="25"/>
      <c r="F319" s="23"/>
      <c r="G319" s="37"/>
      <c r="H319" s="23"/>
      <c r="I319" s="23"/>
      <c r="J319" s="28"/>
      <c r="K319" s="28"/>
      <c r="L319" s="25" t="n">
        <v>40</v>
      </c>
      <c r="M319" s="23"/>
      <c r="N319" s="37"/>
      <c r="O319" s="38"/>
      <c r="P319" s="39"/>
      <c r="Q319" s="31"/>
      <c r="R319" s="10" t="n">
        <f aca="false">Q319</f>
        <v>0</v>
      </c>
      <c r="S319" s="10" t="n">
        <f aca="false">A319</f>
        <v>0</v>
      </c>
    </row>
    <row r="320" customFormat="false" ht="20.85" hidden="false" customHeight="false" outlineLevel="0" collapsed="false">
      <c r="A320" s="23"/>
      <c r="B320" s="23"/>
      <c r="C320" s="58" t="s">
        <v>308</v>
      </c>
      <c r="D320" s="23"/>
      <c r="E320" s="25"/>
      <c r="F320" s="23"/>
      <c r="G320" s="37"/>
      <c r="H320" s="23"/>
      <c r="I320" s="23"/>
      <c r="J320" s="28"/>
      <c r="K320" s="28"/>
      <c r="L320" s="25" t="n">
        <v>32</v>
      </c>
      <c r="M320" s="23"/>
      <c r="N320" s="37"/>
      <c r="O320" s="38"/>
      <c r="P320" s="39"/>
      <c r="Q320" s="31"/>
      <c r="R320" s="10" t="n">
        <f aca="false">Q320</f>
        <v>0</v>
      </c>
      <c r="S320" s="10" t="n">
        <f aca="false">A320</f>
        <v>0</v>
      </c>
    </row>
    <row r="321" customFormat="false" ht="20.85" hidden="false" customHeight="false" outlineLevel="0" collapsed="false">
      <c r="A321" s="23"/>
      <c r="B321" s="23"/>
      <c r="C321" s="58" t="s">
        <v>309</v>
      </c>
      <c r="D321" s="23"/>
      <c r="E321" s="25"/>
      <c r="F321" s="23"/>
      <c r="G321" s="37"/>
      <c r="H321" s="23"/>
      <c r="I321" s="23"/>
      <c r="J321" s="28"/>
      <c r="K321" s="28"/>
      <c r="L321" s="25" t="n">
        <v>23</v>
      </c>
      <c r="M321" s="23"/>
      <c r="N321" s="37"/>
      <c r="O321" s="38"/>
      <c r="P321" s="39"/>
      <c r="Q321" s="31"/>
      <c r="R321" s="10" t="n">
        <f aca="false">Q321</f>
        <v>0</v>
      </c>
      <c r="S321" s="10" t="n">
        <f aca="false">A321</f>
        <v>0</v>
      </c>
    </row>
    <row r="322" customFormat="false" ht="28.35" hidden="false" customHeight="false" outlineLevel="0" collapsed="false">
      <c r="A322" s="23"/>
      <c r="B322" s="23"/>
      <c r="C322" s="59" t="s">
        <v>312</v>
      </c>
      <c r="D322" s="23"/>
      <c r="E322" s="26" t="str">
        <f aca="false">IF((SUM(E311:E313)+SUM(E315:E317)+SUM(E319:E321))&gt;0, 
   (((E311+E315+E319)*3) + ((E312+E316+E320)*12) + ((E313+E317+E321)*24)) / 
   (SUM(E311:E313)+SUM(E315:E317)+SUM(E319:E321)), 
"")</f>
        <v/>
      </c>
      <c r="F322" s="23"/>
      <c r="G322" s="37"/>
      <c r="H322" s="23"/>
      <c r="I322" s="23"/>
      <c r="J322" s="28"/>
      <c r="K322" s="28"/>
      <c r="L322" s="26" t="n">
        <f aca="false">IF((SUM(L311:L313)+SUM(L315:L317)+SUM(L319:L321))&gt;0, 
   (((L311+L315+L319)*3) + ((L312+L316+L320)*12) + ((L313+L317+L321)*24)) / 
   (SUM(L311:L313)+SUM(L315:L317)+SUM(L319:L321)), 
"")</f>
        <v>10.1101321585903</v>
      </c>
      <c r="M322" s="23"/>
      <c r="N322" s="37"/>
      <c r="O322" s="38"/>
      <c r="P322" s="39"/>
      <c r="Q322" s="31"/>
      <c r="R322" s="10" t="n">
        <f aca="false">Q322</f>
        <v>0</v>
      </c>
      <c r="S322" s="10" t="n">
        <f aca="false">A322</f>
        <v>0</v>
      </c>
    </row>
    <row r="323" customFormat="false" ht="39.55" hidden="false" customHeight="false" outlineLevel="0" collapsed="false">
      <c r="A323" s="23"/>
      <c r="B323" s="23"/>
      <c r="C323" s="46" t="s">
        <v>313</v>
      </c>
      <c r="D323" s="23"/>
      <c r="E323" s="26" t="n">
        <f aca="false">IF(E322&gt;18, 0, IF(E322&gt;6, (18-E322)/3, 4))</f>
        <v>0</v>
      </c>
      <c r="F323" s="23"/>
      <c r="G323" s="37"/>
      <c r="H323" s="23"/>
      <c r="I323" s="23"/>
      <c r="J323" s="28"/>
      <c r="K323" s="28"/>
      <c r="L323" s="26" t="n">
        <f aca="false">IF(L322&gt;18, 0, IF(L322&gt;6, (18-L322)/3, 4))</f>
        <v>2.62995594713656</v>
      </c>
      <c r="M323" s="23"/>
      <c r="N323" s="37"/>
      <c r="O323" s="38"/>
      <c r="P323" s="39"/>
      <c r="Q323" s="31"/>
      <c r="R323" s="10" t="n">
        <f aca="false">Q323</f>
        <v>0</v>
      </c>
      <c r="S323" s="10" t="n">
        <f aca="false">A323</f>
        <v>0</v>
      </c>
    </row>
    <row r="324" customFormat="false" ht="64.9" hidden="false" customHeight="false" outlineLevel="0" collapsed="false">
      <c r="A324" s="23"/>
      <c r="B324" s="23"/>
      <c r="C324" s="46" t="s">
        <v>314</v>
      </c>
      <c r="D324" s="23"/>
      <c r="E324" s="26" t="e">
        <f aca="false">IF(E308&gt;=E309, E323, (E308/E309)*E323)</f>
        <v>#DIV/0!</v>
      </c>
      <c r="F324" s="23"/>
      <c r="G324" s="45"/>
      <c r="H324" s="23"/>
      <c r="I324" s="23"/>
      <c r="J324" s="28"/>
      <c r="K324" s="23"/>
      <c r="L324" s="26" t="n">
        <f aca="false">IF(L308&gt;=L309, L323, (L308/L309)*L323)</f>
        <v>1.70307502395892</v>
      </c>
      <c r="M324" s="23"/>
      <c r="N324" s="45"/>
      <c r="O324" s="42"/>
      <c r="P324" s="43"/>
      <c r="Q324" s="31"/>
      <c r="R324" s="10" t="n">
        <f aca="false">Q324</f>
        <v>0</v>
      </c>
      <c r="S324" s="10" t="n">
        <f aca="false">A324</f>
        <v>0</v>
      </c>
    </row>
    <row r="325" customFormat="false" ht="20.85" hidden="false" customHeight="true" outlineLevel="0" collapsed="false">
      <c r="A325" s="23"/>
      <c r="B325" s="23" t="s">
        <v>315</v>
      </c>
      <c r="C325" s="46" t="s">
        <v>297</v>
      </c>
      <c r="D325" s="23"/>
      <c r="E325" s="25"/>
      <c r="F325" s="23"/>
      <c r="G325" s="35" t="e">
        <f aca="false">E339</f>
        <v>#DIV/0!</v>
      </c>
      <c r="H325" s="23"/>
      <c r="I325" s="23"/>
      <c r="J325" s="28" t="str">
        <f aca="false">IF(ISBLANK(I325), "❌ BELUM ADA DOKUMEN PENDUKUNG", "✅ SILAHKAN AUDITOR MELAKUKAN VERIFIKASI DOKUMEN PENDUKUNGNYA")</f>
        <v>❌ BELUM ADA DOKUMEN PENDUKUNG</v>
      </c>
      <c r="K325" s="23"/>
      <c r="L325" s="25" t="n">
        <v>89</v>
      </c>
      <c r="M325" s="23"/>
      <c r="N325" s="35" t="n">
        <f aca="false">L339</f>
        <v>2.78560250391236</v>
      </c>
      <c r="O325" s="29"/>
      <c r="P325" s="30"/>
      <c r="Q325" s="31"/>
      <c r="R325" s="10" t="n">
        <f aca="false">Q325</f>
        <v>0</v>
      </c>
      <c r="S325" s="10" t="n">
        <f aca="false">A325</f>
        <v>0</v>
      </c>
    </row>
    <row r="326" customFormat="false" ht="20.85" hidden="false" customHeight="false" outlineLevel="0" collapsed="false">
      <c r="A326" s="23"/>
      <c r="B326" s="23"/>
      <c r="C326" s="46" t="s">
        <v>298</v>
      </c>
      <c r="D326" s="23"/>
      <c r="E326" s="25"/>
      <c r="F326" s="23"/>
      <c r="G326" s="37"/>
      <c r="H326" s="23"/>
      <c r="I326" s="23"/>
      <c r="J326" s="28"/>
      <c r="K326" s="28"/>
      <c r="L326" s="25" t="n">
        <v>119</v>
      </c>
      <c r="M326" s="23"/>
      <c r="N326" s="37"/>
      <c r="O326" s="38"/>
      <c r="P326" s="39"/>
      <c r="Q326" s="31"/>
      <c r="R326" s="10" t="n">
        <f aca="false">Q326</f>
        <v>0</v>
      </c>
      <c r="S326" s="10" t="n">
        <f aca="false">A326</f>
        <v>0</v>
      </c>
    </row>
    <row r="327" customFormat="false" ht="20.85" hidden="false" customHeight="false" outlineLevel="0" collapsed="false">
      <c r="A327" s="23"/>
      <c r="B327" s="23"/>
      <c r="C327" s="46" t="s">
        <v>299</v>
      </c>
      <c r="D327" s="23"/>
      <c r="E327" s="25"/>
      <c r="F327" s="23"/>
      <c r="G327" s="37"/>
      <c r="H327" s="23"/>
      <c r="I327" s="23"/>
      <c r="J327" s="28"/>
      <c r="K327" s="28"/>
      <c r="L327" s="25" t="n">
        <v>218</v>
      </c>
      <c r="M327" s="23"/>
      <c r="N327" s="37"/>
      <c r="O327" s="38"/>
      <c r="P327" s="39"/>
      <c r="Q327" s="31"/>
      <c r="R327" s="10" t="n">
        <f aca="false">Q327</f>
        <v>0</v>
      </c>
      <c r="S327" s="10" t="n">
        <f aca="false">A327</f>
        <v>0</v>
      </c>
    </row>
    <row r="328" customFormat="false" ht="20.85" hidden="false" customHeight="false" outlineLevel="0" collapsed="false">
      <c r="A328" s="23"/>
      <c r="B328" s="23"/>
      <c r="C328" s="46" t="s">
        <v>300</v>
      </c>
      <c r="D328" s="23"/>
      <c r="E328" s="25"/>
      <c r="F328" s="23"/>
      <c r="G328" s="37"/>
      <c r="H328" s="23"/>
      <c r="I328" s="23"/>
      <c r="J328" s="28"/>
      <c r="K328" s="28"/>
      <c r="L328" s="25" t="n">
        <v>62</v>
      </c>
      <c r="M328" s="23"/>
      <c r="N328" s="37"/>
      <c r="O328" s="38"/>
      <c r="P328" s="39"/>
      <c r="Q328" s="31"/>
      <c r="R328" s="10" t="n">
        <f aca="false">Q328</f>
        <v>0</v>
      </c>
      <c r="S328" s="10" t="n">
        <f aca="false">A328</f>
        <v>0</v>
      </c>
    </row>
    <row r="329" customFormat="false" ht="20.85" hidden="false" customHeight="false" outlineLevel="0" collapsed="false">
      <c r="A329" s="23"/>
      <c r="B329" s="23"/>
      <c r="C329" s="46" t="s">
        <v>301</v>
      </c>
      <c r="D329" s="23"/>
      <c r="E329" s="25"/>
      <c r="F329" s="23"/>
      <c r="G329" s="37"/>
      <c r="H329" s="23"/>
      <c r="I329" s="23"/>
      <c r="J329" s="28"/>
      <c r="K329" s="28"/>
      <c r="L329" s="25" t="n">
        <v>65</v>
      </c>
      <c r="M329" s="23"/>
      <c r="N329" s="37"/>
      <c r="O329" s="38"/>
      <c r="P329" s="39"/>
      <c r="Q329" s="31"/>
      <c r="R329" s="10" t="n">
        <f aca="false">Q329</f>
        <v>0</v>
      </c>
      <c r="S329" s="10" t="n">
        <f aca="false">A329</f>
        <v>0</v>
      </c>
    </row>
    <row r="330" customFormat="false" ht="20.85" hidden="false" customHeight="false" outlineLevel="0" collapsed="false">
      <c r="A330" s="23"/>
      <c r="B330" s="23"/>
      <c r="C330" s="46" t="s">
        <v>302</v>
      </c>
      <c r="D330" s="23"/>
      <c r="E330" s="25"/>
      <c r="F330" s="23"/>
      <c r="G330" s="37"/>
      <c r="H330" s="23"/>
      <c r="I330" s="23"/>
      <c r="J330" s="28"/>
      <c r="K330" s="28"/>
      <c r="L330" s="25" t="n">
        <v>69</v>
      </c>
      <c r="M330" s="23"/>
      <c r="N330" s="37"/>
      <c r="O330" s="38"/>
      <c r="P330" s="39"/>
      <c r="Q330" s="31"/>
      <c r="R330" s="10" t="n">
        <f aca="false">Q330</f>
        <v>0</v>
      </c>
      <c r="S330" s="10" t="n">
        <f aca="false">A330</f>
        <v>0</v>
      </c>
    </row>
    <row r="331" customFormat="false" ht="90.25" hidden="false" customHeight="false" outlineLevel="0" collapsed="false">
      <c r="A331" s="23"/>
      <c r="B331" s="23"/>
      <c r="C331" s="46" t="s">
        <v>316</v>
      </c>
      <c r="D331" s="23"/>
      <c r="E331" s="26" t="n">
        <f aca="false">IF(SUM(E325:E327)&gt;=300,1,2)</f>
        <v>2</v>
      </c>
      <c r="F331" s="23"/>
      <c r="G331" s="37"/>
      <c r="H331" s="23"/>
      <c r="I331" s="23"/>
      <c r="J331" s="28"/>
      <c r="K331" s="28"/>
      <c r="L331" s="26" t="n">
        <f aca="false">IF(SUM(L325:L327)&gt;=300,1,2)</f>
        <v>1</v>
      </c>
      <c r="M331" s="23"/>
      <c r="N331" s="37"/>
      <c r="O331" s="38"/>
      <c r="P331" s="39"/>
      <c r="Q331" s="31"/>
      <c r="R331" s="10" t="n">
        <f aca="false">Q331</f>
        <v>0</v>
      </c>
      <c r="S331" s="10" t="n">
        <f aca="false">A331</f>
        <v>0</v>
      </c>
    </row>
    <row r="332" customFormat="false" ht="20.85" hidden="false" customHeight="false" outlineLevel="0" collapsed="false">
      <c r="A332" s="23"/>
      <c r="B332" s="23"/>
      <c r="C332" s="46" t="s">
        <v>317</v>
      </c>
      <c r="D332" s="23"/>
      <c r="E332" s="51" t="e">
        <f aca="false">((SUM(E328:E330)/SUM(E325:E327))*100%)</f>
        <v>#DIV/0!</v>
      </c>
      <c r="F332" s="23"/>
      <c r="G332" s="37"/>
      <c r="H332" s="23"/>
      <c r="I332" s="23"/>
      <c r="J332" s="28"/>
      <c r="K332" s="28"/>
      <c r="L332" s="51" t="n">
        <f aca="false">((SUM(L328:L330)/SUM(L325:L327))*100%)</f>
        <v>0.460093896713615</v>
      </c>
      <c r="M332" s="23"/>
      <c r="N332" s="37"/>
      <c r="O332" s="38"/>
      <c r="P332" s="39"/>
      <c r="Q332" s="31"/>
      <c r="R332" s="10" t="n">
        <f aca="false">Q332</f>
        <v>0</v>
      </c>
      <c r="S332" s="10" t="n">
        <f aca="false">A332</f>
        <v>0</v>
      </c>
    </row>
    <row r="333" customFormat="false" ht="20.85" hidden="false" customHeight="false" outlineLevel="0" collapsed="false">
      <c r="A333" s="23"/>
      <c r="B333" s="23"/>
      <c r="C333" s="46" t="s">
        <v>305</v>
      </c>
      <c r="D333" s="23"/>
      <c r="E333" s="51" t="n">
        <f aca="false">IF(E331=1,30%,50%-(SUM(E325:E327)/300*20%))</f>
        <v>0.5</v>
      </c>
      <c r="F333" s="23"/>
      <c r="G333" s="37"/>
      <c r="H333" s="23"/>
      <c r="I333" s="23"/>
      <c r="J333" s="28"/>
      <c r="K333" s="28"/>
      <c r="L333" s="51" t="n">
        <f aca="false">IF(L331=1,30%,50%-(SUM(L325:L327)/300*20%))</f>
        <v>0.3</v>
      </c>
      <c r="M333" s="23"/>
      <c r="N333" s="37"/>
      <c r="O333" s="38"/>
      <c r="P333" s="39"/>
      <c r="Q333" s="31"/>
      <c r="R333" s="10" t="n">
        <f aca="false">Q333</f>
        <v>0</v>
      </c>
      <c r="S333" s="10" t="n">
        <f aca="false">A333</f>
        <v>0</v>
      </c>
    </row>
    <row r="334" customFormat="false" ht="26.85" hidden="false" customHeight="false" outlineLevel="0" collapsed="false">
      <c r="A334" s="23"/>
      <c r="B334" s="23"/>
      <c r="C334" s="32" t="s">
        <v>318</v>
      </c>
      <c r="D334" s="23"/>
      <c r="E334" s="60"/>
      <c r="F334" s="23"/>
      <c r="G334" s="37"/>
      <c r="H334" s="23"/>
      <c r="I334" s="23"/>
      <c r="J334" s="28"/>
      <c r="K334" s="28"/>
      <c r="L334" s="60" t="n">
        <v>58</v>
      </c>
      <c r="M334" s="23"/>
      <c r="N334" s="37"/>
      <c r="O334" s="38"/>
      <c r="P334" s="39"/>
      <c r="Q334" s="31"/>
      <c r="R334" s="10" t="n">
        <f aca="false">Q334</f>
        <v>0</v>
      </c>
      <c r="S334" s="10" t="n">
        <f aca="false">A334</f>
        <v>0</v>
      </c>
    </row>
    <row r="335" customFormat="false" ht="28.35" hidden="false" customHeight="false" outlineLevel="0" collapsed="false">
      <c r="A335" s="23"/>
      <c r="B335" s="23"/>
      <c r="C335" s="23" t="s">
        <v>319</v>
      </c>
      <c r="D335" s="23"/>
      <c r="E335" s="60"/>
      <c r="F335" s="23"/>
      <c r="G335" s="37"/>
      <c r="H335" s="23"/>
      <c r="I335" s="23"/>
      <c r="J335" s="28"/>
      <c r="K335" s="28"/>
      <c r="L335" s="60" t="n">
        <v>48</v>
      </c>
      <c r="M335" s="23"/>
      <c r="N335" s="37"/>
      <c r="O335" s="38"/>
      <c r="P335" s="39"/>
      <c r="Q335" s="31"/>
      <c r="R335" s="10" t="n">
        <f aca="false">Q335</f>
        <v>0</v>
      </c>
      <c r="S335" s="10" t="n">
        <f aca="false">A335</f>
        <v>0</v>
      </c>
    </row>
    <row r="336" customFormat="false" ht="26.85" hidden="false" customHeight="false" outlineLevel="0" collapsed="false">
      <c r="A336" s="23"/>
      <c r="B336" s="23"/>
      <c r="C336" s="32" t="s">
        <v>320</v>
      </c>
      <c r="D336" s="23"/>
      <c r="E336" s="60"/>
      <c r="F336" s="23"/>
      <c r="G336" s="37"/>
      <c r="H336" s="23"/>
      <c r="I336" s="23"/>
      <c r="J336" s="28"/>
      <c r="K336" s="28"/>
      <c r="L336" s="60" t="n">
        <v>72</v>
      </c>
      <c r="M336" s="23"/>
      <c r="N336" s="37"/>
      <c r="O336" s="38"/>
      <c r="P336" s="39"/>
      <c r="Q336" s="31"/>
      <c r="R336" s="10" t="n">
        <f aca="false">Q336</f>
        <v>0</v>
      </c>
      <c r="S336" s="10" t="n">
        <f aca="false">A336</f>
        <v>0</v>
      </c>
    </row>
    <row r="337" customFormat="false" ht="20.85" hidden="false" customHeight="false" outlineLevel="0" collapsed="false">
      <c r="A337" s="23"/>
      <c r="B337" s="23"/>
      <c r="C337" s="32" t="s">
        <v>321</v>
      </c>
      <c r="D337" s="23"/>
      <c r="E337" s="51" t="e">
        <f aca="false">(SUM(E334:E336)/SUM(E325:E327))*100%</f>
        <v>#DIV/0!</v>
      </c>
      <c r="F337" s="23"/>
      <c r="G337" s="37"/>
      <c r="H337" s="23"/>
      <c r="I337" s="23"/>
      <c r="J337" s="28"/>
      <c r="K337" s="28"/>
      <c r="L337" s="51" t="n">
        <f aca="false">(SUM(L334:L336)/SUM(L325:L327))*100%</f>
        <v>0.417840375586854</v>
      </c>
      <c r="M337" s="23"/>
      <c r="N337" s="37"/>
      <c r="O337" s="38"/>
      <c r="P337" s="39"/>
      <c r="Q337" s="31"/>
      <c r="R337" s="10" t="n">
        <f aca="false">Q337</f>
        <v>0</v>
      </c>
      <c r="S337" s="10" t="n">
        <f aca="false">A337</f>
        <v>0</v>
      </c>
    </row>
    <row r="338" customFormat="false" ht="26.85" hidden="false" customHeight="false" outlineLevel="0" collapsed="false">
      <c r="A338" s="23"/>
      <c r="B338" s="23"/>
      <c r="C338" s="46" t="s">
        <v>322</v>
      </c>
      <c r="D338" s="23"/>
      <c r="E338" s="26" t="e">
        <f aca="false">IF(E337&gt;=60%,4,((20*E337)/3))</f>
        <v>#DIV/0!</v>
      </c>
      <c r="F338" s="23"/>
      <c r="G338" s="37"/>
      <c r="H338" s="23"/>
      <c r="I338" s="23"/>
      <c r="J338" s="28"/>
      <c r="K338" s="28"/>
      <c r="L338" s="26" t="n">
        <f aca="false">IF(L337&gt;=60%,4,((20*L337)/3))</f>
        <v>2.78560250391236</v>
      </c>
      <c r="M338" s="23"/>
      <c r="N338" s="37"/>
      <c r="O338" s="38"/>
      <c r="P338" s="39"/>
      <c r="Q338" s="31"/>
      <c r="R338" s="10" t="n">
        <f aca="false">Q338</f>
        <v>0</v>
      </c>
      <c r="S338" s="10" t="n">
        <f aca="false">A338</f>
        <v>0</v>
      </c>
    </row>
    <row r="339" customFormat="false" ht="64.9" hidden="false" customHeight="false" outlineLevel="0" collapsed="false">
      <c r="A339" s="23"/>
      <c r="B339" s="23"/>
      <c r="C339" s="46" t="s">
        <v>323</v>
      </c>
      <c r="D339" s="23"/>
      <c r="E339" s="26" t="e">
        <f aca="false">IF(E332&gt;=E333,E338,(E332/E333)*E338)</f>
        <v>#DIV/0!</v>
      </c>
      <c r="F339" s="23"/>
      <c r="G339" s="45"/>
      <c r="H339" s="23"/>
      <c r="I339" s="23"/>
      <c r="J339" s="28"/>
      <c r="K339" s="23"/>
      <c r="L339" s="26" t="n">
        <f aca="false">IF(L332&gt;=L333,L338,(L332/L333)*L338)</f>
        <v>2.78560250391236</v>
      </c>
      <c r="M339" s="23"/>
      <c r="N339" s="45"/>
      <c r="O339" s="42"/>
      <c r="P339" s="43"/>
      <c r="Q339" s="31"/>
      <c r="R339" s="10" t="n">
        <f aca="false">Q339</f>
        <v>0</v>
      </c>
      <c r="S339" s="10" t="n">
        <f aca="false">A339</f>
        <v>0</v>
      </c>
    </row>
    <row r="340" customFormat="false" ht="20.85" hidden="false" customHeight="true" outlineLevel="0" collapsed="false">
      <c r="A340" s="23"/>
      <c r="B340" s="23" t="s">
        <v>324</v>
      </c>
      <c r="C340" s="61" t="s">
        <v>325</v>
      </c>
      <c r="D340" s="23"/>
      <c r="E340" s="61"/>
      <c r="F340" s="23"/>
      <c r="G340" s="35" t="e">
        <f aca="false">E366</f>
        <v>#DIV/0!</v>
      </c>
      <c r="H340" s="23"/>
      <c r="I340" s="23"/>
      <c r="J340" s="28" t="str">
        <f aca="false">IF(ISBLANK(I340), "❌ BELUM ADA DOKUMEN PENDUKUNG", "✅ SILAHKAN AUDITOR MELAKUKAN VERIFIKASI DOKUMEN PENDUKUNGNYA")</f>
        <v>❌ BELUM ADA DOKUMEN PENDUKUNG</v>
      </c>
      <c r="K340" s="23"/>
      <c r="L340" s="61"/>
      <c r="M340" s="23"/>
      <c r="N340" s="35" t="n">
        <f aca="false">L366</f>
        <v>3.4750593824228</v>
      </c>
      <c r="O340" s="29"/>
      <c r="P340" s="30"/>
      <c r="Q340" s="31"/>
      <c r="R340" s="10" t="n">
        <f aca="false">Q340</f>
        <v>0</v>
      </c>
      <c r="S340" s="10" t="n">
        <f aca="false">A340</f>
        <v>0</v>
      </c>
    </row>
    <row r="341" customFormat="false" ht="28.35" hidden="false" customHeight="false" outlineLevel="0" collapsed="false">
      <c r="A341" s="23"/>
      <c r="B341" s="23"/>
      <c r="C341" s="52" t="s">
        <v>326</v>
      </c>
      <c r="D341" s="23"/>
      <c r="E341" s="25"/>
      <c r="F341" s="23"/>
      <c r="G341" s="37"/>
      <c r="H341" s="23"/>
      <c r="I341" s="23"/>
      <c r="J341" s="28"/>
      <c r="K341" s="28"/>
      <c r="L341" s="25" t="n">
        <v>0</v>
      </c>
      <c r="M341" s="23"/>
      <c r="N341" s="37"/>
      <c r="O341" s="38"/>
      <c r="P341" s="39"/>
      <c r="Q341" s="31"/>
      <c r="R341" s="10" t="n">
        <f aca="false">Q341</f>
        <v>0</v>
      </c>
      <c r="S341" s="10" t="n">
        <f aca="false">A341</f>
        <v>0</v>
      </c>
    </row>
    <row r="342" customFormat="false" ht="28.35" hidden="false" customHeight="false" outlineLevel="0" collapsed="false">
      <c r="A342" s="23"/>
      <c r="B342" s="23"/>
      <c r="C342" s="52" t="s">
        <v>327</v>
      </c>
      <c r="D342" s="23"/>
      <c r="E342" s="25"/>
      <c r="F342" s="23"/>
      <c r="G342" s="37"/>
      <c r="H342" s="23"/>
      <c r="I342" s="23"/>
      <c r="J342" s="28"/>
      <c r="K342" s="28"/>
      <c r="L342" s="25" t="n">
        <v>43</v>
      </c>
      <c r="M342" s="23"/>
      <c r="N342" s="37"/>
      <c r="O342" s="38"/>
      <c r="P342" s="39"/>
      <c r="Q342" s="31"/>
      <c r="R342" s="10" t="n">
        <f aca="false">Q342</f>
        <v>0</v>
      </c>
      <c r="S342" s="10" t="n">
        <f aca="false">A342</f>
        <v>0</v>
      </c>
    </row>
    <row r="343" customFormat="false" ht="28.35" hidden="false" customHeight="false" outlineLevel="0" collapsed="false">
      <c r="A343" s="23"/>
      <c r="B343" s="23"/>
      <c r="C343" s="52" t="s">
        <v>328</v>
      </c>
      <c r="D343" s="23"/>
      <c r="E343" s="25"/>
      <c r="F343" s="23"/>
      <c r="G343" s="37"/>
      <c r="H343" s="23"/>
      <c r="I343" s="23"/>
      <c r="J343" s="28"/>
      <c r="K343" s="28"/>
      <c r="L343" s="25" t="n">
        <v>52</v>
      </c>
      <c r="M343" s="23"/>
      <c r="N343" s="37"/>
      <c r="O343" s="38"/>
      <c r="P343" s="39"/>
      <c r="Q343" s="31"/>
      <c r="R343" s="10" t="n">
        <f aca="false">Q343</f>
        <v>0</v>
      </c>
      <c r="S343" s="10" t="n">
        <f aca="false">A343</f>
        <v>0</v>
      </c>
    </row>
    <row r="344" customFormat="false" ht="20.85" hidden="false" customHeight="false" outlineLevel="0" collapsed="false">
      <c r="A344" s="23"/>
      <c r="B344" s="23"/>
      <c r="C344" s="61" t="s">
        <v>329</v>
      </c>
      <c r="D344" s="23"/>
      <c r="E344" s="61"/>
      <c r="F344" s="23"/>
      <c r="G344" s="37"/>
      <c r="H344" s="23"/>
      <c r="I344" s="23"/>
      <c r="J344" s="28"/>
      <c r="K344" s="28"/>
      <c r="L344" s="61"/>
      <c r="M344" s="23"/>
      <c r="N344" s="37"/>
      <c r="O344" s="38"/>
      <c r="P344" s="39"/>
      <c r="Q344" s="31"/>
      <c r="R344" s="10" t="n">
        <f aca="false">Q344</f>
        <v>0</v>
      </c>
      <c r="S344" s="10" t="n">
        <f aca="false">A344</f>
        <v>0</v>
      </c>
    </row>
    <row r="345" customFormat="false" ht="28.35" hidden="false" customHeight="false" outlineLevel="0" collapsed="false">
      <c r="A345" s="23"/>
      <c r="B345" s="23"/>
      <c r="C345" s="52" t="s">
        <v>326</v>
      </c>
      <c r="D345" s="23"/>
      <c r="E345" s="25"/>
      <c r="F345" s="23"/>
      <c r="G345" s="37"/>
      <c r="H345" s="23"/>
      <c r="I345" s="23"/>
      <c r="J345" s="28"/>
      <c r="K345" s="28"/>
      <c r="L345" s="25" t="n">
        <v>9</v>
      </c>
      <c r="M345" s="23"/>
      <c r="N345" s="37"/>
      <c r="O345" s="38"/>
      <c r="P345" s="39"/>
      <c r="Q345" s="31"/>
      <c r="R345" s="10" t="n">
        <f aca="false">Q345</f>
        <v>0</v>
      </c>
      <c r="S345" s="10" t="n">
        <f aca="false">A345</f>
        <v>0</v>
      </c>
    </row>
    <row r="346" customFormat="false" ht="28.35" hidden="false" customHeight="false" outlineLevel="0" collapsed="false">
      <c r="A346" s="23"/>
      <c r="B346" s="23"/>
      <c r="C346" s="52" t="s">
        <v>327</v>
      </c>
      <c r="D346" s="23"/>
      <c r="E346" s="25"/>
      <c r="F346" s="23"/>
      <c r="G346" s="37"/>
      <c r="H346" s="23"/>
      <c r="I346" s="23"/>
      <c r="J346" s="28"/>
      <c r="K346" s="28"/>
      <c r="L346" s="25" t="n">
        <v>25</v>
      </c>
      <c r="M346" s="23"/>
      <c r="N346" s="37"/>
      <c r="O346" s="38"/>
      <c r="P346" s="39"/>
      <c r="Q346" s="31"/>
      <c r="R346" s="10" t="n">
        <f aca="false">Q346</f>
        <v>0</v>
      </c>
      <c r="S346" s="10" t="n">
        <f aca="false">A346</f>
        <v>0</v>
      </c>
    </row>
    <row r="347" customFormat="false" ht="28.35" hidden="false" customHeight="false" outlineLevel="0" collapsed="false">
      <c r="A347" s="23"/>
      <c r="B347" s="23"/>
      <c r="C347" s="52" t="s">
        <v>328</v>
      </c>
      <c r="D347" s="23"/>
      <c r="E347" s="25"/>
      <c r="F347" s="23"/>
      <c r="G347" s="37"/>
      <c r="H347" s="23"/>
      <c r="I347" s="23"/>
      <c r="J347" s="28"/>
      <c r="K347" s="28"/>
      <c r="L347" s="25" t="n">
        <v>35</v>
      </c>
      <c r="M347" s="23"/>
      <c r="N347" s="37"/>
      <c r="O347" s="38"/>
      <c r="P347" s="39"/>
      <c r="Q347" s="31"/>
      <c r="R347" s="10" t="n">
        <f aca="false">Q347</f>
        <v>0</v>
      </c>
      <c r="S347" s="10" t="n">
        <f aca="false">A347</f>
        <v>0</v>
      </c>
    </row>
    <row r="348" customFormat="false" ht="20.85" hidden="false" customHeight="false" outlineLevel="0" collapsed="false">
      <c r="A348" s="23"/>
      <c r="B348" s="23"/>
      <c r="C348" s="61" t="s">
        <v>330</v>
      </c>
      <c r="D348" s="23"/>
      <c r="E348" s="61"/>
      <c r="F348" s="23"/>
      <c r="G348" s="37"/>
      <c r="H348" s="23"/>
      <c r="I348" s="23"/>
      <c r="J348" s="28"/>
      <c r="K348" s="28"/>
      <c r="L348" s="61"/>
      <c r="M348" s="23"/>
      <c r="N348" s="37"/>
      <c r="O348" s="38"/>
      <c r="P348" s="39"/>
      <c r="Q348" s="31"/>
      <c r="R348" s="10" t="n">
        <f aca="false">Q348</f>
        <v>0</v>
      </c>
      <c r="S348" s="10" t="n">
        <f aca="false">A348</f>
        <v>0</v>
      </c>
    </row>
    <row r="349" customFormat="false" ht="28.35" hidden="false" customHeight="false" outlineLevel="0" collapsed="false">
      <c r="A349" s="23"/>
      <c r="B349" s="23"/>
      <c r="C349" s="52" t="s">
        <v>326</v>
      </c>
      <c r="D349" s="23"/>
      <c r="E349" s="25"/>
      <c r="F349" s="23"/>
      <c r="G349" s="37"/>
      <c r="H349" s="23"/>
      <c r="I349" s="23"/>
      <c r="J349" s="28"/>
      <c r="K349" s="28"/>
      <c r="L349" s="25" t="n">
        <v>1</v>
      </c>
      <c r="M349" s="23"/>
      <c r="N349" s="37"/>
      <c r="O349" s="38"/>
      <c r="P349" s="39"/>
      <c r="Q349" s="31"/>
      <c r="R349" s="10" t="n">
        <f aca="false">Q349</f>
        <v>0</v>
      </c>
      <c r="S349" s="10" t="n">
        <f aca="false">A349</f>
        <v>0</v>
      </c>
    </row>
    <row r="350" customFormat="false" ht="28.35" hidden="false" customHeight="false" outlineLevel="0" collapsed="false">
      <c r="A350" s="23"/>
      <c r="B350" s="23"/>
      <c r="C350" s="52" t="s">
        <v>327</v>
      </c>
      <c r="D350" s="23"/>
      <c r="E350" s="25"/>
      <c r="F350" s="23"/>
      <c r="G350" s="37"/>
      <c r="H350" s="23"/>
      <c r="I350" s="23"/>
      <c r="J350" s="28"/>
      <c r="K350" s="28"/>
      <c r="L350" s="25" t="n">
        <v>36</v>
      </c>
      <c r="M350" s="23"/>
      <c r="N350" s="37"/>
      <c r="O350" s="38"/>
      <c r="P350" s="39"/>
      <c r="Q350" s="31"/>
      <c r="R350" s="10" t="n">
        <f aca="false">Q350</f>
        <v>0</v>
      </c>
      <c r="S350" s="10" t="n">
        <f aca="false">A350</f>
        <v>0</v>
      </c>
    </row>
    <row r="351" customFormat="false" ht="28.35" hidden="false" customHeight="false" outlineLevel="0" collapsed="false">
      <c r="A351" s="23"/>
      <c r="B351" s="23"/>
      <c r="C351" s="52" t="s">
        <v>328</v>
      </c>
      <c r="D351" s="23"/>
      <c r="E351" s="25"/>
      <c r="F351" s="23"/>
      <c r="G351" s="37"/>
      <c r="H351" s="23"/>
      <c r="I351" s="23"/>
      <c r="J351" s="28"/>
      <c r="K351" s="28"/>
      <c r="L351" s="25" t="n">
        <v>25</v>
      </c>
      <c r="M351" s="23"/>
      <c r="N351" s="37"/>
      <c r="O351" s="38"/>
      <c r="P351" s="39"/>
      <c r="Q351" s="31"/>
      <c r="R351" s="10" t="n">
        <f aca="false">Q351</f>
        <v>0</v>
      </c>
      <c r="S351" s="10" t="n">
        <f aca="false">A351</f>
        <v>0</v>
      </c>
    </row>
    <row r="352" customFormat="false" ht="20.85" hidden="false" customHeight="false" outlineLevel="0" collapsed="false">
      <c r="A352" s="23"/>
      <c r="B352" s="23"/>
      <c r="C352" s="32" t="s">
        <v>297</v>
      </c>
      <c r="D352" s="23"/>
      <c r="E352" s="25"/>
      <c r="F352" s="23"/>
      <c r="G352" s="37"/>
      <c r="H352" s="23"/>
      <c r="I352" s="23"/>
      <c r="J352" s="28"/>
      <c r="K352" s="28"/>
      <c r="L352" s="25" t="n">
        <v>89</v>
      </c>
      <c r="M352" s="23"/>
      <c r="N352" s="37"/>
      <c r="O352" s="38"/>
      <c r="P352" s="39"/>
      <c r="Q352" s="31"/>
      <c r="R352" s="10" t="n">
        <f aca="false">Q352</f>
        <v>0</v>
      </c>
      <c r="S352" s="10" t="n">
        <f aca="false">A352</f>
        <v>0</v>
      </c>
    </row>
    <row r="353" customFormat="false" ht="20.85" hidden="false" customHeight="false" outlineLevel="0" collapsed="false">
      <c r="A353" s="23"/>
      <c r="B353" s="23"/>
      <c r="C353" s="32" t="s">
        <v>298</v>
      </c>
      <c r="D353" s="23"/>
      <c r="E353" s="25"/>
      <c r="F353" s="23"/>
      <c r="G353" s="37"/>
      <c r="H353" s="23"/>
      <c r="I353" s="23"/>
      <c r="J353" s="28"/>
      <c r="K353" s="28"/>
      <c r="L353" s="25" t="n">
        <v>114</v>
      </c>
      <c r="M353" s="23"/>
      <c r="N353" s="37"/>
      <c r="O353" s="38"/>
      <c r="P353" s="39"/>
      <c r="Q353" s="31"/>
      <c r="R353" s="10" t="n">
        <f aca="false">Q353</f>
        <v>0</v>
      </c>
      <c r="S353" s="10" t="n">
        <f aca="false">A353</f>
        <v>0</v>
      </c>
    </row>
    <row r="354" customFormat="false" ht="20.85" hidden="false" customHeight="false" outlineLevel="0" collapsed="false">
      <c r="A354" s="23"/>
      <c r="B354" s="23"/>
      <c r="C354" s="32" t="s">
        <v>299</v>
      </c>
      <c r="D354" s="23"/>
      <c r="E354" s="25"/>
      <c r="F354" s="23"/>
      <c r="G354" s="37"/>
      <c r="H354" s="23"/>
      <c r="I354" s="23"/>
      <c r="J354" s="28"/>
      <c r="K354" s="28"/>
      <c r="L354" s="25" t="n">
        <v>218</v>
      </c>
      <c r="M354" s="23"/>
      <c r="N354" s="37"/>
      <c r="O354" s="38"/>
      <c r="P354" s="39"/>
      <c r="Q354" s="31"/>
      <c r="R354" s="10" t="n">
        <f aca="false">Q354</f>
        <v>0</v>
      </c>
      <c r="S354" s="10" t="n">
        <f aca="false">A354</f>
        <v>0</v>
      </c>
    </row>
    <row r="355" customFormat="false" ht="26.85" hidden="false" customHeight="false" outlineLevel="0" collapsed="false">
      <c r="A355" s="23"/>
      <c r="B355" s="23"/>
      <c r="C355" s="32" t="s">
        <v>331</v>
      </c>
      <c r="D355" s="23"/>
      <c r="E355" s="25"/>
      <c r="F355" s="23"/>
      <c r="G355" s="37"/>
      <c r="H355" s="23"/>
      <c r="I355" s="23"/>
      <c r="J355" s="28"/>
      <c r="K355" s="28"/>
      <c r="L355" s="25" t="n">
        <v>62</v>
      </c>
      <c r="M355" s="23"/>
      <c r="N355" s="37"/>
      <c r="O355" s="38"/>
      <c r="P355" s="39"/>
      <c r="Q355" s="31"/>
      <c r="R355" s="10" t="n">
        <f aca="false">Q355</f>
        <v>0</v>
      </c>
      <c r="S355" s="10" t="n">
        <f aca="false">A355</f>
        <v>0</v>
      </c>
    </row>
    <row r="356" customFormat="false" ht="26.85" hidden="false" customHeight="false" outlineLevel="0" collapsed="false">
      <c r="A356" s="23"/>
      <c r="B356" s="23"/>
      <c r="C356" s="32" t="s">
        <v>332</v>
      </c>
      <c r="D356" s="23"/>
      <c r="E356" s="25"/>
      <c r="F356" s="23"/>
      <c r="G356" s="37"/>
      <c r="H356" s="23"/>
      <c r="I356" s="23"/>
      <c r="J356" s="28"/>
      <c r="K356" s="28"/>
      <c r="L356" s="25" t="n">
        <v>60</v>
      </c>
      <c r="M356" s="23"/>
      <c r="N356" s="37"/>
      <c r="O356" s="38"/>
      <c r="P356" s="39"/>
      <c r="Q356" s="31"/>
      <c r="R356" s="10" t="n">
        <f aca="false">Q356</f>
        <v>0</v>
      </c>
      <c r="S356" s="10" t="n">
        <f aca="false">A356</f>
        <v>0</v>
      </c>
    </row>
    <row r="357" customFormat="false" ht="26.85" hidden="false" customHeight="false" outlineLevel="0" collapsed="false">
      <c r="A357" s="23"/>
      <c r="B357" s="23"/>
      <c r="C357" s="32" t="s">
        <v>333</v>
      </c>
      <c r="D357" s="23"/>
      <c r="E357" s="25"/>
      <c r="F357" s="23"/>
      <c r="G357" s="37"/>
      <c r="H357" s="23"/>
      <c r="I357" s="23"/>
      <c r="J357" s="28"/>
      <c r="K357" s="28"/>
      <c r="L357" s="25" t="n">
        <v>95</v>
      </c>
      <c r="M357" s="23"/>
      <c r="N357" s="37"/>
      <c r="O357" s="38"/>
      <c r="P357" s="39"/>
      <c r="Q357" s="31"/>
      <c r="R357" s="10" t="n">
        <f aca="false">Q357</f>
        <v>0</v>
      </c>
      <c r="S357" s="10" t="n">
        <f aca="false">A357</f>
        <v>0</v>
      </c>
    </row>
    <row r="358" customFormat="false" ht="77.6" hidden="false" customHeight="false" outlineLevel="0" collapsed="false">
      <c r="A358" s="23"/>
      <c r="B358" s="23"/>
      <c r="C358" s="46" t="s">
        <v>334</v>
      </c>
      <c r="D358" s="23"/>
      <c r="E358" s="26" t="n">
        <f aca="false">IF(SUM(E352:E354)&gt;=300,1,2)</f>
        <v>2</v>
      </c>
      <c r="F358" s="23"/>
      <c r="G358" s="37"/>
      <c r="H358" s="23"/>
      <c r="I358" s="23"/>
      <c r="J358" s="28"/>
      <c r="K358" s="28"/>
      <c r="L358" s="26" t="n">
        <f aca="false">IF(SUM(L352:L354)&gt;=300,1,2)</f>
        <v>1</v>
      </c>
      <c r="M358" s="23"/>
      <c r="N358" s="37"/>
      <c r="O358" s="38"/>
      <c r="P358" s="39"/>
      <c r="Q358" s="31"/>
      <c r="R358" s="10" t="n">
        <f aca="false">Q358</f>
        <v>0</v>
      </c>
      <c r="S358" s="10" t="n">
        <f aca="false">A358</f>
        <v>0</v>
      </c>
    </row>
    <row r="359" customFormat="false" ht="20.85" hidden="false" customHeight="false" outlineLevel="0" collapsed="false">
      <c r="A359" s="23"/>
      <c r="B359" s="23"/>
      <c r="C359" s="46" t="s">
        <v>304</v>
      </c>
      <c r="D359" s="23"/>
      <c r="E359" s="51" t="e">
        <f aca="false">(SUM(E355:E357)/SUM(E352:E354))*100%</f>
        <v>#DIV/0!</v>
      </c>
      <c r="F359" s="23"/>
      <c r="G359" s="37"/>
      <c r="H359" s="23"/>
      <c r="I359" s="23"/>
      <c r="J359" s="28"/>
      <c r="K359" s="28"/>
      <c r="L359" s="51" t="n">
        <f aca="false">(SUM(L355:L357)/SUM(L352:L354))*100%</f>
        <v>0.515439429928741</v>
      </c>
      <c r="M359" s="23"/>
      <c r="N359" s="37"/>
      <c r="O359" s="38"/>
      <c r="P359" s="39"/>
      <c r="Q359" s="31"/>
      <c r="R359" s="10" t="n">
        <f aca="false">Q359</f>
        <v>0</v>
      </c>
      <c r="S359" s="10" t="n">
        <f aca="false">A359</f>
        <v>0</v>
      </c>
    </row>
    <row r="360" customFormat="false" ht="20.85" hidden="false" customHeight="false" outlineLevel="0" collapsed="false">
      <c r="A360" s="23"/>
      <c r="B360" s="23"/>
      <c r="C360" s="46" t="s">
        <v>305</v>
      </c>
      <c r="D360" s="23"/>
      <c r="E360" s="51" t="n">
        <f aca="false">IF(E358=1,30%,50%-(SUM(E352:E354)/300*20%))</f>
        <v>0.5</v>
      </c>
      <c r="F360" s="23"/>
      <c r="G360" s="37"/>
      <c r="H360" s="23"/>
      <c r="I360" s="23"/>
      <c r="J360" s="28"/>
      <c r="K360" s="28"/>
      <c r="L360" s="51" t="n">
        <f aca="false">IF(L358=1,30%,50%-(SUM(L352:L354)/300*20%))</f>
        <v>0.3</v>
      </c>
      <c r="M360" s="23"/>
      <c r="N360" s="37"/>
      <c r="O360" s="38"/>
      <c r="P360" s="39"/>
      <c r="Q360" s="31"/>
      <c r="R360" s="10" t="n">
        <f aca="false">Q360</f>
        <v>0</v>
      </c>
      <c r="S360" s="10" t="n">
        <f aca="false">A360</f>
        <v>0</v>
      </c>
    </row>
    <row r="361" customFormat="false" ht="20.85" hidden="false" customHeight="false" outlineLevel="0" collapsed="false">
      <c r="A361" s="23"/>
      <c r="B361" s="23"/>
      <c r="C361" s="46" t="s">
        <v>335</v>
      </c>
      <c r="D361" s="23"/>
      <c r="E361" s="51" t="e">
        <f aca="false">((E341+E345+E349)/SUM(E352:E354))*100%</f>
        <v>#DIV/0!</v>
      </c>
      <c r="F361" s="23"/>
      <c r="G361" s="37"/>
      <c r="H361" s="23"/>
      <c r="I361" s="23"/>
      <c r="J361" s="28"/>
      <c r="K361" s="28"/>
      <c r="L361" s="51" t="n">
        <f aca="false">((L341+L345+L349)/SUM(L352:L354))*100%</f>
        <v>0.0237529691211401</v>
      </c>
      <c r="M361" s="23"/>
      <c r="N361" s="37"/>
      <c r="O361" s="38"/>
      <c r="P361" s="39"/>
      <c r="Q361" s="31"/>
      <c r="R361" s="10" t="n">
        <f aca="false">Q361</f>
        <v>0</v>
      </c>
      <c r="S361" s="10" t="n">
        <f aca="false">A361</f>
        <v>0</v>
      </c>
    </row>
    <row r="362" customFormat="false" ht="20.85" hidden="false" customHeight="false" outlineLevel="0" collapsed="false">
      <c r="A362" s="23"/>
      <c r="B362" s="23"/>
      <c r="C362" s="46" t="s">
        <v>336</v>
      </c>
      <c r="D362" s="23"/>
      <c r="E362" s="51" t="e">
        <f aca="false">((E342+E346+E350)/SUM(E352:E354))*100%</f>
        <v>#DIV/0!</v>
      </c>
      <c r="F362" s="23"/>
      <c r="G362" s="37"/>
      <c r="H362" s="23"/>
      <c r="I362" s="23"/>
      <c r="J362" s="28"/>
      <c r="K362" s="28"/>
      <c r="L362" s="51" t="n">
        <f aca="false">((L342+L346+L350)/SUM(L352:L354))*100%</f>
        <v>0.247030878859857</v>
      </c>
      <c r="M362" s="23"/>
      <c r="N362" s="37"/>
      <c r="O362" s="38"/>
      <c r="P362" s="39"/>
      <c r="Q362" s="31"/>
      <c r="R362" s="10" t="n">
        <f aca="false">Q362</f>
        <v>0</v>
      </c>
      <c r="S362" s="10" t="n">
        <f aca="false">A362</f>
        <v>0</v>
      </c>
    </row>
    <row r="363" customFormat="false" ht="20.85" hidden="false" customHeight="false" outlineLevel="0" collapsed="false">
      <c r="A363" s="23"/>
      <c r="B363" s="23"/>
      <c r="C363" s="46" t="s">
        <v>337</v>
      </c>
      <c r="D363" s="23"/>
      <c r="E363" s="51" t="e">
        <f aca="false">((E343+E347+E351)/SUM(E352:E354))*100%</f>
        <v>#DIV/0!</v>
      </c>
      <c r="F363" s="23"/>
      <c r="G363" s="37"/>
      <c r="H363" s="23"/>
      <c r="I363" s="23"/>
      <c r="J363" s="28"/>
      <c r="K363" s="28"/>
      <c r="L363" s="51" t="n">
        <f aca="false">((L343+L347+L351)/SUM(L352:L354))*100%</f>
        <v>0.26603325415677</v>
      </c>
      <c r="M363" s="23"/>
      <c r="N363" s="37"/>
      <c r="O363" s="38"/>
      <c r="P363" s="39"/>
      <c r="Q363" s="31"/>
      <c r="R363" s="10" t="n">
        <f aca="false">Q363</f>
        <v>0</v>
      </c>
      <c r="S363" s="10" t="n">
        <f aca="false">A363</f>
        <v>0</v>
      </c>
    </row>
    <row r="364" customFormat="false" ht="20.85" hidden="false" customHeight="false" outlineLevel="0" collapsed="false">
      <c r="A364" s="23"/>
      <c r="B364" s="23"/>
      <c r="C364" s="46" t="s">
        <v>338</v>
      </c>
      <c r="D364" s="23"/>
      <c r="E364" s="62"/>
      <c r="F364" s="23"/>
      <c r="G364" s="37"/>
      <c r="H364" s="23"/>
      <c r="I364" s="23"/>
      <c r="J364" s="28"/>
      <c r="K364" s="28"/>
      <c r="L364" s="62"/>
      <c r="M364" s="23"/>
      <c r="N364" s="37"/>
      <c r="O364" s="38"/>
      <c r="P364" s="39"/>
      <c r="Q364" s="31"/>
      <c r="R364" s="10" t="n">
        <f aca="false">Q364</f>
        <v>0</v>
      </c>
      <c r="S364" s="10" t="n">
        <f aca="false">A364</f>
        <v>0</v>
      </c>
    </row>
    <row r="365" customFormat="false" ht="77.6" hidden="false" customHeight="false" outlineLevel="0" collapsed="false">
      <c r="A365" s="23"/>
      <c r="B365" s="23"/>
      <c r="C365" s="63" t="s">
        <v>339</v>
      </c>
      <c r="D365" s="23"/>
      <c r="E365" s="26" t="e">
        <f aca="false">IF(E361&gt;=0.05, 4,
 IF(AND(E361&lt;0.05, E362&gt;=0.2), 3 + (E361/0.05),
 IF(AND(E361=0, E362=0, E364&gt;=0.9), 2,
 IF(AND(E361=0, E362=0, E364&lt;0.9), (2*E364)/0.9,
 IF(AND(E361&gt;0, E361&lt;0.05, E362&gt;0, E362&lt;0.2), 2 + (2*E361/0.05) + (E362/0.2) - ((E361*E362)/(0.05*0.2)),
 "")))))</f>
        <v>#DIV/0!</v>
      </c>
      <c r="F365" s="23"/>
      <c r="G365" s="37"/>
      <c r="H365" s="23"/>
      <c r="I365" s="23"/>
      <c r="J365" s="28"/>
      <c r="K365" s="28"/>
      <c r="L365" s="26" t="n">
        <f aca="false">IF(L361&gt;=0.05, 4,
 IF(AND(L361&lt;0.05, L362&gt;=0.2), 3 + (L361/0.05),
 IF(AND(L361=0, L362=0, L364&gt;=0.9), 2,
 IF(AND(L361=0, L362=0, L364&lt;0.9), (2*L364)/0.9,
 IF(AND(L361&gt;0, L361&lt;0.05, L362&gt;0, L362&lt;0.2), 2 + (2*L361/0.05) + (L362/0.2) - ((L361*L362)/(0.05*0.2)),
 "")))))</f>
        <v>3.4750593824228</v>
      </c>
      <c r="M365" s="23"/>
      <c r="N365" s="37"/>
      <c r="O365" s="38"/>
      <c r="P365" s="39"/>
      <c r="Q365" s="31"/>
      <c r="R365" s="10" t="n">
        <f aca="false">Q365</f>
        <v>0</v>
      </c>
      <c r="S365" s="10" t="n">
        <f aca="false">A365</f>
        <v>0</v>
      </c>
    </row>
    <row r="366" customFormat="false" ht="64.9" hidden="false" customHeight="false" outlineLevel="0" collapsed="false">
      <c r="A366" s="23"/>
      <c r="B366" s="23"/>
      <c r="C366" s="46" t="s">
        <v>340</v>
      </c>
      <c r="D366" s="23"/>
      <c r="E366" s="64" t="e">
        <f aca="false">IF(E359&gt;=E360, E365, (E359/E360)*E365)</f>
        <v>#DIV/0!</v>
      </c>
      <c r="F366" s="23"/>
      <c r="G366" s="45"/>
      <c r="H366" s="23"/>
      <c r="I366" s="23"/>
      <c r="J366" s="28"/>
      <c r="K366" s="23"/>
      <c r="L366" s="64" t="n">
        <f aca="false">IF(L359&gt;=L360, L365, (L359/L360)*L365)</f>
        <v>3.4750593824228</v>
      </c>
      <c r="M366" s="23"/>
      <c r="N366" s="45"/>
      <c r="O366" s="42"/>
      <c r="P366" s="43"/>
      <c r="Q366" s="31"/>
      <c r="R366" s="10" t="n">
        <f aca="false">Q366</f>
        <v>0</v>
      </c>
      <c r="S366" s="10" t="n">
        <f aca="false">A366</f>
        <v>0</v>
      </c>
    </row>
    <row r="367" customFormat="false" ht="20.85" hidden="false" customHeight="true" outlineLevel="0" collapsed="false">
      <c r="A367" s="23"/>
      <c r="B367" s="23" t="s">
        <v>341</v>
      </c>
      <c r="C367" s="65" t="s">
        <v>342</v>
      </c>
      <c r="D367" s="23"/>
      <c r="E367" s="66"/>
      <c r="F367" s="23"/>
      <c r="G367" s="35" t="e">
        <f aca="false">E412</f>
        <v>#DIV/0!</v>
      </c>
      <c r="H367" s="23"/>
      <c r="I367" s="67"/>
      <c r="J367" s="28" t="str">
        <f aca="false">IF(ISBLANK(I367), "❌ BELUM ADA DOKUMEN PENDUKUNG", "✅ SILAHKAN AUDITOR MELAKUKAN VERIFIKASI DOKUMEN PENDUKUNGNYA")</f>
        <v>❌ BELUM ADA DOKUMEN PENDUKUNG</v>
      </c>
      <c r="K367" s="23"/>
      <c r="L367" s="66" t="n">
        <v>89</v>
      </c>
      <c r="M367" s="23"/>
      <c r="N367" s="35" t="n">
        <f aca="false">L412</f>
        <v>3.59</v>
      </c>
      <c r="O367" s="68"/>
      <c r="P367" s="69"/>
      <c r="Q367" s="31"/>
      <c r="R367" s="10" t="n">
        <f aca="false">Q367</f>
        <v>0</v>
      </c>
      <c r="S367" s="10" t="n">
        <f aca="false">A367</f>
        <v>0</v>
      </c>
    </row>
    <row r="368" customFormat="false" ht="20.85" hidden="false" customHeight="false" outlineLevel="0" collapsed="false">
      <c r="A368" s="23"/>
      <c r="B368" s="23"/>
      <c r="C368" s="65" t="s">
        <v>343</v>
      </c>
      <c r="D368" s="23"/>
      <c r="E368" s="66"/>
      <c r="F368" s="23"/>
      <c r="G368" s="37"/>
      <c r="H368" s="23"/>
      <c r="I368" s="67"/>
      <c r="J368" s="28"/>
      <c r="K368" s="28"/>
      <c r="L368" s="66" t="n">
        <v>114</v>
      </c>
      <c r="M368" s="23"/>
      <c r="N368" s="37"/>
      <c r="O368" s="70"/>
      <c r="P368" s="71"/>
      <c r="Q368" s="31"/>
      <c r="R368" s="10" t="n">
        <f aca="false">Q368</f>
        <v>0</v>
      </c>
      <c r="S368" s="10" t="n">
        <f aca="false">A368</f>
        <v>0</v>
      </c>
    </row>
    <row r="369" customFormat="false" ht="20.85" hidden="false" customHeight="false" outlineLevel="0" collapsed="false">
      <c r="A369" s="23"/>
      <c r="B369" s="23"/>
      <c r="C369" s="65" t="s">
        <v>344</v>
      </c>
      <c r="D369" s="23"/>
      <c r="E369" s="66"/>
      <c r="F369" s="23"/>
      <c r="G369" s="37"/>
      <c r="H369" s="23"/>
      <c r="I369" s="67"/>
      <c r="J369" s="28"/>
      <c r="K369" s="28"/>
      <c r="L369" s="66" t="n">
        <v>218</v>
      </c>
      <c r="M369" s="23"/>
      <c r="N369" s="37"/>
      <c r="O369" s="70"/>
      <c r="P369" s="71"/>
      <c r="Q369" s="31"/>
      <c r="R369" s="10" t="n">
        <f aca="false">Q369</f>
        <v>0</v>
      </c>
      <c r="S369" s="10" t="n">
        <f aca="false">A369</f>
        <v>0</v>
      </c>
    </row>
    <row r="370" customFormat="false" ht="28.35" hidden="false" customHeight="false" outlineLevel="0" collapsed="false">
      <c r="A370" s="23"/>
      <c r="B370" s="23"/>
      <c r="C370" s="72" t="s">
        <v>345</v>
      </c>
      <c r="D370" s="23"/>
      <c r="E370" s="66"/>
      <c r="F370" s="23"/>
      <c r="G370" s="37"/>
      <c r="H370" s="23"/>
      <c r="I370" s="67"/>
      <c r="J370" s="28"/>
      <c r="K370" s="28"/>
      <c r="L370" s="66" t="n">
        <v>61</v>
      </c>
      <c r="M370" s="23"/>
      <c r="N370" s="37"/>
      <c r="O370" s="70"/>
      <c r="P370" s="71"/>
      <c r="Q370" s="31"/>
      <c r="R370" s="10" t="n">
        <f aca="false">Q370</f>
        <v>0</v>
      </c>
      <c r="S370" s="10" t="n">
        <f aca="false">A370</f>
        <v>0</v>
      </c>
    </row>
    <row r="371" customFormat="false" ht="28.35" hidden="false" customHeight="false" outlineLevel="0" collapsed="false">
      <c r="A371" s="23"/>
      <c r="B371" s="23"/>
      <c r="C371" s="72" t="s">
        <v>346</v>
      </c>
      <c r="D371" s="23"/>
      <c r="E371" s="66"/>
      <c r="F371" s="23"/>
      <c r="G371" s="37"/>
      <c r="H371" s="23"/>
      <c r="I371" s="67"/>
      <c r="J371" s="28"/>
      <c r="K371" s="28"/>
      <c r="L371" s="66" t="n">
        <v>56</v>
      </c>
      <c r="M371" s="23"/>
      <c r="N371" s="37"/>
      <c r="O371" s="70"/>
      <c r="P371" s="71"/>
      <c r="Q371" s="31"/>
      <c r="R371" s="10" t="n">
        <f aca="false">Q371</f>
        <v>0</v>
      </c>
      <c r="S371" s="10" t="n">
        <f aca="false">A371</f>
        <v>0</v>
      </c>
    </row>
    <row r="372" customFormat="false" ht="28.35" hidden="false" customHeight="false" outlineLevel="0" collapsed="false">
      <c r="A372" s="23"/>
      <c r="B372" s="23"/>
      <c r="C372" s="72" t="s">
        <v>347</v>
      </c>
      <c r="D372" s="23"/>
      <c r="E372" s="66"/>
      <c r="F372" s="23"/>
      <c r="G372" s="37"/>
      <c r="H372" s="23"/>
      <c r="I372" s="67"/>
      <c r="J372" s="28"/>
      <c r="K372" s="28"/>
      <c r="L372" s="66" t="n">
        <v>87</v>
      </c>
      <c r="M372" s="23"/>
      <c r="N372" s="37"/>
      <c r="O372" s="70"/>
      <c r="P372" s="71"/>
      <c r="Q372" s="31"/>
      <c r="R372" s="10" t="n">
        <f aca="false">Q372</f>
        <v>0</v>
      </c>
      <c r="S372" s="10" t="n">
        <f aca="false">A372</f>
        <v>0</v>
      </c>
    </row>
    <row r="373" customFormat="false" ht="77.6" hidden="false" customHeight="false" outlineLevel="0" collapsed="false">
      <c r="A373" s="23"/>
      <c r="B373" s="23"/>
      <c r="C373" s="73" t="s">
        <v>348</v>
      </c>
      <c r="D373" s="23"/>
      <c r="E373" s="74"/>
      <c r="F373" s="23"/>
      <c r="G373" s="37"/>
      <c r="H373" s="23"/>
      <c r="I373" s="67"/>
      <c r="J373" s="28"/>
      <c r="K373" s="28"/>
      <c r="L373" s="74" t="n">
        <v>1</v>
      </c>
      <c r="M373" s="23"/>
      <c r="N373" s="37"/>
      <c r="O373" s="70"/>
      <c r="P373" s="71"/>
      <c r="Q373" s="31"/>
      <c r="R373" s="10" t="n">
        <f aca="false">Q373</f>
        <v>0</v>
      </c>
      <c r="S373" s="10" t="n">
        <f aca="false">A373</f>
        <v>0</v>
      </c>
    </row>
    <row r="374" customFormat="false" ht="20.85" hidden="false" customHeight="false" outlineLevel="0" collapsed="false">
      <c r="A374" s="23"/>
      <c r="B374" s="23"/>
      <c r="C374" s="46" t="s">
        <v>305</v>
      </c>
      <c r="D374" s="23"/>
      <c r="E374" s="75" t="n">
        <f aca="false">IF(E373=1,30%,(50%-((SUM(E367:E369)/300)*20%)))</f>
        <v>0.5</v>
      </c>
      <c r="F374" s="23"/>
      <c r="G374" s="37"/>
      <c r="H374" s="23"/>
      <c r="I374" s="67"/>
      <c r="J374" s="28"/>
      <c r="K374" s="28"/>
      <c r="L374" s="75" t="n">
        <f aca="false">IF(L373=1,30%,(50%-((SUM(L367:L369)/300)*20%)))</f>
        <v>0.3</v>
      </c>
      <c r="M374" s="23"/>
      <c r="N374" s="37"/>
      <c r="O374" s="70"/>
      <c r="P374" s="71"/>
      <c r="Q374" s="31"/>
      <c r="R374" s="10" t="n">
        <f aca="false">Q374</f>
        <v>0</v>
      </c>
      <c r="S374" s="10" t="n">
        <f aca="false">A374</f>
        <v>0</v>
      </c>
    </row>
    <row r="375" customFormat="false" ht="20.85" hidden="false" customHeight="false" outlineLevel="0" collapsed="false">
      <c r="A375" s="23"/>
      <c r="B375" s="23"/>
      <c r="C375" s="46" t="s">
        <v>349</v>
      </c>
      <c r="D375" s="23"/>
      <c r="E375" s="76" t="e">
        <f aca="false">(SUM(E370:E372)/(SUM(E367:E369))*100%)</f>
        <v>#DIV/0!</v>
      </c>
      <c r="F375" s="23"/>
      <c r="G375" s="37"/>
      <c r="H375" s="23"/>
      <c r="I375" s="67"/>
      <c r="J375" s="28"/>
      <c r="K375" s="28"/>
      <c r="L375" s="76" t="n">
        <f aca="false">(SUM(L370:L372)/(SUM(L367:L369))*100%)</f>
        <v>0.484560570071259</v>
      </c>
      <c r="M375" s="23"/>
      <c r="N375" s="37"/>
      <c r="O375" s="70"/>
      <c r="P375" s="71"/>
      <c r="Q375" s="31"/>
      <c r="R375" s="10" t="n">
        <f aca="false">Q375</f>
        <v>0</v>
      </c>
      <c r="S375" s="10" t="n">
        <f aca="false">A375</f>
        <v>0</v>
      </c>
    </row>
    <row r="376" customFormat="false" ht="20.85" hidden="false" customHeight="false" outlineLevel="0" collapsed="false">
      <c r="A376" s="23"/>
      <c r="B376" s="23"/>
      <c r="C376" s="61" t="s">
        <v>350</v>
      </c>
      <c r="D376" s="23"/>
      <c r="E376" s="77" t="n">
        <f aca="false">(4*E377)+(3*E378)+(2*E379)+E380</f>
        <v>0</v>
      </c>
      <c r="F376" s="23"/>
      <c r="G376" s="37"/>
      <c r="H376" s="23"/>
      <c r="I376" s="67"/>
      <c r="J376" s="28"/>
      <c r="K376" s="28"/>
      <c r="L376" s="77" t="n">
        <f aca="false">(4*L377)+(3*L378)+(2*L379)+L380</f>
        <v>3.74</v>
      </c>
      <c r="M376" s="23"/>
      <c r="N376" s="37"/>
      <c r="O376" s="70"/>
      <c r="P376" s="71"/>
      <c r="Q376" s="31"/>
      <c r="R376" s="10" t="n">
        <f aca="false">Q376</f>
        <v>0</v>
      </c>
      <c r="S376" s="10" t="n">
        <f aca="false">A376</f>
        <v>0</v>
      </c>
    </row>
    <row r="377" customFormat="false" ht="20.85" hidden="false" customHeight="false" outlineLevel="0" collapsed="false">
      <c r="A377" s="23"/>
      <c r="B377" s="23"/>
      <c r="C377" s="78" t="s">
        <v>235</v>
      </c>
      <c r="D377" s="23"/>
      <c r="E377" s="79"/>
      <c r="F377" s="23"/>
      <c r="G377" s="37"/>
      <c r="H377" s="23"/>
      <c r="I377" s="67"/>
      <c r="J377" s="28"/>
      <c r="K377" s="28"/>
      <c r="L377" s="79" t="n">
        <v>0.74</v>
      </c>
      <c r="M377" s="23"/>
      <c r="N377" s="37"/>
      <c r="O377" s="70"/>
      <c r="P377" s="71"/>
      <c r="Q377" s="31"/>
      <c r="R377" s="10" t="n">
        <f aca="false">Q377</f>
        <v>0</v>
      </c>
      <c r="S377" s="10" t="n">
        <f aca="false">A377</f>
        <v>0</v>
      </c>
    </row>
    <row r="378" customFormat="false" ht="20.85" hidden="false" customHeight="false" outlineLevel="0" collapsed="false">
      <c r="A378" s="23"/>
      <c r="B378" s="23"/>
      <c r="C378" s="78" t="s">
        <v>236</v>
      </c>
      <c r="D378" s="23"/>
      <c r="E378" s="79"/>
      <c r="F378" s="23"/>
      <c r="G378" s="37"/>
      <c r="H378" s="23"/>
      <c r="I378" s="67"/>
      <c r="J378" s="28"/>
      <c r="K378" s="28"/>
      <c r="L378" s="79" t="n">
        <v>0.26</v>
      </c>
      <c r="M378" s="23"/>
      <c r="N378" s="37"/>
      <c r="O378" s="70"/>
      <c r="P378" s="71"/>
      <c r="Q378" s="31"/>
      <c r="R378" s="10" t="n">
        <f aca="false">Q378</f>
        <v>0</v>
      </c>
      <c r="S378" s="10" t="n">
        <f aca="false">A378</f>
        <v>0</v>
      </c>
    </row>
    <row r="379" customFormat="false" ht="20.85" hidden="false" customHeight="false" outlineLevel="0" collapsed="false">
      <c r="A379" s="23"/>
      <c r="B379" s="23"/>
      <c r="C379" s="78" t="s">
        <v>237</v>
      </c>
      <c r="D379" s="23"/>
      <c r="E379" s="79"/>
      <c r="F379" s="23"/>
      <c r="G379" s="37"/>
      <c r="H379" s="23"/>
      <c r="I379" s="67"/>
      <c r="J379" s="28"/>
      <c r="K379" s="28"/>
      <c r="L379" s="79" t="n">
        <v>0</v>
      </c>
      <c r="M379" s="23"/>
      <c r="N379" s="37"/>
      <c r="O379" s="70"/>
      <c r="P379" s="71"/>
      <c r="Q379" s="31"/>
      <c r="R379" s="10" t="n">
        <f aca="false">Q379</f>
        <v>0</v>
      </c>
      <c r="S379" s="10" t="n">
        <f aca="false">A379</f>
        <v>0</v>
      </c>
    </row>
    <row r="380" customFormat="false" ht="20.85" hidden="false" customHeight="false" outlineLevel="0" collapsed="false">
      <c r="A380" s="23"/>
      <c r="B380" s="23"/>
      <c r="C380" s="78" t="s">
        <v>238</v>
      </c>
      <c r="D380" s="23"/>
      <c r="E380" s="79"/>
      <c r="F380" s="23"/>
      <c r="G380" s="37"/>
      <c r="H380" s="23"/>
      <c r="I380" s="67"/>
      <c r="J380" s="28"/>
      <c r="K380" s="28"/>
      <c r="L380" s="79" t="n">
        <v>0</v>
      </c>
      <c r="M380" s="23"/>
      <c r="N380" s="37"/>
      <c r="O380" s="70"/>
      <c r="P380" s="71"/>
      <c r="Q380" s="31"/>
      <c r="R380" s="10" t="n">
        <f aca="false">Q380</f>
        <v>0</v>
      </c>
      <c r="S380" s="10" t="n">
        <f aca="false">A380</f>
        <v>0</v>
      </c>
    </row>
    <row r="381" customFormat="false" ht="20.85" hidden="false" customHeight="false" outlineLevel="0" collapsed="false">
      <c r="A381" s="23"/>
      <c r="B381" s="23"/>
      <c r="C381" s="61" t="s">
        <v>351</v>
      </c>
      <c r="D381" s="23"/>
      <c r="E381" s="77" t="n">
        <f aca="false">(4*E382)+(3*E383)+(2*E384)+E385</f>
        <v>0</v>
      </c>
      <c r="F381" s="23"/>
      <c r="G381" s="37"/>
      <c r="H381" s="23"/>
      <c r="I381" s="67"/>
      <c r="J381" s="28"/>
      <c r="K381" s="28"/>
      <c r="L381" s="77" t="n">
        <f aca="false">(4*L382)+(3*L383)+(2*L384)+L385</f>
        <v>3.65</v>
      </c>
      <c r="M381" s="23"/>
      <c r="N381" s="37"/>
      <c r="O381" s="70"/>
      <c r="P381" s="71"/>
      <c r="Q381" s="31"/>
      <c r="R381" s="10" t="n">
        <f aca="false">Q381</f>
        <v>0</v>
      </c>
      <c r="S381" s="10" t="n">
        <f aca="false">A381</f>
        <v>0</v>
      </c>
    </row>
    <row r="382" customFormat="false" ht="20.85" hidden="false" customHeight="false" outlineLevel="0" collapsed="false">
      <c r="A382" s="23"/>
      <c r="B382" s="23"/>
      <c r="C382" s="78" t="s">
        <v>235</v>
      </c>
      <c r="D382" s="23"/>
      <c r="E382" s="79"/>
      <c r="F382" s="23"/>
      <c r="G382" s="37"/>
      <c r="H382" s="23"/>
      <c r="I382" s="67"/>
      <c r="J382" s="28"/>
      <c r="K382" s="28"/>
      <c r="L382" s="79" t="n">
        <v>0.65</v>
      </c>
      <c r="M382" s="23"/>
      <c r="N382" s="37"/>
      <c r="O382" s="70"/>
      <c r="P382" s="71"/>
      <c r="Q382" s="31"/>
      <c r="R382" s="10" t="n">
        <f aca="false">Q382</f>
        <v>0</v>
      </c>
      <c r="S382" s="10" t="n">
        <f aca="false">A382</f>
        <v>0</v>
      </c>
    </row>
    <row r="383" customFormat="false" ht="20.85" hidden="false" customHeight="false" outlineLevel="0" collapsed="false">
      <c r="A383" s="23"/>
      <c r="B383" s="23"/>
      <c r="C383" s="78" t="s">
        <v>236</v>
      </c>
      <c r="D383" s="23"/>
      <c r="E383" s="79"/>
      <c r="F383" s="23"/>
      <c r="G383" s="37"/>
      <c r="H383" s="23"/>
      <c r="I383" s="67"/>
      <c r="J383" s="28"/>
      <c r="K383" s="28"/>
      <c r="L383" s="79" t="n">
        <v>0.35</v>
      </c>
      <c r="M383" s="23"/>
      <c r="N383" s="37"/>
      <c r="O383" s="70"/>
      <c r="P383" s="71"/>
      <c r="Q383" s="31"/>
      <c r="R383" s="10" t="n">
        <f aca="false">Q383</f>
        <v>0</v>
      </c>
      <c r="S383" s="10" t="n">
        <f aca="false">A383</f>
        <v>0</v>
      </c>
    </row>
    <row r="384" customFormat="false" ht="20.85" hidden="false" customHeight="false" outlineLevel="0" collapsed="false">
      <c r="A384" s="23"/>
      <c r="B384" s="23"/>
      <c r="C384" s="78" t="s">
        <v>237</v>
      </c>
      <c r="D384" s="23"/>
      <c r="E384" s="79"/>
      <c r="F384" s="23"/>
      <c r="G384" s="37"/>
      <c r="H384" s="23"/>
      <c r="I384" s="67"/>
      <c r="J384" s="28"/>
      <c r="K384" s="28"/>
      <c r="L384" s="79" t="n">
        <v>0</v>
      </c>
      <c r="M384" s="23"/>
      <c r="N384" s="37"/>
      <c r="O384" s="70"/>
      <c r="P384" s="71"/>
      <c r="Q384" s="31"/>
      <c r="R384" s="10" t="n">
        <f aca="false">Q384</f>
        <v>0</v>
      </c>
      <c r="S384" s="10" t="n">
        <f aca="false">A384</f>
        <v>0</v>
      </c>
    </row>
    <row r="385" customFormat="false" ht="20.85" hidden="false" customHeight="false" outlineLevel="0" collapsed="false">
      <c r="A385" s="23"/>
      <c r="B385" s="23"/>
      <c r="C385" s="78" t="s">
        <v>238</v>
      </c>
      <c r="D385" s="23"/>
      <c r="E385" s="79"/>
      <c r="F385" s="23"/>
      <c r="G385" s="37"/>
      <c r="H385" s="23"/>
      <c r="I385" s="67"/>
      <c r="J385" s="28"/>
      <c r="K385" s="28"/>
      <c r="L385" s="79" t="n">
        <v>0</v>
      </c>
      <c r="M385" s="23"/>
      <c r="N385" s="37"/>
      <c r="O385" s="70"/>
      <c r="P385" s="71"/>
      <c r="Q385" s="31"/>
      <c r="R385" s="10" t="n">
        <f aca="false">Q385</f>
        <v>0</v>
      </c>
      <c r="S385" s="10" t="n">
        <f aca="false">A385</f>
        <v>0</v>
      </c>
    </row>
    <row r="386" customFormat="false" ht="20.85" hidden="false" customHeight="false" outlineLevel="0" collapsed="false">
      <c r="A386" s="23"/>
      <c r="B386" s="23"/>
      <c r="C386" s="61" t="s">
        <v>352</v>
      </c>
      <c r="D386" s="23"/>
      <c r="E386" s="77" t="n">
        <f aca="false">(4*E387)+(3*E388)+(2*E389)+E390</f>
        <v>0</v>
      </c>
      <c r="F386" s="23"/>
      <c r="G386" s="37"/>
      <c r="H386" s="23"/>
      <c r="I386" s="67"/>
      <c r="J386" s="28"/>
      <c r="K386" s="28"/>
      <c r="L386" s="77" t="n">
        <f aca="false">(4*L387)+(3*L388)+(2*L389)+L390</f>
        <v>3.43</v>
      </c>
      <c r="M386" s="23"/>
      <c r="N386" s="37"/>
      <c r="O386" s="70"/>
      <c r="P386" s="71"/>
      <c r="Q386" s="31"/>
      <c r="R386" s="10" t="n">
        <f aca="false">Q386</f>
        <v>0</v>
      </c>
      <c r="S386" s="10" t="n">
        <f aca="false">A386</f>
        <v>0</v>
      </c>
    </row>
    <row r="387" customFormat="false" ht="20.85" hidden="false" customHeight="false" outlineLevel="0" collapsed="false">
      <c r="A387" s="23"/>
      <c r="B387" s="23"/>
      <c r="C387" s="78" t="s">
        <v>235</v>
      </c>
      <c r="D387" s="23"/>
      <c r="E387" s="79"/>
      <c r="F387" s="23"/>
      <c r="G387" s="37"/>
      <c r="H387" s="23"/>
      <c r="I387" s="67"/>
      <c r="J387" s="28"/>
      <c r="K387" s="28"/>
      <c r="L387" s="79" t="n">
        <v>0.43</v>
      </c>
      <c r="M387" s="23"/>
      <c r="N387" s="37"/>
      <c r="O387" s="70"/>
      <c r="P387" s="71"/>
      <c r="Q387" s="31"/>
      <c r="R387" s="10" t="n">
        <f aca="false">Q387</f>
        <v>0</v>
      </c>
      <c r="S387" s="10" t="n">
        <f aca="false">A387</f>
        <v>0</v>
      </c>
    </row>
    <row r="388" customFormat="false" ht="20.85" hidden="false" customHeight="false" outlineLevel="0" collapsed="false">
      <c r="A388" s="23"/>
      <c r="B388" s="23"/>
      <c r="C388" s="78" t="s">
        <v>236</v>
      </c>
      <c r="D388" s="23"/>
      <c r="E388" s="79"/>
      <c r="F388" s="23"/>
      <c r="G388" s="37"/>
      <c r="H388" s="23"/>
      <c r="I388" s="67"/>
      <c r="J388" s="28"/>
      <c r="K388" s="28"/>
      <c r="L388" s="79" t="n">
        <v>0.57</v>
      </c>
      <c r="M388" s="23"/>
      <c r="N388" s="37"/>
      <c r="O388" s="70"/>
      <c r="P388" s="71"/>
      <c r="Q388" s="31"/>
      <c r="R388" s="10" t="n">
        <f aca="false">Q388</f>
        <v>0</v>
      </c>
      <c r="S388" s="10" t="n">
        <f aca="false">A388</f>
        <v>0</v>
      </c>
    </row>
    <row r="389" customFormat="false" ht="20.85" hidden="false" customHeight="false" outlineLevel="0" collapsed="false">
      <c r="A389" s="23"/>
      <c r="B389" s="23"/>
      <c r="C389" s="78" t="s">
        <v>237</v>
      </c>
      <c r="D389" s="23"/>
      <c r="E389" s="79"/>
      <c r="F389" s="23"/>
      <c r="G389" s="37"/>
      <c r="H389" s="23"/>
      <c r="I389" s="67"/>
      <c r="J389" s="28"/>
      <c r="K389" s="28"/>
      <c r="L389" s="79" t="n">
        <v>0</v>
      </c>
      <c r="M389" s="23"/>
      <c r="N389" s="37"/>
      <c r="O389" s="70"/>
      <c r="P389" s="71"/>
      <c r="Q389" s="31"/>
      <c r="R389" s="10" t="n">
        <f aca="false">Q389</f>
        <v>0</v>
      </c>
      <c r="S389" s="10" t="n">
        <f aca="false">A389</f>
        <v>0</v>
      </c>
    </row>
    <row r="390" customFormat="false" ht="20.85" hidden="false" customHeight="false" outlineLevel="0" collapsed="false">
      <c r="A390" s="23"/>
      <c r="B390" s="23"/>
      <c r="C390" s="78" t="s">
        <v>238</v>
      </c>
      <c r="D390" s="23"/>
      <c r="E390" s="79"/>
      <c r="F390" s="23"/>
      <c r="G390" s="37"/>
      <c r="H390" s="23"/>
      <c r="I390" s="67"/>
      <c r="J390" s="28"/>
      <c r="K390" s="28"/>
      <c r="L390" s="79" t="n">
        <v>0</v>
      </c>
      <c r="M390" s="23"/>
      <c r="N390" s="37"/>
      <c r="O390" s="70"/>
      <c r="P390" s="71"/>
      <c r="Q390" s="31"/>
      <c r="R390" s="10" t="n">
        <f aca="false">Q390</f>
        <v>0</v>
      </c>
      <c r="S390" s="10" t="n">
        <f aca="false">A390</f>
        <v>0</v>
      </c>
    </row>
    <row r="391" customFormat="false" ht="20.85" hidden="false" customHeight="false" outlineLevel="0" collapsed="false">
      <c r="A391" s="23"/>
      <c r="B391" s="23"/>
      <c r="C391" s="61" t="s">
        <v>353</v>
      </c>
      <c r="D391" s="23"/>
      <c r="E391" s="77" t="n">
        <f aca="false">(4*E392)+(3*E393)+(2*E394)+E395</f>
        <v>0</v>
      </c>
      <c r="F391" s="23"/>
      <c r="G391" s="37"/>
      <c r="H391" s="23"/>
      <c r="I391" s="67"/>
      <c r="J391" s="28"/>
      <c r="K391" s="28"/>
      <c r="L391" s="77" t="n">
        <f aca="false">(4*L392)+(3*L393)+(2*L394)+L395</f>
        <v>3.43</v>
      </c>
      <c r="M391" s="23"/>
      <c r="N391" s="37"/>
      <c r="O391" s="70"/>
      <c r="P391" s="71"/>
      <c r="Q391" s="31"/>
      <c r="R391" s="10" t="n">
        <f aca="false">Q391</f>
        <v>0</v>
      </c>
      <c r="S391" s="10" t="n">
        <f aca="false">A391</f>
        <v>0</v>
      </c>
    </row>
    <row r="392" customFormat="false" ht="20.85" hidden="false" customHeight="false" outlineLevel="0" collapsed="false">
      <c r="A392" s="23"/>
      <c r="B392" s="23"/>
      <c r="C392" s="78" t="s">
        <v>235</v>
      </c>
      <c r="D392" s="23"/>
      <c r="E392" s="79"/>
      <c r="F392" s="23"/>
      <c r="G392" s="37"/>
      <c r="H392" s="23"/>
      <c r="I392" s="67"/>
      <c r="J392" s="28"/>
      <c r="K392" s="28"/>
      <c r="L392" s="79" t="n">
        <v>0.43</v>
      </c>
      <c r="M392" s="23"/>
      <c r="N392" s="37"/>
      <c r="O392" s="70"/>
      <c r="P392" s="71"/>
      <c r="Q392" s="31"/>
      <c r="R392" s="10" t="n">
        <f aca="false">Q392</f>
        <v>0</v>
      </c>
      <c r="S392" s="10" t="n">
        <f aca="false">A392</f>
        <v>0</v>
      </c>
    </row>
    <row r="393" customFormat="false" ht="20.85" hidden="false" customHeight="false" outlineLevel="0" collapsed="false">
      <c r="A393" s="23"/>
      <c r="B393" s="23"/>
      <c r="C393" s="78" t="s">
        <v>236</v>
      </c>
      <c r="D393" s="23"/>
      <c r="E393" s="79"/>
      <c r="F393" s="23"/>
      <c r="G393" s="37"/>
      <c r="H393" s="23"/>
      <c r="I393" s="67"/>
      <c r="J393" s="28"/>
      <c r="K393" s="28"/>
      <c r="L393" s="79" t="n">
        <v>0.57</v>
      </c>
      <c r="M393" s="23"/>
      <c r="N393" s="37"/>
      <c r="O393" s="70"/>
      <c r="P393" s="71"/>
      <c r="Q393" s="31"/>
      <c r="R393" s="10" t="n">
        <f aca="false">Q393</f>
        <v>0</v>
      </c>
      <c r="S393" s="10" t="n">
        <f aca="false">A393</f>
        <v>0</v>
      </c>
    </row>
    <row r="394" customFormat="false" ht="20.85" hidden="false" customHeight="false" outlineLevel="0" collapsed="false">
      <c r="A394" s="23"/>
      <c r="B394" s="23"/>
      <c r="C394" s="78" t="s">
        <v>237</v>
      </c>
      <c r="D394" s="23"/>
      <c r="E394" s="79"/>
      <c r="F394" s="23"/>
      <c r="G394" s="37"/>
      <c r="H394" s="23"/>
      <c r="I394" s="67"/>
      <c r="J394" s="28"/>
      <c r="K394" s="28"/>
      <c r="L394" s="79" t="n">
        <v>0</v>
      </c>
      <c r="M394" s="23"/>
      <c r="N394" s="37"/>
      <c r="O394" s="70"/>
      <c r="P394" s="71"/>
      <c r="Q394" s="31"/>
      <c r="R394" s="10" t="n">
        <f aca="false">Q394</f>
        <v>0</v>
      </c>
      <c r="S394" s="10" t="n">
        <f aca="false">A394</f>
        <v>0</v>
      </c>
    </row>
    <row r="395" customFormat="false" ht="20.85" hidden="false" customHeight="false" outlineLevel="0" collapsed="false">
      <c r="A395" s="23"/>
      <c r="B395" s="23"/>
      <c r="C395" s="78" t="s">
        <v>238</v>
      </c>
      <c r="D395" s="23"/>
      <c r="E395" s="79"/>
      <c r="F395" s="23"/>
      <c r="G395" s="37"/>
      <c r="H395" s="23"/>
      <c r="I395" s="67"/>
      <c r="J395" s="28"/>
      <c r="K395" s="28"/>
      <c r="L395" s="79" t="n">
        <v>0</v>
      </c>
      <c r="M395" s="23"/>
      <c r="N395" s="37"/>
      <c r="O395" s="70"/>
      <c r="P395" s="71"/>
      <c r="Q395" s="31"/>
      <c r="R395" s="10" t="n">
        <f aca="false">Q395</f>
        <v>0</v>
      </c>
      <c r="S395" s="10" t="n">
        <f aca="false">A395</f>
        <v>0</v>
      </c>
    </row>
    <row r="396" customFormat="false" ht="20.85" hidden="false" customHeight="false" outlineLevel="0" collapsed="false">
      <c r="A396" s="23"/>
      <c r="B396" s="23"/>
      <c r="C396" s="61" t="s">
        <v>354</v>
      </c>
      <c r="D396" s="23"/>
      <c r="E396" s="77" t="n">
        <f aca="false">(4*E397)+(3*E398)+(2*E399)+E400</f>
        <v>0</v>
      </c>
      <c r="F396" s="23"/>
      <c r="G396" s="37"/>
      <c r="H396" s="23"/>
      <c r="I396" s="67"/>
      <c r="J396" s="28"/>
      <c r="K396" s="28"/>
      <c r="L396" s="77" t="n">
        <f aca="false">(4*L397)+(3*L398)+(2*L399)+L400</f>
        <v>3.61</v>
      </c>
      <c r="M396" s="23"/>
      <c r="N396" s="37"/>
      <c r="O396" s="70"/>
      <c r="P396" s="71"/>
      <c r="Q396" s="31"/>
      <c r="R396" s="10" t="n">
        <f aca="false">Q396</f>
        <v>0</v>
      </c>
      <c r="S396" s="10" t="n">
        <f aca="false">A396</f>
        <v>0</v>
      </c>
    </row>
    <row r="397" customFormat="false" ht="20.85" hidden="false" customHeight="false" outlineLevel="0" collapsed="false">
      <c r="A397" s="23"/>
      <c r="B397" s="23"/>
      <c r="C397" s="78" t="s">
        <v>235</v>
      </c>
      <c r="D397" s="23"/>
      <c r="E397" s="79"/>
      <c r="F397" s="23"/>
      <c r="G397" s="37"/>
      <c r="H397" s="23"/>
      <c r="I397" s="67"/>
      <c r="J397" s="28"/>
      <c r="K397" s="28"/>
      <c r="L397" s="79" t="n">
        <v>0.61</v>
      </c>
      <c r="M397" s="23"/>
      <c r="N397" s="37"/>
      <c r="O397" s="70"/>
      <c r="P397" s="71"/>
      <c r="Q397" s="31"/>
      <c r="R397" s="10" t="n">
        <f aca="false">Q397</f>
        <v>0</v>
      </c>
      <c r="S397" s="10" t="n">
        <f aca="false">A397</f>
        <v>0</v>
      </c>
    </row>
    <row r="398" customFormat="false" ht="20.85" hidden="false" customHeight="false" outlineLevel="0" collapsed="false">
      <c r="A398" s="23"/>
      <c r="B398" s="23"/>
      <c r="C398" s="78" t="s">
        <v>236</v>
      </c>
      <c r="D398" s="23"/>
      <c r="E398" s="79"/>
      <c r="F398" s="23"/>
      <c r="G398" s="37"/>
      <c r="H398" s="23"/>
      <c r="I398" s="67"/>
      <c r="J398" s="28"/>
      <c r="K398" s="28"/>
      <c r="L398" s="79" t="n">
        <v>0.39</v>
      </c>
      <c r="M398" s="23"/>
      <c r="N398" s="37"/>
      <c r="O398" s="70"/>
      <c r="P398" s="71"/>
      <c r="Q398" s="31"/>
      <c r="R398" s="10" t="n">
        <f aca="false">Q398</f>
        <v>0</v>
      </c>
      <c r="S398" s="10" t="n">
        <f aca="false">A398</f>
        <v>0</v>
      </c>
    </row>
    <row r="399" customFormat="false" ht="20.85" hidden="false" customHeight="false" outlineLevel="0" collapsed="false">
      <c r="A399" s="23"/>
      <c r="B399" s="23"/>
      <c r="C399" s="78" t="s">
        <v>237</v>
      </c>
      <c r="D399" s="23"/>
      <c r="E399" s="79"/>
      <c r="F399" s="23"/>
      <c r="G399" s="37"/>
      <c r="H399" s="23"/>
      <c r="I399" s="67"/>
      <c r="J399" s="28"/>
      <c r="K399" s="28"/>
      <c r="L399" s="79" t="n">
        <v>0</v>
      </c>
      <c r="M399" s="23"/>
      <c r="N399" s="37"/>
      <c r="O399" s="70"/>
      <c r="P399" s="71"/>
      <c r="Q399" s="31"/>
      <c r="R399" s="10" t="n">
        <f aca="false">Q399</f>
        <v>0</v>
      </c>
      <c r="S399" s="10" t="n">
        <f aca="false">A399</f>
        <v>0</v>
      </c>
    </row>
    <row r="400" customFormat="false" ht="20.85" hidden="false" customHeight="false" outlineLevel="0" collapsed="false">
      <c r="A400" s="23"/>
      <c r="B400" s="23"/>
      <c r="C400" s="78" t="s">
        <v>238</v>
      </c>
      <c r="D400" s="23"/>
      <c r="E400" s="79"/>
      <c r="F400" s="23"/>
      <c r="G400" s="37"/>
      <c r="H400" s="23"/>
      <c r="I400" s="67"/>
      <c r="J400" s="28"/>
      <c r="K400" s="28"/>
      <c r="L400" s="79" t="n">
        <v>0</v>
      </c>
      <c r="M400" s="23"/>
      <c r="N400" s="37"/>
      <c r="O400" s="70"/>
      <c r="P400" s="71"/>
      <c r="Q400" s="31"/>
      <c r="R400" s="10" t="n">
        <f aca="false">Q400</f>
        <v>0</v>
      </c>
      <c r="S400" s="10" t="n">
        <f aca="false">A400</f>
        <v>0</v>
      </c>
    </row>
    <row r="401" customFormat="false" ht="20.85" hidden="false" customHeight="false" outlineLevel="0" collapsed="false">
      <c r="A401" s="23"/>
      <c r="B401" s="23"/>
      <c r="C401" s="61" t="s">
        <v>355</v>
      </c>
      <c r="D401" s="23"/>
      <c r="E401" s="77" t="n">
        <f aca="false">(4*E402)+(3*E403)+(2*E404)+E405</f>
        <v>0</v>
      </c>
      <c r="F401" s="23"/>
      <c r="G401" s="37"/>
      <c r="H401" s="23"/>
      <c r="I401" s="67"/>
      <c r="J401" s="28"/>
      <c r="K401" s="28"/>
      <c r="L401" s="77" t="n">
        <f aca="false">(4*L402)+(3*L403)+(2*L404)+L405</f>
        <v>3.7</v>
      </c>
      <c r="M401" s="23"/>
      <c r="N401" s="37"/>
      <c r="O401" s="70"/>
      <c r="P401" s="71"/>
      <c r="Q401" s="31"/>
      <c r="R401" s="10" t="n">
        <f aca="false">Q401</f>
        <v>0</v>
      </c>
      <c r="S401" s="10" t="n">
        <f aca="false">A401</f>
        <v>0</v>
      </c>
    </row>
    <row r="402" customFormat="false" ht="20.85" hidden="false" customHeight="false" outlineLevel="0" collapsed="false">
      <c r="A402" s="23"/>
      <c r="B402" s="23"/>
      <c r="C402" s="78" t="s">
        <v>235</v>
      </c>
      <c r="D402" s="23"/>
      <c r="E402" s="79"/>
      <c r="F402" s="23"/>
      <c r="G402" s="37"/>
      <c r="H402" s="23"/>
      <c r="I402" s="67"/>
      <c r="J402" s="28"/>
      <c r="K402" s="28"/>
      <c r="L402" s="79" t="n">
        <v>0.7</v>
      </c>
      <c r="M402" s="23"/>
      <c r="N402" s="37"/>
      <c r="O402" s="70"/>
      <c r="P402" s="71"/>
      <c r="Q402" s="31"/>
      <c r="R402" s="10" t="n">
        <f aca="false">Q402</f>
        <v>0</v>
      </c>
      <c r="S402" s="10" t="n">
        <f aca="false">A402</f>
        <v>0</v>
      </c>
    </row>
    <row r="403" customFormat="false" ht="20.85" hidden="false" customHeight="false" outlineLevel="0" collapsed="false">
      <c r="A403" s="23"/>
      <c r="B403" s="23"/>
      <c r="C403" s="78" t="s">
        <v>236</v>
      </c>
      <c r="D403" s="23"/>
      <c r="E403" s="79"/>
      <c r="F403" s="23"/>
      <c r="G403" s="37"/>
      <c r="H403" s="23"/>
      <c r="I403" s="67"/>
      <c r="J403" s="28"/>
      <c r="K403" s="28"/>
      <c r="L403" s="79" t="n">
        <v>0.3</v>
      </c>
      <c r="M403" s="23"/>
      <c r="N403" s="37"/>
      <c r="O403" s="70"/>
      <c r="P403" s="71"/>
      <c r="Q403" s="31"/>
      <c r="R403" s="10" t="n">
        <f aca="false">Q403</f>
        <v>0</v>
      </c>
      <c r="S403" s="10" t="n">
        <f aca="false">A403</f>
        <v>0</v>
      </c>
    </row>
    <row r="404" customFormat="false" ht="20.85" hidden="false" customHeight="false" outlineLevel="0" collapsed="false">
      <c r="A404" s="23"/>
      <c r="B404" s="23"/>
      <c r="C404" s="78" t="s">
        <v>237</v>
      </c>
      <c r="D404" s="23"/>
      <c r="E404" s="79"/>
      <c r="F404" s="23"/>
      <c r="G404" s="37"/>
      <c r="H404" s="23"/>
      <c r="I404" s="67"/>
      <c r="J404" s="28"/>
      <c r="K404" s="28"/>
      <c r="L404" s="79" t="n">
        <v>0</v>
      </c>
      <c r="M404" s="23"/>
      <c r="N404" s="37"/>
      <c r="O404" s="70"/>
      <c r="P404" s="71"/>
      <c r="Q404" s="31"/>
      <c r="R404" s="10" t="n">
        <f aca="false">Q404</f>
        <v>0</v>
      </c>
      <c r="S404" s="10" t="n">
        <f aca="false">A404</f>
        <v>0</v>
      </c>
    </row>
    <row r="405" customFormat="false" ht="20.85" hidden="false" customHeight="false" outlineLevel="0" collapsed="false">
      <c r="A405" s="23"/>
      <c r="B405" s="23"/>
      <c r="C405" s="78" t="s">
        <v>238</v>
      </c>
      <c r="D405" s="23"/>
      <c r="E405" s="79"/>
      <c r="F405" s="23"/>
      <c r="G405" s="37"/>
      <c r="H405" s="23"/>
      <c r="I405" s="67"/>
      <c r="J405" s="28"/>
      <c r="K405" s="28"/>
      <c r="L405" s="79" t="n">
        <v>0</v>
      </c>
      <c r="M405" s="23"/>
      <c r="N405" s="37"/>
      <c r="O405" s="70"/>
      <c r="P405" s="71"/>
      <c r="Q405" s="31"/>
      <c r="R405" s="10" t="n">
        <f aca="false">Q405</f>
        <v>0</v>
      </c>
      <c r="S405" s="10" t="n">
        <f aca="false">A405</f>
        <v>0</v>
      </c>
    </row>
    <row r="406" customFormat="false" ht="20.85" hidden="false" customHeight="false" outlineLevel="0" collapsed="false">
      <c r="A406" s="23"/>
      <c r="B406" s="23"/>
      <c r="C406" s="61" t="s">
        <v>356</v>
      </c>
      <c r="D406" s="23"/>
      <c r="E406" s="77" t="n">
        <f aca="false">(4*E407)+(3*E408)+(2*E409)+E410</f>
        <v>0</v>
      </c>
      <c r="F406" s="23"/>
      <c r="G406" s="37"/>
      <c r="H406" s="23"/>
      <c r="I406" s="67"/>
      <c r="J406" s="28"/>
      <c r="K406" s="28"/>
      <c r="L406" s="77" t="n">
        <f aca="false">(4*L407)+(3*L408)+(2*L409)+L410</f>
        <v>3.57</v>
      </c>
      <c r="M406" s="23"/>
      <c r="N406" s="37"/>
      <c r="O406" s="70"/>
      <c r="P406" s="71"/>
      <c r="Q406" s="31"/>
      <c r="R406" s="10" t="n">
        <f aca="false">Q406</f>
        <v>0</v>
      </c>
      <c r="S406" s="10" t="n">
        <f aca="false">A406</f>
        <v>0</v>
      </c>
    </row>
    <row r="407" customFormat="false" ht="20.85" hidden="false" customHeight="false" outlineLevel="0" collapsed="false">
      <c r="A407" s="23"/>
      <c r="B407" s="23"/>
      <c r="C407" s="78" t="s">
        <v>235</v>
      </c>
      <c r="D407" s="23"/>
      <c r="E407" s="79"/>
      <c r="F407" s="23"/>
      <c r="G407" s="37"/>
      <c r="H407" s="23"/>
      <c r="I407" s="67"/>
      <c r="J407" s="28"/>
      <c r="K407" s="28"/>
      <c r="L407" s="79" t="n">
        <v>0.57</v>
      </c>
      <c r="M407" s="23"/>
      <c r="N407" s="37"/>
      <c r="O407" s="70"/>
      <c r="P407" s="71"/>
      <c r="Q407" s="31"/>
      <c r="R407" s="10" t="n">
        <f aca="false">Q407</f>
        <v>0</v>
      </c>
      <c r="S407" s="10" t="n">
        <f aca="false">A407</f>
        <v>0</v>
      </c>
    </row>
    <row r="408" customFormat="false" ht="20.85" hidden="false" customHeight="false" outlineLevel="0" collapsed="false">
      <c r="A408" s="23"/>
      <c r="B408" s="23"/>
      <c r="C408" s="78" t="s">
        <v>236</v>
      </c>
      <c r="D408" s="23"/>
      <c r="E408" s="79"/>
      <c r="F408" s="23"/>
      <c r="G408" s="37"/>
      <c r="H408" s="23"/>
      <c r="I408" s="67"/>
      <c r="J408" s="28"/>
      <c r="K408" s="28"/>
      <c r="L408" s="79" t="n">
        <v>0.43</v>
      </c>
      <c r="M408" s="23"/>
      <c r="N408" s="37"/>
      <c r="O408" s="70"/>
      <c r="P408" s="71"/>
      <c r="Q408" s="31"/>
      <c r="R408" s="10" t="n">
        <f aca="false">Q408</f>
        <v>0</v>
      </c>
      <c r="S408" s="10" t="n">
        <f aca="false">A408</f>
        <v>0</v>
      </c>
    </row>
    <row r="409" customFormat="false" ht="20.85" hidden="false" customHeight="false" outlineLevel="0" collapsed="false">
      <c r="A409" s="23"/>
      <c r="B409" s="23"/>
      <c r="C409" s="78" t="s">
        <v>237</v>
      </c>
      <c r="D409" s="23"/>
      <c r="E409" s="79"/>
      <c r="F409" s="23"/>
      <c r="G409" s="37"/>
      <c r="H409" s="23"/>
      <c r="I409" s="67"/>
      <c r="J409" s="28"/>
      <c r="K409" s="28"/>
      <c r="L409" s="79" t="n">
        <v>0</v>
      </c>
      <c r="M409" s="23"/>
      <c r="N409" s="37"/>
      <c r="O409" s="70"/>
      <c r="P409" s="71"/>
      <c r="Q409" s="31"/>
      <c r="R409" s="10" t="n">
        <f aca="false">Q409</f>
        <v>0</v>
      </c>
      <c r="S409" s="10" t="n">
        <f aca="false">A409</f>
        <v>0</v>
      </c>
    </row>
    <row r="410" customFormat="false" ht="20.85" hidden="false" customHeight="false" outlineLevel="0" collapsed="false">
      <c r="A410" s="23"/>
      <c r="B410" s="23"/>
      <c r="C410" s="78" t="s">
        <v>238</v>
      </c>
      <c r="D410" s="23"/>
      <c r="E410" s="79"/>
      <c r="F410" s="23"/>
      <c r="G410" s="37"/>
      <c r="H410" s="23"/>
      <c r="I410" s="67"/>
      <c r="J410" s="28"/>
      <c r="K410" s="28"/>
      <c r="L410" s="79" t="n">
        <v>0</v>
      </c>
      <c r="M410" s="23"/>
      <c r="N410" s="37"/>
      <c r="O410" s="70"/>
      <c r="P410" s="71"/>
      <c r="Q410" s="31"/>
      <c r="R410" s="10" t="n">
        <f aca="false">Q410</f>
        <v>0</v>
      </c>
      <c r="S410" s="10" t="n">
        <f aca="false">A410</f>
        <v>0</v>
      </c>
    </row>
    <row r="411" customFormat="false" ht="20.85" hidden="false" customHeight="false" outlineLevel="0" collapsed="false">
      <c r="A411" s="23"/>
      <c r="B411" s="23"/>
      <c r="C411" s="61" t="s">
        <v>357</v>
      </c>
      <c r="D411" s="23"/>
      <c r="E411" s="80" t="n">
        <f aca="false">(E406+E401+E396+E391+E386+E381+E376)/7</f>
        <v>0</v>
      </c>
      <c r="F411" s="23"/>
      <c r="G411" s="37"/>
      <c r="H411" s="23"/>
      <c r="I411" s="67"/>
      <c r="J411" s="28"/>
      <c r="K411" s="28"/>
      <c r="L411" s="80" t="n">
        <f aca="false">(L406+L401+L396+L391+L386+L381+L376)/7</f>
        <v>3.59</v>
      </c>
      <c r="M411" s="23"/>
      <c r="N411" s="37"/>
      <c r="O411" s="70"/>
      <c r="P411" s="71"/>
      <c r="Q411" s="31"/>
      <c r="R411" s="10" t="n">
        <f aca="false">Q411</f>
        <v>0</v>
      </c>
      <c r="S411" s="10" t="n">
        <f aca="false">A411</f>
        <v>0</v>
      </c>
    </row>
    <row r="412" customFormat="false" ht="77.6" hidden="false" customHeight="false" outlineLevel="0" collapsed="false">
      <c r="A412" s="23"/>
      <c r="B412" s="23"/>
      <c r="C412" s="30" t="s">
        <v>358</v>
      </c>
      <c r="D412" s="23"/>
      <c r="E412" s="80" t="e">
        <f aca="false">IF(E375&gt;=E374,E411,E375/E374*E411)</f>
        <v>#DIV/0!</v>
      </c>
      <c r="F412" s="23"/>
      <c r="G412" s="45"/>
      <c r="H412" s="23"/>
      <c r="I412" s="67"/>
      <c r="J412" s="28"/>
      <c r="K412" s="23"/>
      <c r="L412" s="80" t="n">
        <f aca="false">IF(L375&gt;=L374,L411,L375/L374*L411)</f>
        <v>3.59</v>
      </c>
      <c r="M412" s="23"/>
      <c r="N412" s="45"/>
      <c r="O412" s="81"/>
      <c r="P412" s="82"/>
      <c r="Q412" s="31"/>
      <c r="R412" s="10" t="n">
        <f aca="false">Q412</f>
        <v>0</v>
      </c>
      <c r="S412" s="10" t="n">
        <f aca="false">A412</f>
        <v>0</v>
      </c>
    </row>
    <row r="413" customFormat="false" ht="20.85" hidden="false" customHeight="true" outlineLevel="0" collapsed="false">
      <c r="A413" s="23"/>
      <c r="B413" s="23" t="s">
        <v>359</v>
      </c>
      <c r="C413" s="46" t="s">
        <v>360</v>
      </c>
      <c r="D413" s="23"/>
      <c r="E413" s="26" t="e">
        <f aca="false">IF(E420&gt;=0.01, 4,
 IF(AND(E420&lt;0.01, E419&gt;=0.1), 3 + (E420/0.01),
 IF(AND(E420=0, E419=0, E421&gt;=0.5), 2,
 IF(AND(E420&gt;0, E420&lt;0.01, E419&lt;0.1), 2 + (2*(E420/0.01)) + (E419/0.1) - ((E420*E419)/(0.01*0.1)),
 IF(AND(E420=0, E419=0, E421&lt;0.5), (2*E421)/0.5,
 "")))))</f>
        <v>#DIV/0!</v>
      </c>
      <c r="F413" s="23"/>
      <c r="G413" s="35" t="e">
        <f aca="false">E413</f>
        <v>#DIV/0!</v>
      </c>
      <c r="H413" s="23"/>
      <c r="I413" s="23"/>
      <c r="J413" s="28" t="str">
        <f aca="false">IF(ISBLANK(I413), "❌ BELUM ADA DOKUMEN PENDUKUNG", "✅ SILAHKAN AUDITOR MELAKUKAN VERIFIKASI DOKUMEN PENDUKUNGNYA")</f>
        <v>❌ BELUM ADA DOKUMEN PENDUKUNG</v>
      </c>
      <c r="K413" s="23"/>
      <c r="L413" s="26" t="n">
        <f aca="false">IF(L420&gt;=0.01, 4,
 IF(AND(L420&lt;0.01, L419&gt;=0.1), 3 + (L420/0.01),
 IF(AND(L420=0, L419=0, L421&gt;=0.5), 2,
 IF(AND(L420&gt;0, L420&lt;0.01, L419&lt;0.1), 2 + (2*(L420/0.01)) + (L419/0.1) - ((L420*L419)/(0.01*0.1)),
 IF(AND(L420=0, L419=0, L421&lt;0.5), (2*L421)/0.5,
 "")))))</f>
        <v>3.39345385736335</v>
      </c>
      <c r="M413" s="23"/>
      <c r="N413" s="35" t="n">
        <f aca="false">L413</f>
        <v>3.39345385736335</v>
      </c>
      <c r="O413" s="29"/>
      <c r="P413" s="30"/>
      <c r="Q413" s="31"/>
      <c r="R413" s="10" t="n">
        <f aca="false">Q413</f>
        <v>0</v>
      </c>
      <c r="S413" s="10" t="n">
        <f aca="false">A413</f>
        <v>0</v>
      </c>
    </row>
    <row r="414" customFormat="false" ht="20.85" hidden="false" customHeight="false" outlineLevel="0" collapsed="false">
      <c r="A414" s="23"/>
      <c r="B414" s="23"/>
      <c r="C414" s="23"/>
      <c r="D414" s="23"/>
      <c r="E414" s="26"/>
      <c r="F414" s="23"/>
      <c r="G414" s="37"/>
      <c r="H414" s="23"/>
      <c r="I414" s="23"/>
      <c r="J414" s="28"/>
      <c r="K414" s="28"/>
      <c r="L414" s="26"/>
      <c r="M414" s="23"/>
      <c r="N414" s="37"/>
      <c r="O414" s="38"/>
      <c r="P414" s="39"/>
      <c r="Q414" s="31"/>
      <c r="R414" s="10" t="n">
        <f aca="false">Q414</f>
        <v>0</v>
      </c>
      <c r="S414" s="10" t="n">
        <f aca="false">A414</f>
        <v>0</v>
      </c>
    </row>
    <row r="415" customFormat="false" ht="20.85" hidden="false" customHeight="false" outlineLevel="0" collapsed="false">
      <c r="A415" s="23"/>
      <c r="B415" s="23"/>
      <c r="C415" s="23"/>
      <c r="D415" s="23"/>
      <c r="E415" s="26"/>
      <c r="F415" s="23"/>
      <c r="G415" s="37"/>
      <c r="H415" s="23"/>
      <c r="I415" s="23"/>
      <c r="J415" s="28"/>
      <c r="K415" s="28"/>
      <c r="L415" s="26"/>
      <c r="M415" s="23"/>
      <c r="N415" s="37"/>
      <c r="O415" s="38"/>
      <c r="P415" s="39"/>
      <c r="Q415" s="31"/>
      <c r="R415" s="10" t="n">
        <f aca="false">Q415</f>
        <v>0</v>
      </c>
      <c r="S415" s="10" t="n">
        <f aca="false">A415</f>
        <v>0</v>
      </c>
    </row>
    <row r="416" customFormat="false" ht="20.85" hidden="false" customHeight="false" outlineLevel="0" collapsed="false">
      <c r="A416" s="23"/>
      <c r="B416" s="23"/>
      <c r="C416" s="23"/>
      <c r="D416" s="23"/>
      <c r="E416" s="26"/>
      <c r="F416" s="23"/>
      <c r="G416" s="37"/>
      <c r="H416" s="23"/>
      <c r="I416" s="23"/>
      <c r="J416" s="28"/>
      <c r="K416" s="28"/>
      <c r="L416" s="26"/>
      <c r="M416" s="23"/>
      <c r="N416" s="37"/>
      <c r="O416" s="38"/>
      <c r="P416" s="39"/>
      <c r="Q416" s="31"/>
      <c r="R416" s="10" t="n">
        <f aca="false">Q416</f>
        <v>0</v>
      </c>
      <c r="S416" s="10" t="n">
        <f aca="false">A416</f>
        <v>0</v>
      </c>
    </row>
    <row r="417" customFormat="false" ht="20.85" hidden="false" customHeight="false" outlineLevel="0" collapsed="false">
      <c r="A417" s="23"/>
      <c r="B417" s="23"/>
      <c r="C417" s="23"/>
      <c r="D417" s="23"/>
      <c r="E417" s="26"/>
      <c r="F417" s="23"/>
      <c r="G417" s="37"/>
      <c r="H417" s="23"/>
      <c r="I417" s="23"/>
      <c r="J417" s="28"/>
      <c r="K417" s="28"/>
      <c r="L417" s="26"/>
      <c r="M417" s="23"/>
      <c r="N417" s="37"/>
      <c r="O417" s="38"/>
      <c r="P417" s="39"/>
      <c r="Q417" s="31"/>
      <c r="R417" s="10" t="n">
        <f aca="false">Q417</f>
        <v>0</v>
      </c>
      <c r="S417" s="10" t="n">
        <f aca="false">A417</f>
        <v>0</v>
      </c>
    </row>
    <row r="418" customFormat="false" ht="20.85" hidden="false" customHeight="false" outlineLevel="0" collapsed="false">
      <c r="A418" s="23"/>
      <c r="B418" s="23"/>
      <c r="C418" s="46"/>
      <c r="D418" s="23"/>
      <c r="E418" s="26"/>
      <c r="F418" s="23"/>
      <c r="G418" s="37"/>
      <c r="H418" s="23"/>
      <c r="I418" s="23"/>
      <c r="J418" s="28"/>
      <c r="K418" s="28"/>
      <c r="L418" s="26"/>
      <c r="M418" s="23"/>
      <c r="N418" s="37"/>
      <c r="O418" s="38"/>
      <c r="P418" s="39"/>
      <c r="Q418" s="31"/>
      <c r="R418" s="10" t="n">
        <f aca="false">Q418</f>
        <v>0</v>
      </c>
      <c r="S418" s="10" t="n">
        <f aca="false">A418</f>
        <v>0</v>
      </c>
    </row>
    <row r="419" customFormat="false" ht="20.85" hidden="false" customHeight="false" outlineLevel="0" collapsed="false">
      <c r="A419" s="23"/>
      <c r="B419" s="23"/>
      <c r="C419" s="46" t="s">
        <v>361</v>
      </c>
      <c r="D419" s="23"/>
      <c r="E419" s="26" t="e">
        <f aca="false">((E423+E425+E428+E431)/E433)*100%</f>
        <v>#DIV/0!</v>
      </c>
      <c r="F419" s="23"/>
      <c r="G419" s="37"/>
      <c r="H419" s="23"/>
      <c r="I419" s="23"/>
      <c r="J419" s="28"/>
      <c r="K419" s="28"/>
      <c r="L419" s="26" t="n">
        <f aca="false">((L423+L425+L428+L431)/L433)*100%</f>
        <v>0.012186865267434</v>
      </c>
      <c r="M419" s="23"/>
      <c r="N419" s="37"/>
      <c r="O419" s="38"/>
      <c r="P419" s="39"/>
      <c r="Q419" s="31"/>
      <c r="R419" s="10" t="n">
        <f aca="false">Q419</f>
        <v>0</v>
      </c>
      <c r="S419" s="10" t="n">
        <f aca="false">A419</f>
        <v>0</v>
      </c>
    </row>
    <row r="420" customFormat="false" ht="20.85" hidden="false" customHeight="false" outlineLevel="0" collapsed="false">
      <c r="A420" s="23"/>
      <c r="B420" s="23"/>
      <c r="C420" s="46" t="s">
        <v>362</v>
      </c>
      <c r="D420" s="23"/>
      <c r="E420" s="26" t="e">
        <f aca="false">((E426+E429+E432)/E433)*100%</f>
        <v>#DIV/0!</v>
      </c>
      <c r="F420" s="23"/>
      <c r="G420" s="37"/>
      <c r="H420" s="23"/>
      <c r="I420" s="23"/>
      <c r="J420" s="28"/>
      <c r="K420" s="28"/>
      <c r="L420" s="26" t="n">
        <f aca="false">((L426+L429+L432)/L433)*100%</f>
        <v>0.00677048070412999</v>
      </c>
      <c r="M420" s="23"/>
      <c r="N420" s="37"/>
      <c r="O420" s="38"/>
      <c r="P420" s="39"/>
      <c r="Q420" s="31"/>
      <c r="R420" s="10" t="n">
        <f aca="false">Q420</f>
        <v>0</v>
      </c>
      <c r="S420" s="10" t="n">
        <f aca="false">A420</f>
        <v>0</v>
      </c>
    </row>
    <row r="421" customFormat="false" ht="20.85" hidden="false" customHeight="true" outlineLevel="0" collapsed="false">
      <c r="A421" s="23"/>
      <c r="B421" s="23"/>
      <c r="C421" s="46" t="s">
        <v>363</v>
      </c>
      <c r="D421" s="23"/>
      <c r="E421" s="26" t="e">
        <f aca="false">((E423+E427+E430)/E433)*100%</f>
        <v>#DIV/0!</v>
      </c>
      <c r="F421" s="23"/>
      <c r="G421" s="37"/>
      <c r="H421" s="23"/>
      <c r="I421" s="23"/>
      <c r="J421" s="28"/>
      <c r="K421" s="28"/>
      <c r="L421" s="26" t="n">
        <f aca="false">((L423+L427+L430)/L433)*100%</f>
        <v>0.016249153689912</v>
      </c>
      <c r="M421" s="23"/>
      <c r="N421" s="37"/>
      <c r="O421" s="38"/>
      <c r="P421" s="39"/>
      <c r="Q421" s="31"/>
      <c r="R421" s="10" t="n">
        <f aca="false">Q421</f>
        <v>0</v>
      </c>
      <c r="S421" s="10" t="n">
        <f aca="false">A421</f>
        <v>0</v>
      </c>
    </row>
    <row r="422" customFormat="false" ht="20.85" hidden="false" customHeight="false" outlineLevel="0" collapsed="false">
      <c r="A422" s="23"/>
      <c r="B422" s="23"/>
      <c r="C422" s="46"/>
      <c r="D422" s="23"/>
      <c r="E422" s="26"/>
      <c r="F422" s="23"/>
      <c r="G422" s="37"/>
      <c r="H422" s="23"/>
      <c r="I422" s="23"/>
      <c r="J422" s="28"/>
      <c r="K422" s="28"/>
      <c r="L422" s="26"/>
      <c r="M422" s="23"/>
      <c r="N422" s="37"/>
      <c r="O422" s="38"/>
      <c r="P422" s="39"/>
      <c r="Q422" s="31"/>
      <c r="R422" s="10" t="n">
        <f aca="false">Q422</f>
        <v>0</v>
      </c>
      <c r="S422" s="10" t="n">
        <f aca="false">A422</f>
        <v>0</v>
      </c>
    </row>
    <row r="423" customFormat="false" ht="26.85" hidden="false" customHeight="false" outlineLevel="0" collapsed="false">
      <c r="A423" s="23"/>
      <c r="B423" s="23"/>
      <c r="C423" s="46" t="s">
        <v>364</v>
      </c>
      <c r="D423" s="23"/>
      <c r="E423" s="25"/>
      <c r="F423" s="23"/>
      <c r="G423" s="37"/>
      <c r="H423" s="23"/>
      <c r="I423" s="23"/>
      <c r="J423" s="28"/>
      <c r="K423" s="28"/>
      <c r="L423" s="25" t="n">
        <v>14</v>
      </c>
      <c r="M423" s="23"/>
      <c r="N423" s="37"/>
      <c r="O423" s="38"/>
      <c r="P423" s="39"/>
      <c r="Q423" s="31"/>
      <c r="R423" s="10" t="n">
        <f aca="false">Q423</f>
        <v>0</v>
      </c>
      <c r="S423" s="10" t="n">
        <f aca="false">A423</f>
        <v>0</v>
      </c>
    </row>
    <row r="424" customFormat="false" ht="26.85" hidden="false" customHeight="false" outlineLevel="0" collapsed="false">
      <c r="A424" s="23"/>
      <c r="B424" s="23"/>
      <c r="C424" s="46" t="s">
        <v>365</v>
      </c>
      <c r="D424" s="23"/>
      <c r="E424" s="25"/>
      <c r="F424" s="23"/>
      <c r="G424" s="37"/>
      <c r="H424" s="23"/>
      <c r="I424" s="23"/>
      <c r="J424" s="28"/>
      <c r="K424" s="28"/>
      <c r="L424" s="25" t="n">
        <v>1</v>
      </c>
      <c r="M424" s="23"/>
      <c r="N424" s="37"/>
      <c r="O424" s="38"/>
      <c r="P424" s="39"/>
      <c r="Q424" s="31"/>
      <c r="R424" s="10" t="n">
        <f aca="false">Q424</f>
        <v>0</v>
      </c>
      <c r="S424" s="10" t="n">
        <f aca="false">A424</f>
        <v>0</v>
      </c>
    </row>
    <row r="425" customFormat="false" ht="20.85" hidden="false" customHeight="false" outlineLevel="0" collapsed="false">
      <c r="A425" s="23"/>
      <c r="B425" s="23"/>
      <c r="C425" s="46" t="s">
        <v>366</v>
      </c>
      <c r="D425" s="23"/>
      <c r="E425" s="25"/>
      <c r="F425" s="23"/>
      <c r="G425" s="37"/>
      <c r="H425" s="23"/>
      <c r="I425" s="23"/>
      <c r="J425" s="28"/>
      <c r="K425" s="28"/>
      <c r="L425" s="25" t="n">
        <v>2</v>
      </c>
      <c r="M425" s="23"/>
      <c r="N425" s="37"/>
      <c r="O425" s="38"/>
      <c r="P425" s="39"/>
      <c r="Q425" s="31"/>
      <c r="R425" s="10" t="n">
        <f aca="false">Q425</f>
        <v>0</v>
      </c>
      <c r="S425" s="10" t="n">
        <f aca="false">A425</f>
        <v>0</v>
      </c>
    </row>
    <row r="426" customFormat="false" ht="26.85" hidden="false" customHeight="false" outlineLevel="0" collapsed="false">
      <c r="A426" s="23"/>
      <c r="B426" s="23"/>
      <c r="C426" s="46" t="s">
        <v>367</v>
      </c>
      <c r="D426" s="23"/>
      <c r="E426" s="25"/>
      <c r="F426" s="23"/>
      <c r="G426" s="37"/>
      <c r="H426" s="23"/>
      <c r="I426" s="23"/>
      <c r="J426" s="28"/>
      <c r="K426" s="28"/>
      <c r="L426" s="25" t="n">
        <v>0</v>
      </c>
      <c r="M426" s="23"/>
      <c r="N426" s="37"/>
      <c r="O426" s="38"/>
      <c r="P426" s="39"/>
      <c r="Q426" s="31"/>
      <c r="R426" s="10" t="n">
        <f aca="false">Q426</f>
        <v>0</v>
      </c>
      <c r="S426" s="10" t="n">
        <f aca="false">A426</f>
        <v>0</v>
      </c>
    </row>
    <row r="427" customFormat="false" ht="26.85" hidden="false" customHeight="false" outlineLevel="0" collapsed="false">
      <c r="A427" s="23"/>
      <c r="B427" s="23"/>
      <c r="C427" s="46" t="s">
        <v>368</v>
      </c>
      <c r="D427" s="23"/>
      <c r="E427" s="25"/>
      <c r="F427" s="23"/>
      <c r="G427" s="37"/>
      <c r="H427" s="23"/>
      <c r="I427" s="23"/>
      <c r="J427" s="28"/>
      <c r="K427" s="28"/>
      <c r="L427" s="25" t="n">
        <v>10</v>
      </c>
      <c r="M427" s="23"/>
      <c r="N427" s="37"/>
      <c r="O427" s="38"/>
      <c r="P427" s="39"/>
      <c r="Q427" s="31"/>
      <c r="R427" s="10" t="n">
        <f aca="false">Q427</f>
        <v>0</v>
      </c>
      <c r="S427" s="10" t="n">
        <f aca="false">A427</f>
        <v>0</v>
      </c>
    </row>
    <row r="428" customFormat="false" ht="20.85" hidden="false" customHeight="false" outlineLevel="0" collapsed="false">
      <c r="A428" s="23"/>
      <c r="B428" s="23"/>
      <c r="C428" s="46" t="s">
        <v>369</v>
      </c>
      <c r="D428" s="23"/>
      <c r="E428" s="25"/>
      <c r="F428" s="23"/>
      <c r="G428" s="37"/>
      <c r="H428" s="23"/>
      <c r="I428" s="23"/>
      <c r="J428" s="28"/>
      <c r="K428" s="28"/>
      <c r="L428" s="25" t="n">
        <v>2</v>
      </c>
      <c r="M428" s="23"/>
      <c r="N428" s="37"/>
      <c r="O428" s="38"/>
      <c r="P428" s="39"/>
      <c r="Q428" s="31"/>
      <c r="R428" s="10" t="n">
        <f aca="false">Q428</f>
        <v>0</v>
      </c>
      <c r="S428" s="10" t="n">
        <f aca="false">A428</f>
        <v>0</v>
      </c>
    </row>
    <row r="429" customFormat="false" ht="20.85" hidden="false" customHeight="false" outlineLevel="0" collapsed="false">
      <c r="A429" s="23"/>
      <c r="B429" s="23"/>
      <c r="C429" s="46" t="s">
        <v>370</v>
      </c>
      <c r="D429" s="23"/>
      <c r="E429" s="25"/>
      <c r="F429" s="23"/>
      <c r="G429" s="37"/>
      <c r="H429" s="23"/>
      <c r="I429" s="23"/>
      <c r="J429" s="28"/>
      <c r="K429" s="28"/>
      <c r="L429" s="25" t="n">
        <v>10</v>
      </c>
      <c r="M429" s="23"/>
      <c r="N429" s="37"/>
      <c r="O429" s="38"/>
      <c r="P429" s="39"/>
      <c r="Q429" s="31"/>
      <c r="R429" s="10" t="n">
        <f aca="false">Q429</f>
        <v>0</v>
      </c>
      <c r="S429" s="10" t="n">
        <f aca="false">A429</f>
        <v>0</v>
      </c>
    </row>
    <row r="430" customFormat="false" ht="20.85" hidden="false" customHeight="false" outlineLevel="0" collapsed="false">
      <c r="A430" s="23"/>
      <c r="B430" s="23"/>
      <c r="C430" s="46" t="s">
        <v>371</v>
      </c>
      <c r="D430" s="23"/>
      <c r="E430" s="25"/>
      <c r="F430" s="23"/>
      <c r="G430" s="37"/>
      <c r="H430" s="23"/>
      <c r="I430" s="23"/>
      <c r="J430" s="28"/>
      <c r="K430" s="28"/>
      <c r="L430" s="25" t="n">
        <v>0</v>
      </c>
      <c r="M430" s="23"/>
      <c r="N430" s="37"/>
      <c r="O430" s="38"/>
      <c r="P430" s="39"/>
      <c r="Q430" s="31"/>
      <c r="R430" s="10" t="n">
        <f aca="false">Q430</f>
        <v>0</v>
      </c>
      <c r="S430" s="10" t="n">
        <f aca="false">A430</f>
        <v>0</v>
      </c>
    </row>
    <row r="431" customFormat="false" ht="20.85" hidden="false" customHeight="false" outlineLevel="0" collapsed="false">
      <c r="A431" s="23"/>
      <c r="B431" s="23"/>
      <c r="C431" s="46" t="s">
        <v>372</v>
      </c>
      <c r="D431" s="23"/>
      <c r="E431" s="25"/>
      <c r="F431" s="23"/>
      <c r="G431" s="37"/>
      <c r="H431" s="23"/>
      <c r="I431" s="23"/>
      <c r="J431" s="28"/>
      <c r="K431" s="28"/>
      <c r="L431" s="25" t="n">
        <v>0</v>
      </c>
      <c r="M431" s="23"/>
      <c r="N431" s="37"/>
      <c r="O431" s="38"/>
      <c r="P431" s="39"/>
      <c r="Q431" s="31"/>
      <c r="R431" s="10" t="n">
        <f aca="false">Q431</f>
        <v>0</v>
      </c>
      <c r="S431" s="10" t="n">
        <f aca="false">A431</f>
        <v>0</v>
      </c>
    </row>
    <row r="432" customFormat="false" ht="26.85" hidden="false" customHeight="false" outlineLevel="0" collapsed="false">
      <c r="A432" s="23"/>
      <c r="B432" s="23"/>
      <c r="C432" s="46" t="s">
        <v>373</v>
      </c>
      <c r="D432" s="23"/>
      <c r="E432" s="25"/>
      <c r="F432" s="23"/>
      <c r="G432" s="37"/>
      <c r="H432" s="23"/>
      <c r="I432" s="23"/>
      <c r="J432" s="28"/>
      <c r="K432" s="28"/>
      <c r="L432" s="25" t="n">
        <v>0</v>
      </c>
      <c r="M432" s="23"/>
      <c r="N432" s="37"/>
      <c r="O432" s="38"/>
      <c r="P432" s="39"/>
      <c r="Q432" s="31"/>
      <c r="R432" s="10" t="n">
        <f aca="false">Q432</f>
        <v>0</v>
      </c>
      <c r="S432" s="10" t="n">
        <f aca="false">A432</f>
        <v>0</v>
      </c>
    </row>
    <row r="433" customFormat="false" ht="20.85" hidden="false" customHeight="false" outlineLevel="0" collapsed="false">
      <c r="A433" s="23"/>
      <c r="B433" s="23"/>
      <c r="C433" s="46" t="s">
        <v>103</v>
      </c>
      <c r="D433" s="23"/>
      <c r="E433" s="25"/>
      <c r="F433" s="23"/>
      <c r="G433" s="45"/>
      <c r="H433" s="23"/>
      <c r="I433" s="23"/>
      <c r="J433" s="28"/>
      <c r="K433" s="23"/>
      <c r="L433" s="25" t="n">
        <v>1477</v>
      </c>
      <c r="M433" s="23"/>
      <c r="N433" s="45"/>
      <c r="O433" s="42"/>
      <c r="P433" s="43"/>
      <c r="Q433" s="31"/>
      <c r="R433" s="10" t="n">
        <f aca="false">Q433</f>
        <v>0</v>
      </c>
      <c r="S433" s="10" t="n">
        <f aca="false">A433</f>
        <v>0</v>
      </c>
    </row>
    <row r="434" customFormat="false" ht="20.85" hidden="false" customHeight="true" outlineLevel="0" collapsed="false">
      <c r="A434" s="23"/>
      <c r="B434" s="23" t="s">
        <v>374</v>
      </c>
      <c r="C434" s="46" t="s">
        <v>375</v>
      </c>
      <c r="D434" s="23"/>
      <c r="E434" s="26" t="n">
        <f aca="false">IF(E436&lt;1, 2 + (2 * E436), 4)</f>
        <v>2</v>
      </c>
      <c r="F434" s="23"/>
      <c r="G434" s="35" t="n">
        <f aca="false">E434</f>
        <v>2</v>
      </c>
      <c r="H434" s="23"/>
      <c r="I434" s="23"/>
      <c r="J434" s="28" t="str">
        <f aca="false">IF(ISBLANK(I434), "❌ BELUM ADA DOKUMEN PENDUKUNG", "✅ SILAHKAN AUDITOR MELAKUKAN VERIFIKASI DOKUMEN PENDUKUNGNYA")</f>
        <v>❌ BELUM ADA DOKUMEN PENDUKUNG</v>
      </c>
      <c r="K434" s="23"/>
      <c r="L434" s="26" t="n">
        <f aca="false">IF(L436&lt;1, 2 + (2 * L436), 4)</f>
        <v>2</v>
      </c>
      <c r="M434" s="23"/>
      <c r="N434" s="35" t="n">
        <f aca="false">L434</f>
        <v>2</v>
      </c>
      <c r="O434" s="29"/>
      <c r="P434" s="30"/>
      <c r="Q434" s="31"/>
      <c r="R434" s="10" t="n">
        <f aca="false">Q434</f>
        <v>0</v>
      </c>
      <c r="S434" s="10" t="n">
        <f aca="false">A434</f>
        <v>0</v>
      </c>
    </row>
    <row r="435" customFormat="false" ht="20.85" hidden="false" customHeight="false" outlineLevel="0" collapsed="false">
      <c r="A435" s="23"/>
      <c r="B435" s="23"/>
      <c r="C435" s="46" t="s">
        <v>376</v>
      </c>
      <c r="D435" s="23"/>
      <c r="E435" s="26"/>
      <c r="F435" s="23"/>
      <c r="G435" s="37"/>
      <c r="H435" s="23"/>
      <c r="I435" s="23"/>
      <c r="J435" s="28"/>
      <c r="K435" s="28"/>
      <c r="L435" s="26"/>
      <c r="M435" s="23"/>
      <c r="N435" s="37"/>
      <c r="O435" s="38"/>
      <c r="P435" s="39"/>
      <c r="Q435" s="31"/>
      <c r="R435" s="10" t="n">
        <f aca="false">Q435</f>
        <v>0</v>
      </c>
      <c r="S435" s="10" t="n">
        <f aca="false">A435</f>
        <v>0</v>
      </c>
    </row>
    <row r="436" customFormat="false" ht="20.85" hidden="false" customHeight="false" outlineLevel="0" collapsed="false">
      <c r="A436" s="23"/>
      <c r="B436" s="23"/>
      <c r="C436" s="46" t="s">
        <v>377</v>
      </c>
      <c r="D436" s="23"/>
      <c r="E436" s="26" t="n">
        <f aca="false">(2*SUM(E437:E440))+E442</f>
        <v>0</v>
      </c>
      <c r="F436" s="23"/>
      <c r="G436" s="37"/>
      <c r="H436" s="23"/>
      <c r="I436" s="23"/>
      <c r="J436" s="28"/>
      <c r="K436" s="28"/>
      <c r="L436" s="26" t="n">
        <f aca="false">(2*SUM(L437:L440))+L442</f>
        <v>0</v>
      </c>
      <c r="M436" s="23"/>
      <c r="N436" s="37"/>
      <c r="O436" s="38"/>
      <c r="P436" s="39"/>
      <c r="Q436" s="31"/>
      <c r="R436" s="10" t="n">
        <f aca="false">Q436</f>
        <v>0</v>
      </c>
      <c r="S436" s="10" t="n">
        <f aca="false">A436</f>
        <v>0</v>
      </c>
    </row>
    <row r="437" customFormat="false" ht="26.85" hidden="false" customHeight="false" outlineLevel="0" collapsed="false">
      <c r="A437" s="23"/>
      <c r="B437" s="23"/>
      <c r="C437" s="46" t="s">
        <v>378</v>
      </c>
      <c r="D437" s="23"/>
      <c r="E437" s="25"/>
      <c r="F437" s="23"/>
      <c r="G437" s="37"/>
      <c r="H437" s="23"/>
      <c r="I437" s="23"/>
      <c r="J437" s="28"/>
      <c r="K437" s="28"/>
      <c r="L437" s="25"/>
      <c r="M437" s="23"/>
      <c r="N437" s="37"/>
      <c r="O437" s="38"/>
      <c r="P437" s="39"/>
      <c r="Q437" s="31"/>
      <c r="R437" s="10" t="n">
        <f aca="false">Q437</f>
        <v>0</v>
      </c>
      <c r="S437" s="10" t="n">
        <f aca="false">A437</f>
        <v>0</v>
      </c>
    </row>
    <row r="438" customFormat="false" ht="20.85" hidden="false" customHeight="true" outlineLevel="0" collapsed="false">
      <c r="A438" s="23"/>
      <c r="B438" s="23"/>
      <c r="C438" s="46" t="s">
        <v>379</v>
      </c>
      <c r="D438" s="23"/>
      <c r="E438" s="25"/>
      <c r="F438" s="23"/>
      <c r="G438" s="37"/>
      <c r="H438" s="23"/>
      <c r="I438" s="23"/>
      <c r="J438" s="28"/>
      <c r="K438" s="28"/>
      <c r="L438" s="25"/>
      <c r="M438" s="23"/>
      <c r="N438" s="37"/>
      <c r="O438" s="38"/>
      <c r="P438" s="39"/>
      <c r="Q438" s="31"/>
      <c r="R438" s="10" t="n">
        <f aca="false">Q438</f>
        <v>0</v>
      </c>
      <c r="S438" s="10" t="n">
        <f aca="false">A438</f>
        <v>0</v>
      </c>
    </row>
    <row r="439" customFormat="false" ht="33.75" hidden="false" customHeight="true" outlineLevel="0" collapsed="false">
      <c r="A439" s="23"/>
      <c r="B439" s="23"/>
      <c r="C439" s="46"/>
      <c r="D439" s="23"/>
      <c r="E439" s="25"/>
      <c r="F439" s="23"/>
      <c r="G439" s="37"/>
      <c r="H439" s="23"/>
      <c r="I439" s="23"/>
      <c r="J439" s="28"/>
      <c r="K439" s="28"/>
      <c r="L439" s="25"/>
      <c r="M439" s="23"/>
      <c r="N439" s="37"/>
      <c r="O439" s="38"/>
      <c r="P439" s="39"/>
      <c r="Q439" s="31"/>
      <c r="R439" s="10" t="n">
        <f aca="false">Q439</f>
        <v>0</v>
      </c>
      <c r="S439" s="10" t="n">
        <f aca="false">A439</f>
        <v>0</v>
      </c>
    </row>
    <row r="440" customFormat="false" ht="20.85" hidden="false" customHeight="true" outlineLevel="0" collapsed="false">
      <c r="A440" s="23"/>
      <c r="B440" s="23"/>
      <c r="C440" s="46" t="s">
        <v>380</v>
      </c>
      <c r="D440" s="23"/>
      <c r="E440" s="25"/>
      <c r="F440" s="23"/>
      <c r="G440" s="37"/>
      <c r="H440" s="23"/>
      <c r="I440" s="23"/>
      <c r="J440" s="28"/>
      <c r="K440" s="28"/>
      <c r="L440" s="25"/>
      <c r="M440" s="23"/>
      <c r="N440" s="37"/>
      <c r="O440" s="38"/>
      <c r="P440" s="39"/>
      <c r="Q440" s="31"/>
      <c r="R440" s="10" t="n">
        <f aca="false">Q440</f>
        <v>0</v>
      </c>
      <c r="S440" s="10" t="n">
        <f aca="false">A440</f>
        <v>0</v>
      </c>
    </row>
    <row r="441" customFormat="false" ht="42" hidden="false" customHeight="true" outlineLevel="0" collapsed="false">
      <c r="A441" s="23"/>
      <c r="B441" s="23"/>
      <c r="C441" s="46"/>
      <c r="D441" s="23"/>
      <c r="E441" s="25"/>
      <c r="F441" s="23"/>
      <c r="G441" s="37"/>
      <c r="H441" s="23"/>
      <c r="I441" s="23"/>
      <c r="J441" s="28"/>
      <c r="K441" s="28"/>
      <c r="L441" s="25"/>
      <c r="M441" s="23"/>
      <c r="N441" s="37"/>
      <c r="O441" s="38"/>
      <c r="P441" s="39"/>
      <c r="Q441" s="31"/>
      <c r="R441" s="10" t="n">
        <f aca="false">Q441</f>
        <v>0</v>
      </c>
      <c r="S441" s="10" t="n">
        <f aca="false">A441</f>
        <v>0</v>
      </c>
    </row>
    <row r="442" customFormat="false" ht="26.85" hidden="false" customHeight="false" outlineLevel="0" collapsed="false">
      <c r="A442" s="23"/>
      <c r="B442" s="23"/>
      <c r="C442" s="46" t="s">
        <v>381</v>
      </c>
      <c r="D442" s="23"/>
      <c r="E442" s="25"/>
      <c r="F442" s="23"/>
      <c r="G442" s="45"/>
      <c r="H442" s="23"/>
      <c r="I442" s="23"/>
      <c r="J442" s="28"/>
      <c r="K442" s="23"/>
      <c r="L442" s="25"/>
      <c r="M442" s="23"/>
      <c r="N442" s="45"/>
      <c r="O442" s="42"/>
      <c r="P442" s="43"/>
      <c r="Q442" s="31"/>
      <c r="R442" s="10" t="n">
        <f aca="false">Q442</f>
        <v>0</v>
      </c>
      <c r="S442" s="10" t="n">
        <f aca="false">A442</f>
        <v>0</v>
      </c>
    </row>
    <row r="443" customFormat="false" ht="585.05" hidden="false" customHeight="true" outlineLevel="0" collapsed="false">
      <c r="A443" s="32" t="s">
        <v>382</v>
      </c>
      <c r="B443" s="23" t="s">
        <v>383</v>
      </c>
      <c r="C443" s="46" t="s">
        <v>384</v>
      </c>
      <c r="D443" s="23"/>
      <c r="E443" s="25"/>
      <c r="F443" s="23"/>
      <c r="G443" s="26" t="n">
        <f aca="false">E443</f>
        <v>0</v>
      </c>
      <c r="H443" s="23"/>
      <c r="I443" s="23"/>
      <c r="J443" s="28" t="str">
        <f aca="false">IF(ISBLANK(I443), "❌ BELUM ADA DOKUMEN PENDUKUNG", "✅ SILAHKAN AUDITOR MELAKUKAN VERIFIKASI DOKUMEN PENDUKUNGNYA")</f>
        <v>❌ BELUM ADA DOKUMEN PENDUKUNG</v>
      </c>
      <c r="K443" s="23"/>
      <c r="L443" s="25" t="n">
        <v>3</v>
      </c>
      <c r="M443" s="23"/>
      <c r="N443" s="26" t="n">
        <f aca="false">L443</f>
        <v>3</v>
      </c>
      <c r="O443" s="29"/>
      <c r="P443" s="30"/>
      <c r="Q443" s="57" t="n">
        <f aca="false">AVERAGE(N443,N444,N445,N446)</f>
        <v>3.125</v>
      </c>
      <c r="R443" s="10" t="n">
        <f aca="false">Q443</f>
        <v>3.125</v>
      </c>
      <c r="S443" s="10" t="str">
        <f aca="false">A443</f>
        <v>Analisis dan Penetapan Program Pengembangan</v>
      </c>
    </row>
    <row r="444" customFormat="false" ht="508.95" hidden="false" customHeight="false" outlineLevel="0" collapsed="false">
      <c r="A444" s="32"/>
      <c r="B444" s="23" t="s">
        <v>385</v>
      </c>
      <c r="C444" s="46" t="s">
        <v>386</v>
      </c>
      <c r="D444" s="23"/>
      <c r="E444" s="25"/>
      <c r="F444" s="23"/>
      <c r="G444" s="26" t="n">
        <f aca="false">E444</f>
        <v>0</v>
      </c>
      <c r="H444" s="23"/>
      <c r="I444" s="23"/>
      <c r="J444" s="28" t="str">
        <f aca="false">IF(ISBLANK(I444), "❌ BELUM ADA DOKUMEN PENDUKUNG", "✅ SILAHKAN AUDITOR MELAKUKAN VERIFIKASI DOKUMEN PENDUKUNGNYA")</f>
        <v>❌ BELUM ADA DOKUMEN PENDUKUNG</v>
      </c>
      <c r="K444" s="23"/>
      <c r="L444" s="25" t="n">
        <v>3</v>
      </c>
      <c r="M444" s="23"/>
      <c r="N444" s="26" t="n">
        <f aca="false">L444</f>
        <v>3</v>
      </c>
      <c r="O444" s="29"/>
      <c r="P444" s="30"/>
      <c r="Q444" s="57"/>
      <c r="R444" s="10" t="n">
        <f aca="false">Q444</f>
        <v>0</v>
      </c>
      <c r="S444" s="10" t="n">
        <f aca="false">A444</f>
        <v>0</v>
      </c>
    </row>
    <row r="445" customFormat="false" ht="445.5" hidden="false" customHeight="false" outlineLevel="0" collapsed="false">
      <c r="A445" s="32"/>
      <c r="B445" s="23" t="s">
        <v>387</v>
      </c>
      <c r="C445" s="46" t="s">
        <v>388</v>
      </c>
      <c r="D445" s="23"/>
      <c r="E445" s="25"/>
      <c r="F445" s="23"/>
      <c r="G445" s="26" t="n">
        <f aca="false">E445</f>
        <v>0</v>
      </c>
      <c r="H445" s="23"/>
      <c r="I445" s="23"/>
      <c r="J445" s="28" t="str">
        <f aca="false">IF(ISBLANK(I445), "❌ BELUM ADA DOKUMEN PENDUKUNG", "✅ SILAHKAN AUDITOR MELAKUKAN VERIFIKASI DOKUMEN PENDUKUNGNYA")</f>
        <v>❌ BELUM ADA DOKUMEN PENDUKUNG</v>
      </c>
      <c r="K445" s="23"/>
      <c r="L445" s="25" t="n">
        <v>3</v>
      </c>
      <c r="M445" s="23"/>
      <c r="N445" s="26" t="n">
        <f aca="false">L445</f>
        <v>3</v>
      </c>
      <c r="O445" s="29"/>
      <c r="P445" s="30"/>
      <c r="Q445" s="57"/>
      <c r="R445" s="10" t="n">
        <f aca="false">Q445</f>
        <v>0</v>
      </c>
      <c r="S445" s="10" t="n">
        <f aca="false">A445</f>
        <v>0</v>
      </c>
    </row>
    <row r="446" customFormat="false" ht="394.75" hidden="false" customHeight="false" outlineLevel="0" collapsed="false">
      <c r="A446" s="32"/>
      <c r="B446" s="23" t="s">
        <v>389</v>
      </c>
      <c r="C446" s="46" t="s">
        <v>390</v>
      </c>
      <c r="D446" s="23"/>
      <c r="E446" s="25"/>
      <c r="F446" s="23"/>
      <c r="G446" s="26" t="n">
        <f aca="false">E446</f>
        <v>0</v>
      </c>
      <c r="H446" s="23"/>
      <c r="I446" s="23"/>
      <c r="J446" s="28" t="str">
        <f aca="false">IF(ISBLANK(I446), "❌ BELUM ADA DOKUMEN PENDUKUNG", "✅ SILAHKAN AUDITOR MELAKUKAN VERIFIKASI DOKUMEN PENDUKUNGNYA")</f>
        <v>❌ BELUM ADA DOKUMEN PENDUKUNG</v>
      </c>
      <c r="K446" s="23"/>
      <c r="L446" s="25" t="n">
        <v>3.5</v>
      </c>
      <c r="M446" s="23"/>
      <c r="N446" s="26" t="n">
        <f aca="false">L446</f>
        <v>3.5</v>
      </c>
      <c r="O446" s="29"/>
      <c r="P446" s="30"/>
      <c r="Q446" s="57"/>
      <c r="R446" s="10" t="n">
        <f aca="false">Q446</f>
        <v>0</v>
      </c>
      <c r="S446" s="10" t="n">
        <f aca="false">A446</f>
        <v>0</v>
      </c>
    </row>
  </sheetData>
  <mergeCells count="356">
    <mergeCell ref="B1:C1"/>
    <mergeCell ref="P1:Q1"/>
    <mergeCell ref="A3:C3"/>
    <mergeCell ref="E3:Q3"/>
    <mergeCell ref="E4:J4"/>
    <mergeCell ref="L4:Q4"/>
    <mergeCell ref="E5:F5"/>
    <mergeCell ref="I5:J5"/>
    <mergeCell ref="L5:M5"/>
    <mergeCell ref="D6:D446"/>
    <mergeCell ref="H6:H446"/>
    <mergeCell ref="K6:K446"/>
    <mergeCell ref="A8:A10"/>
    <mergeCell ref="Q8:Q10"/>
    <mergeCell ref="A11:A41"/>
    <mergeCell ref="Q11:Q41"/>
    <mergeCell ref="F12:F13"/>
    <mergeCell ref="I12:I13"/>
    <mergeCell ref="J12:J13"/>
    <mergeCell ref="M12:M13"/>
    <mergeCell ref="F15:F16"/>
    <mergeCell ref="I15:I16"/>
    <mergeCell ref="J15:J16"/>
    <mergeCell ref="M15:M16"/>
    <mergeCell ref="B18:B26"/>
    <mergeCell ref="E18:E19"/>
    <mergeCell ref="F18:F26"/>
    <mergeCell ref="I18:I26"/>
    <mergeCell ref="J18:J26"/>
    <mergeCell ref="L18:L19"/>
    <mergeCell ref="M18:M26"/>
    <mergeCell ref="C20:C22"/>
    <mergeCell ref="E20:E22"/>
    <mergeCell ref="L20:L22"/>
    <mergeCell ref="B27:B36"/>
    <mergeCell ref="C27:C33"/>
    <mergeCell ref="E27:E33"/>
    <mergeCell ref="F27:F37"/>
    <mergeCell ref="I27:I37"/>
    <mergeCell ref="J27:J36"/>
    <mergeCell ref="L27:L33"/>
    <mergeCell ref="M27:M37"/>
    <mergeCell ref="A42:A52"/>
    <mergeCell ref="B42:B45"/>
    <mergeCell ref="I42:I45"/>
    <mergeCell ref="J42:J45"/>
    <mergeCell ref="Q42:Q52"/>
    <mergeCell ref="B47:B48"/>
    <mergeCell ref="F47:F49"/>
    <mergeCell ref="I47:I49"/>
    <mergeCell ref="J47:J49"/>
    <mergeCell ref="M47:M49"/>
    <mergeCell ref="F51:F52"/>
    <mergeCell ref="I51:I52"/>
    <mergeCell ref="J51:J52"/>
    <mergeCell ref="M51:M52"/>
    <mergeCell ref="A53:A161"/>
    <mergeCell ref="B53:B56"/>
    <mergeCell ref="C53:C55"/>
    <mergeCell ref="E53:E55"/>
    <mergeCell ref="F53:F56"/>
    <mergeCell ref="I53:I56"/>
    <mergeCell ref="J53:J56"/>
    <mergeCell ref="L53:L55"/>
    <mergeCell ref="M53:M56"/>
    <mergeCell ref="Q53:Q161"/>
    <mergeCell ref="B57:B61"/>
    <mergeCell ref="C57:C58"/>
    <mergeCell ref="E57:E58"/>
    <mergeCell ref="F57:F61"/>
    <mergeCell ref="I57:I61"/>
    <mergeCell ref="J57:J61"/>
    <mergeCell ref="L57:L58"/>
    <mergeCell ref="M57:M61"/>
    <mergeCell ref="B62:B68"/>
    <mergeCell ref="C62:C63"/>
    <mergeCell ref="E62:E63"/>
    <mergeCell ref="F62:F68"/>
    <mergeCell ref="I62:I68"/>
    <mergeCell ref="J62:J68"/>
    <mergeCell ref="L62:L63"/>
    <mergeCell ref="M62:M68"/>
    <mergeCell ref="B69:B73"/>
    <mergeCell ref="F69:F73"/>
    <mergeCell ref="I69:I73"/>
    <mergeCell ref="J69:J73"/>
    <mergeCell ref="M69:M73"/>
    <mergeCell ref="B74:B77"/>
    <mergeCell ref="C74:C76"/>
    <mergeCell ref="E74:E76"/>
    <mergeCell ref="F74:F77"/>
    <mergeCell ref="I74:I77"/>
    <mergeCell ref="J74:J77"/>
    <mergeCell ref="L74:L76"/>
    <mergeCell ref="M74:M77"/>
    <mergeCell ref="B78:B82"/>
    <mergeCell ref="C78:C81"/>
    <mergeCell ref="E78:E81"/>
    <mergeCell ref="F78:F82"/>
    <mergeCell ref="I78:I82"/>
    <mergeCell ref="J78:J82"/>
    <mergeCell ref="L78:L81"/>
    <mergeCell ref="M78:M82"/>
    <mergeCell ref="B83:B88"/>
    <mergeCell ref="C83:C85"/>
    <mergeCell ref="E83:E85"/>
    <mergeCell ref="F83:F88"/>
    <mergeCell ref="I83:I88"/>
    <mergeCell ref="J83:J88"/>
    <mergeCell ref="L83:L85"/>
    <mergeCell ref="M83:M88"/>
    <mergeCell ref="B89:B93"/>
    <mergeCell ref="F89:F93"/>
    <mergeCell ref="I89:I93"/>
    <mergeCell ref="J89:J93"/>
    <mergeCell ref="M89:M93"/>
    <mergeCell ref="C92:C93"/>
    <mergeCell ref="E92:E93"/>
    <mergeCell ref="L92:L93"/>
    <mergeCell ref="B94:B106"/>
    <mergeCell ref="C94:C98"/>
    <mergeCell ref="E94:E98"/>
    <mergeCell ref="F94:F106"/>
    <mergeCell ref="I94:I106"/>
    <mergeCell ref="J94:J106"/>
    <mergeCell ref="L94:L98"/>
    <mergeCell ref="M94:M106"/>
    <mergeCell ref="C101:C102"/>
    <mergeCell ref="E101:E102"/>
    <mergeCell ref="L101:L102"/>
    <mergeCell ref="B107:B116"/>
    <mergeCell ref="C107:C108"/>
    <mergeCell ref="E107:E108"/>
    <mergeCell ref="F107:F116"/>
    <mergeCell ref="I107:I116"/>
    <mergeCell ref="J107:J116"/>
    <mergeCell ref="L107:L108"/>
    <mergeCell ref="M107:M116"/>
    <mergeCell ref="C111:C112"/>
    <mergeCell ref="E111:E112"/>
    <mergeCell ref="L111:L112"/>
    <mergeCell ref="B117:B136"/>
    <mergeCell ref="C117:C121"/>
    <mergeCell ref="E117:E121"/>
    <mergeCell ref="F117:F136"/>
    <mergeCell ref="I117:I136"/>
    <mergeCell ref="J117:J136"/>
    <mergeCell ref="L117:L121"/>
    <mergeCell ref="M117:M136"/>
    <mergeCell ref="C124:C125"/>
    <mergeCell ref="E124:E125"/>
    <mergeCell ref="L124:L125"/>
    <mergeCell ref="B137:B141"/>
    <mergeCell ref="C137:C138"/>
    <mergeCell ref="E137:E138"/>
    <mergeCell ref="F137:F141"/>
    <mergeCell ref="I137:I141"/>
    <mergeCell ref="J137:J141"/>
    <mergeCell ref="L137:L138"/>
    <mergeCell ref="M137:M141"/>
    <mergeCell ref="B142:B149"/>
    <mergeCell ref="C142:C143"/>
    <mergeCell ref="E142:E143"/>
    <mergeCell ref="F142:F149"/>
    <mergeCell ref="I142:I149"/>
    <mergeCell ref="J142:J149"/>
    <mergeCell ref="L142:L143"/>
    <mergeCell ref="M142:M149"/>
    <mergeCell ref="B150:B158"/>
    <mergeCell ref="C150:C158"/>
    <mergeCell ref="E150:E158"/>
    <mergeCell ref="F150:F158"/>
    <mergeCell ref="I150:I158"/>
    <mergeCell ref="J150:J158"/>
    <mergeCell ref="L150:L158"/>
    <mergeCell ref="M150:M158"/>
    <mergeCell ref="F160:F161"/>
    <mergeCell ref="I160:I161"/>
    <mergeCell ref="J160:J161"/>
    <mergeCell ref="M160:M161"/>
    <mergeCell ref="A162:A173"/>
    <mergeCell ref="B162:B164"/>
    <mergeCell ref="E162:E163"/>
    <mergeCell ref="F162:F164"/>
    <mergeCell ref="I162:I170"/>
    <mergeCell ref="J162:J170"/>
    <mergeCell ref="L162:L163"/>
    <mergeCell ref="M162:M164"/>
    <mergeCell ref="Q162:Q173"/>
    <mergeCell ref="B165:B167"/>
    <mergeCell ref="E165:E166"/>
    <mergeCell ref="F165:F167"/>
    <mergeCell ref="L165:L166"/>
    <mergeCell ref="M165:M167"/>
    <mergeCell ref="B168:B170"/>
    <mergeCell ref="E168:E169"/>
    <mergeCell ref="F168:F170"/>
    <mergeCell ref="L168:L169"/>
    <mergeCell ref="M168:M170"/>
    <mergeCell ref="A174:A247"/>
    <mergeCell ref="Q174:Q247"/>
    <mergeCell ref="I176:I177"/>
    <mergeCell ref="J176:J177"/>
    <mergeCell ref="I180:I181"/>
    <mergeCell ref="J180:J181"/>
    <mergeCell ref="F186:F187"/>
    <mergeCell ref="I186:I187"/>
    <mergeCell ref="J186:J187"/>
    <mergeCell ref="M186:M187"/>
    <mergeCell ref="B188:B192"/>
    <mergeCell ref="E188:E189"/>
    <mergeCell ref="F188:F192"/>
    <mergeCell ref="I188:I192"/>
    <mergeCell ref="J188:J192"/>
    <mergeCell ref="L188:L189"/>
    <mergeCell ref="M188:M192"/>
    <mergeCell ref="F196:F197"/>
    <mergeCell ref="I196:I197"/>
    <mergeCell ref="J196:J197"/>
    <mergeCell ref="M196:M197"/>
    <mergeCell ref="B198:B201"/>
    <mergeCell ref="E198:E200"/>
    <mergeCell ref="F198:F201"/>
    <mergeCell ref="I198:I201"/>
    <mergeCell ref="J198:J201"/>
    <mergeCell ref="L198:L200"/>
    <mergeCell ref="M198:M201"/>
    <mergeCell ref="B203:B246"/>
    <mergeCell ref="C203:C216"/>
    <mergeCell ref="E203:E216"/>
    <mergeCell ref="F203:F246"/>
    <mergeCell ref="I203:I246"/>
    <mergeCell ref="J203:J246"/>
    <mergeCell ref="L203:L216"/>
    <mergeCell ref="M203:M246"/>
    <mergeCell ref="C221:C222"/>
    <mergeCell ref="E221:E222"/>
    <mergeCell ref="L221:L222"/>
    <mergeCell ref="C227:C228"/>
    <mergeCell ref="E227:E228"/>
    <mergeCell ref="L227:L228"/>
    <mergeCell ref="C233:C234"/>
    <mergeCell ref="E233:E234"/>
    <mergeCell ref="L233:L234"/>
    <mergeCell ref="C239:C240"/>
    <mergeCell ref="E239:E240"/>
    <mergeCell ref="L239:L240"/>
    <mergeCell ref="A248:A254"/>
    <mergeCell ref="Q248:Q254"/>
    <mergeCell ref="B249:B254"/>
    <mergeCell ref="C249:C251"/>
    <mergeCell ref="E249:E251"/>
    <mergeCell ref="F249:F254"/>
    <mergeCell ref="I249:I254"/>
    <mergeCell ref="J249:J254"/>
    <mergeCell ref="L249:L251"/>
    <mergeCell ref="M249:M254"/>
    <mergeCell ref="A255:A260"/>
    <mergeCell ref="Q255:Q260"/>
    <mergeCell ref="B256:B260"/>
    <mergeCell ref="E256:E257"/>
    <mergeCell ref="F256:F260"/>
    <mergeCell ref="I256:I260"/>
    <mergeCell ref="J256:J260"/>
    <mergeCell ref="L256:L257"/>
    <mergeCell ref="M256:M260"/>
    <mergeCell ref="A261:A442"/>
    <mergeCell ref="Q261:Q442"/>
    <mergeCell ref="B262:B263"/>
    <mergeCell ref="F262:F263"/>
    <mergeCell ref="I262:I263"/>
    <mergeCell ref="J262:J263"/>
    <mergeCell ref="M262:M263"/>
    <mergeCell ref="B264:B277"/>
    <mergeCell ref="C264:C270"/>
    <mergeCell ref="E264:E270"/>
    <mergeCell ref="F264:F277"/>
    <mergeCell ref="I264:I277"/>
    <mergeCell ref="J264:J277"/>
    <mergeCell ref="L264:L270"/>
    <mergeCell ref="M264:M277"/>
    <mergeCell ref="B278:B292"/>
    <mergeCell ref="C278:C284"/>
    <mergeCell ref="E278:E284"/>
    <mergeCell ref="F278:F292"/>
    <mergeCell ref="I278:I292"/>
    <mergeCell ref="J278:J292"/>
    <mergeCell ref="L278:L284"/>
    <mergeCell ref="M278:M292"/>
    <mergeCell ref="C288:C289"/>
    <mergeCell ref="E288:E289"/>
    <mergeCell ref="L288:L289"/>
    <mergeCell ref="B293:B294"/>
    <mergeCell ref="F293:F294"/>
    <mergeCell ref="I293:I294"/>
    <mergeCell ref="J293:J294"/>
    <mergeCell ref="M293:M294"/>
    <mergeCell ref="B295:B296"/>
    <mergeCell ref="F295:F296"/>
    <mergeCell ref="I295:I296"/>
    <mergeCell ref="J295:J296"/>
    <mergeCell ref="M295:M296"/>
    <mergeCell ref="B297:B298"/>
    <mergeCell ref="F297:F298"/>
    <mergeCell ref="I297:I298"/>
    <mergeCell ref="J297:J298"/>
    <mergeCell ref="M297:M298"/>
    <mergeCell ref="B300:B324"/>
    <mergeCell ref="F300:F324"/>
    <mergeCell ref="I300:I324"/>
    <mergeCell ref="J300:J324"/>
    <mergeCell ref="M300:M324"/>
    <mergeCell ref="C306:C307"/>
    <mergeCell ref="E306:E307"/>
    <mergeCell ref="L306:L307"/>
    <mergeCell ref="B325:B339"/>
    <mergeCell ref="F325:F339"/>
    <mergeCell ref="I325:I339"/>
    <mergeCell ref="J325:J339"/>
    <mergeCell ref="M325:M339"/>
    <mergeCell ref="B340:B366"/>
    <mergeCell ref="F340:F366"/>
    <mergeCell ref="I340:I366"/>
    <mergeCell ref="J340:J366"/>
    <mergeCell ref="M340:M366"/>
    <mergeCell ref="B367:B412"/>
    <mergeCell ref="F367:F412"/>
    <mergeCell ref="I367:I412"/>
    <mergeCell ref="J367:J412"/>
    <mergeCell ref="M367:M412"/>
    <mergeCell ref="B413:B433"/>
    <mergeCell ref="C413:C418"/>
    <mergeCell ref="E413:E418"/>
    <mergeCell ref="F413:F433"/>
    <mergeCell ref="I413:I433"/>
    <mergeCell ref="J413:J433"/>
    <mergeCell ref="L413:L418"/>
    <mergeCell ref="M413:M433"/>
    <mergeCell ref="C421:C422"/>
    <mergeCell ref="E421:E422"/>
    <mergeCell ref="L421:L422"/>
    <mergeCell ref="B434:B442"/>
    <mergeCell ref="E434:E435"/>
    <mergeCell ref="F434:F442"/>
    <mergeCell ref="I434:I442"/>
    <mergeCell ref="J434:J442"/>
    <mergeCell ref="L434:L435"/>
    <mergeCell ref="M434:M442"/>
    <mergeCell ref="C438:C439"/>
    <mergeCell ref="E438:E439"/>
    <mergeCell ref="L438:L439"/>
    <mergeCell ref="C440:C441"/>
    <mergeCell ref="E440:E441"/>
    <mergeCell ref="L440:L441"/>
    <mergeCell ref="A443:A446"/>
    <mergeCell ref="Q443:Q446"/>
  </mergeCells>
  <conditionalFormatting sqref="E6:E31 L6:L31 E34:E43 L34:L43 E46:E306 L46:L306 E308:E309 L308:L309 E311:E313 L311:L313 E315:E317 L315:L317 E319:E339 L319:L339 E341:E343 L341:L343 E345:E347 L345:L347 E349:E363 L349:L363 E365:E417 L365:L417 E419:E446 L419:L446">
    <cfRule type="expression" priority="2" aboveAverage="0" equalAverage="0" bottom="0" percent="0" rank="0" text="" dxfId="0">
      <formula>LEN(TRIM(E6))=0</formula>
    </cfRule>
  </conditionalFormatting>
  <conditionalFormatting sqref="E44 L44">
    <cfRule type="expression" priority="3" aboveAverage="0" equalAverage="0" bottom="0" percent="0" rank="0" text="" dxfId="1">
      <formula>E42=2</formula>
    </cfRule>
    <cfRule type="expression" priority="4" aboveAverage="0" equalAverage="0" bottom="0" percent="0" rank="0" text="" dxfId="0">
      <formula>AND(E42=1, E44="")</formula>
    </cfRule>
    <cfRule type="expression" priority="5" aboveAverage="0" equalAverage="0" bottom="0" percent="0" rank="0" text="" dxfId="2">
      <formula>AND(E42=1, ISNUMBER(E44))</formula>
    </cfRule>
  </conditionalFormatting>
  <conditionalFormatting sqref="E45 L45">
    <cfRule type="expression" priority="6" aboveAverage="0" equalAverage="0" bottom="0" percent="0" rank="0" text="" dxfId="1">
      <formula>E42=1</formula>
    </cfRule>
    <cfRule type="expression" priority="7" aboveAverage="0" equalAverage="0" bottom="0" percent="0" rank="0" text="" dxfId="0">
      <formula>AND(E42=2, E45="")</formula>
    </cfRule>
    <cfRule type="expression" priority="8" aboveAverage="0" equalAverage="0" bottom="0" percent="0" rank="0" text="" dxfId="2">
      <formula>AND(E42=2, ISNUMBER(E45))</formula>
    </cfRule>
  </conditionalFormatting>
  <conditionalFormatting sqref="E262 L262">
    <cfRule type="expression" priority="9" aboveAverage="0" equalAverage="0" bottom="0" percent="0" rank="0" text="" dxfId="1">
      <formula>LEN(TRIM(E262))&gt;0</formula>
    </cfRule>
  </conditionalFormatting>
  <conditionalFormatting sqref="I6:I446">
    <cfRule type="expression" priority="10" aboveAverage="0" equalAverage="0" bottom="0" percent="0" rank="0" text="" dxfId="0">
      <formula>LEN(TRIM(I6))=0</formula>
    </cfRule>
  </conditionalFormatting>
  <conditionalFormatting sqref="O6:P11 O14:P14 O17:P18 O27:P27 O38:P42 O46:P46 O50:P50 O53:P53 O57:P57 O62:P62 O69:P69 O74:P74 O78:P78 O83:P83 O89:P89 O94:P94 O107:P107 O117:P117 O137:P137 O142:P142 O150:P150 O159:P160 O162:P162 O165:P165 O168:P168 O171:P174 O178:P179 O182:P182 O188:P188 O193:P194 O198:P198 O202:P203 O247:P249 O255:P256 O261:P262 O264:P264 O278:P278 O293:P293 O295:P295 O297:P297 O299:P300 O325:P325 O340:P340 O367:P367 O413:P413 O434:P434 O443:P446">
    <cfRule type="expression" priority="11" aboveAverage="0" equalAverage="0" bottom="0" percent="0" rank="0" text="" dxfId="2">
      <formula>LEN(TRIM(O6))&gt;0</formula>
    </cfRule>
    <cfRule type="expression" priority="12" aboveAverage="0" equalAverage="0" bottom="0" percent="0" rank="0" text="" dxfId="0">
      <formula>LEN(TRIM(O6))=0</formula>
    </cfRule>
  </conditionalFormatting>
  <dataValidations count="7">
    <dataValidation allowBlank="true" errorStyle="stop" operator="between" prompt="Nilai hanya boleh diisi antara 1 sampai 4." showDropDown="true" showErrorMessage="true" showInputMessage="true" sqref="E12 L12 E15 L15 E17 L17 E176 L176 E178 L178 E196 L196" type="decimal">
      <formula1>1</formula1>
      <formula2>4</formula2>
    </dataValidation>
    <dataValidation allowBlank="true" errorStyle="stop" operator="between" prompt="Rasio hanya bisa diisi jika kebutuhan lulusan rendah" showDropDown="true" showErrorMessage="true" showInputMessage="true" sqref="E45 L45" type="custom">
      <formula1>OR(E42=2, E44="")</formula1>
      <formula2>0</formula2>
    </dataValidation>
    <dataValidation allowBlank="true" errorStyle="stop" operator="between" showDropDown="false" showErrorMessage="true" showInputMessage="false" sqref="P6:P11 P14 P17:P18 P27 P38:P42 P46 P50 P53 P57 P62 P69 P74 P78 P83 P89 P94 P107 P117 P137 P142 P150 P159:P160 P162 P165 P168 P171:P174 P178:P179 P182 P188 P193:P194 P198 P202:P203 P247:P249 P255:P256 P261:P262 P264 P278 P293 P295 P297 P299:P300 P325 P340 P367 P413 P434 P443:P446" type="list">
      <formula1>"OB,KTS MAYOR,KTS MINOR"</formula1>
      <formula2>0</formula2>
    </dataValidation>
    <dataValidation allowBlank="true" errorStyle="stop" operator="between" prompt="Rasio hanya bisa diisi jika kebutuhan lulusan tinggi" showDropDown="true" showErrorMessage="true" showInputMessage="true" sqref="E44 L44" type="custom">
      <formula1>OR(E42=1, E44="")</formula1>
      <formula2>0</formula2>
    </dataValidation>
    <dataValidation allowBlank="true" errorStyle="stop" operator="between" prompt="Nilai hanya boleh diisi antara 0 sampai 4." showDropDown="true" showErrorMessage="true" showInputMessage="true" sqref="E6:E10 L6:L10 E39:E41 L39:L41 E46 L46 E50:E51 L50:L51 E150 L150 E159:E160 L159:L160 E171:E175 L171:L175 E179:E180 L179:L180 E182:E183 L182:L183 E186 L186 E193:E195 L193:L195 E248 L248 E255 L255 E261 L261 E299 L299 E443:E446 L443:L446" type="decimal">
      <formula1>0</formula1>
      <formula2>4</formula2>
    </dataValidation>
    <dataValidation allowBlank="true" errorStyle="stop" operator="between" prompt="Nilai hanya boleh diisi antara 2 sampai 4." showDropDown="true" showErrorMessage="true" showInputMessage="true" sqref="E14 L14 E38 L38 E184:E185 L184:L185" type="decimal">
      <formula1>2</formula1>
      <formula2>4</formula2>
    </dataValidation>
    <dataValidation allowBlank="true" errorStyle="stop" operator="between" showDropDown="false" showErrorMessage="true" showInputMessage="false" sqref="E42 L42 E69 L69 E373 L373" type="list">
      <formula1>"1,2"</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3.75"/>
    <col collapsed="false" customWidth="true" hidden="false" outlineLevel="0" max="2" min="2" style="0" width="35.75"/>
  </cols>
  <sheetData>
    <row r="1" customFormat="false" ht="15.75" hidden="false" customHeight="false" outlineLevel="0" collapsed="false">
      <c r="A1" s="2" t="s">
        <v>391</v>
      </c>
      <c r="B1" s="2" t="s">
        <v>392</v>
      </c>
    </row>
    <row r="2" customFormat="false" ht="15.75" hidden="false" customHeight="false" outlineLevel="0" collapsed="false">
      <c r="A2" s="2" t="n">
        <v>1</v>
      </c>
    </row>
    <row r="3" customFormat="false" ht="15.75" hidden="false" customHeight="false" outlineLevel="0" collapsed="false">
      <c r="A3" s="2" t="n">
        <v>2</v>
      </c>
    </row>
    <row r="4" customFormat="false" ht="15.75" hidden="false" customHeight="false" outlineLevel="0" collapsed="false">
      <c r="A4" s="2" t="n">
        <v>3</v>
      </c>
    </row>
    <row r="5" customFormat="false" ht="15.75" hidden="false" customHeight="false" outlineLevel="0" collapsed="false">
      <c r="A5" s="2" t="s">
        <v>393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2" t="s">
        <v>394</v>
      </c>
      <c r="B1" s="2" t="s">
        <v>395</v>
      </c>
      <c r="C1" s="2" t="s">
        <v>396</v>
      </c>
      <c r="D1" s="2" t="s">
        <v>397</v>
      </c>
      <c r="E1" s="2" t="s">
        <v>398</v>
      </c>
      <c r="F1" s="2" t="s">
        <v>399</v>
      </c>
      <c r="G1" s="2" t="s">
        <v>400</v>
      </c>
      <c r="H1" s="2" t="s">
        <v>401</v>
      </c>
      <c r="I1" s="2" t="s">
        <v>402</v>
      </c>
      <c r="J1" s="2" t="s">
        <v>403</v>
      </c>
      <c r="K1" s="2" t="s">
        <v>404</v>
      </c>
      <c r="L1" s="2" t="s">
        <v>405</v>
      </c>
      <c r="M1" s="2" t="s">
        <v>406</v>
      </c>
      <c r="N1" s="2" t="s">
        <v>407</v>
      </c>
      <c r="O1" s="2" t="s">
        <v>408</v>
      </c>
      <c r="P1" s="2" t="s">
        <v>409</v>
      </c>
      <c r="Q1" s="2" t="s">
        <v>410</v>
      </c>
      <c r="R1" s="2" t="s">
        <v>411</v>
      </c>
      <c r="S1" s="2" t="s">
        <v>412</v>
      </c>
      <c r="T1" s="2" t="s">
        <v>413</v>
      </c>
      <c r="U1" s="2" t="s">
        <v>414</v>
      </c>
      <c r="V1" s="2" t="s">
        <v>415</v>
      </c>
      <c r="W1" s="2" t="s">
        <v>416</v>
      </c>
      <c r="X1" s="2" t="s">
        <v>417</v>
      </c>
      <c r="Y1" s="2" t="s">
        <v>418</v>
      </c>
      <c r="Z1" s="2" t="s">
        <v>419</v>
      </c>
      <c r="AA1" s="2" t="s">
        <v>420</v>
      </c>
      <c r="AB1" s="2" t="s">
        <v>421</v>
      </c>
      <c r="AC1" s="2" t="s">
        <v>422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2025-09-04T14:59:40Z</dcterms:modified>
  <cp:revision>2</cp:revision>
  <dc:subject/>
  <dc:title/>
</cp:coreProperties>
</file>