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9200" windowHeight="7050" firstSheet="4" activeTab="4"/>
  </bookViews>
  <sheets>
    <sheet name="sheet1" sheetId="1" r:id="rId1"/>
    <sheet name="Sheet2" sheetId="2" r:id="rId2"/>
    <sheet name="Sheet3" sheetId="3" r:id="rId3"/>
    <sheet name="Sheet4" sheetId="5" r:id="rId4"/>
    <sheet name="Sheet5" sheetId="4" r:id="rId5"/>
    <sheet name="Sheet9" sheetId="9" r:id="rId6"/>
    <sheet name="Sheet10" sheetId="10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10" l="1"/>
  <c r="F5" i="10"/>
  <c r="E5" i="10"/>
  <c r="D5" i="10"/>
  <c r="F4" i="10" l="1"/>
  <c r="F46" i="9" l="1"/>
  <c r="L48" i="9" l="1"/>
  <c r="F45" i="9"/>
  <c r="D43" i="9"/>
  <c r="D44" i="9"/>
  <c r="D45" i="9"/>
  <c r="D46" i="9"/>
  <c r="D47" i="9"/>
  <c r="D48" i="9"/>
  <c r="D49" i="9"/>
  <c r="E18" i="10" l="1"/>
  <c r="I79" i="9"/>
  <c r="I80" i="9"/>
  <c r="G6" i="10"/>
  <c r="G18" i="10" s="1"/>
  <c r="F6" i="10"/>
  <c r="F18" i="10" s="1"/>
  <c r="E6" i="10"/>
  <c r="D6" i="10"/>
  <c r="D18" i="10" s="1"/>
  <c r="G14" i="10"/>
  <c r="F14" i="10"/>
  <c r="E14" i="10"/>
  <c r="D14" i="10"/>
  <c r="C58" i="1"/>
  <c r="C41" i="1"/>
  <c r="C34" i="1"/>
  <c r="C17" i="1"/>
  <c r="C10" i="1"/>
  <c r="C3" i="1"/>
  <c r="D7" i="4"/>
  <c r="E64" i="5"/>
  <c r="E63" i="5"/>
  <c r="E62" i="5"/>
  <c r="D7" i="5"/>
  <c r="D7" i="9"/>
  <c r="D25" i="1" l="1"/>
  <c r="F7" i="10" l="1"/>
  <c r="F8" i="10"/>
  <c r="F9" i="10"/>
  <c r="F10" i="10"/>
  <c r="F11" i="10"/>
  <c r="F12" i="10"/>
  <c r="F13" i="10"/>
  <c r="G4" i="10"/>
  <c r="E4" i="10"/>
  <c r="D4" i="10"/>
  <c r="K5" i="4" l="1"/>
  <c r="K25" i="4"/>
  <c r="I5" i="4"/>
  <c r="C32" i="4"/>
  <c r="C53" i="4"/>
  <c r="G52" i="4" s="1"/>
  <c r="H52" i="4" s="1"/>
  <c r="F59" i="4" s="1"/>
  <c r="C60" i="9"/>
  <c r="E60" i="9" s="1"/>
  <c r="D60" i="9" s="1"/>
  <c r="C12" i="4"/>
  <c r="G13" i="10"/>
  <c r="E13" i="10"/>
  <c r="D13" i="10"/>
  <c r="G12" i="10"/>
  <c r="E12" i="10"/>
  <c r="D12" i="10"/>
  <c r="G11" i="10"/>
  <c r="E11" i="10"/>
  <c r="D11" i="10"/>
  <c r="G10" i="10"/>
  <c r="E10" i="10"/>
  <c r="D10" i="10"/>
  <c r="G9" i="10"/>
  <c r="E9" i="10"/>
  <c r="D9" i="10"/>
  <c r="G8" i="10"/>
  <c r="E8" i="10"/>
  <c r="D8" i="10"/>
  <c r="G7" i="10"/>
  <c r="E7" i="10"/>
  <c r="D7" i="10"/>
  <c r="E62" i="9"/>
  <c r="D62" i="9" s="1"/>
  <c r="F67" i="9" s="1"/>
  <c r="H74" i="9"/>
  <c r="I74" i="9" s="1"/>
  <c r="H75" i="9"/>
  <c r="I75" i="9" s="1"/>
  <c r="H73" i="9"/>
  <c r="I73" i="9" s="1"/>
  <c r="C74" i="9"/>
  <c r="D74" i="9" s="1"/>
  <c r="F79" i="9" s="1"/>
  <c r="C75" i="9"/>
  <c r="D75" i="9" s="1"/>
  <c r="C73" i="9"/>
  <c r="D73" i="9" s="1"/>
  <c r="D79" i="9"/>
  <c r="G80" i="9" s="1"/>
  <c r="D78" i="9"/>
  <c r="G79" i="9" s="1"/>
  <c r="D77" i="9"/>
  <c r="G78" i="9" s="1"/>
  <c r="H61" i="9"/>
  <c r="I61" i="9" s="1"/>
  <c r="H62" i="9"/>
  <c r="I62" i="9" s="1"/>
  <c r="H60" i="9"/>
  <c r="I60" i="9" s="1"/>
  <c r="D66" i="9"/>
  <c r="G67" i="9" s="1"/>
  <c r="I67" i="9" s="1"/>
  <c r="D65" i="9"/>
  <c r="G66" i="9" s="1"/>
  <c r="I66" i="9" s="1"/>
  <c r="D64" i="9"/>
  <c r="G65" i="9" s="1"/>
  <c r="E61" i="9"/>
  <c r="D61" i="9" s="1"/>
  <c r="F66" i="9" s="1"/>
  <c r="C61" i="9"/>
  <c r="C62" i="9"/>
  <c r="C53" i="9"/>
  <c r="B53" i="9"/>
  <c r="F49" i="9"/>
  <c r="G49" i="9" s="1"/>
  <c r="J48" i="9"/>
  <c r="I48" i="9" s="1"/>
  <c r="E48" i="9"/>
  <c r="J47" i="9"/>
  <c r="I47" i="9"/>
  <c r="F47" i="9"/>
  <c r="G47" i="9" s="1"/>
  <c r="L46" i="9"/>
  <c r="J46" i="9"/>
  <c r="I46" i="9" s="1"/>
  <c r="K45" i="9"/>
  <c r="I45" i="9" s="1"/>
  <c r="J45" i="9"/>
  <c r="K44" i="9"/>
  <c r="J44" i="9"/>
  <c r="I44" i="9" s="1"/>
  <c r="K43" i="9"/>
  <c r="J43" i="9"/>
  <c r="I43" i="9" s="1"/>
  <c r="C32" i="9"/>
  <c r="B32" i="9"/>
  <c r="D28" i="9"/>
  <c r="E28" i="9" s="1"/>
  <c r="L27" i="9"/>
  <c r="J27" i="9"/>
  <c r="I27" i="9" s="1"/>
  <c r="D27" i="9"/>
  <c r="E27" i="9" s="1"/>
  <c r="J26" i="9"/>
  <c r="I26" i="9"/>
  <c r="D26" i="9"/>
  <c r="E26" i="9" s="1"/>
  <c r="L25" i="9"/>
  <c r="J25" i="9"/>
  <c r="I25" i="9" s="1"/>
  <c r="D25" i="9"/>
  <c r="E25" i="9" s="1"/>
  <c r="K24" i="9"/>
  <c r="J24" i="9"/>
  <c r="I24" i="9" s="1"/>
  <c r="K23" i="9"/>
  <c r="J23" i="9"/>
  <c r="I23" i="9" s="1"/>
  <c r="K22" i="9"/>
  <c r="J22" i="9"/>
  <c r="I22" i="9" s="1"/>
  <c r="C12" i="9"/>
  <c r="B12" i="9"/>
  <c r="D8" i="9"/>
  <c r="E8" i="9" s="1"/>
  <c r="L7" i="9"/>
  <c r="J7" i="9"/>
  <c r="I7" i="9" s="1"/>
  <c r="F7" i="9" s="1"/>
  <c r="G7" i="9" s="1"/>
  <c r="J6" i="9"/>
  <c r="I6" i="9" s="1"/>
  <c r="D6" i="9"/>
  <c r="E6" i="9" s="1"/>
  <c r="L5" i="9"/>
  <c r="J5" i="9"/>
  <c r="I5" i="9" s="1"/>
  <c r="D5" i="9"/>
  <c r="K4" i="9"/>
  <c r="J4" i="9"/>
  <c r="I4" i="9" s="1"/>
  <c r="K3" i="9"/>
  <c r="J3" i="9"/>
  <c r="I3" i="9"/>
  <c r="K2" i="9"/>
  <c r="J2" i="9"/>
  <c r="I2" i="9"/>
  <c r="C57" i="4"/>
  <c r="D57" i="4"/>
  <c r="I50" i="5"/>
  <c r="H50" i="5" s="1"/>
  <c r="I48" i="5"/>
  <c r="K35" i="5"/>
  <c r="K7" i="4"/>
  <c r="K27" i="4"/>
  <c r="K48" i="4"/>
  <c r="J49" i="3"/>
  <c r="J50" i="3"/>
  <c r="J48" i="3"/>
  <c r="K48" i="3"/>
  <c r="K33" i="3"/>
  <c r="K5" i="3"/>
  <c r="C75" i="5"/>
  <c r="K48" i="5"/>
  <c r="K46" i="4"/>
  <c r="K12" i="4"/>
  <c r="F55" i="4"/>
  <c r="I48" i="4"/>
  <c r="H48" i="4" s="1"/>
  <c r="I27" i="4"/>
  <c r="I47" i="4"/>
  <c r="H47" i="4" s="1"/>
  <c r="I46" i="4"/>
  <c r="H46" i="4" s="1"/>
  <c r="D49" i="4"/>
  <c r="E49" i="4" s="1"/>
  <c r="D48" i="4"/>
  <c r="E48" i="4" s="1"/>
  <c r="D47" i="4"/>
  <c r="E47" i="4" s="1"/>
  <c r="D46" i="4"/>
  <c r="E46" i="4" s="1"/>
  <c r="G55" i="4"/>
  <c r="B53" i="4"/>
  <c r="J45" i="4"/>
  <c r="I45" i="4"/>
  <c r="H45" i="4" s="1"/>
  <c r="J44" i="4"/>
  <c r="I44" i="4"/>
  <c r="H44" i="4" s="1"/>
  <c r="J43" i="4"/>
  <c r="H43" i="4" s="1"/>
  <c r="I43" i="4"/>
  <c r="D27" i="4"/>
  <c r="D25" i="4"/>
  <c r="E25" i="4" s="1"/>
  <c r="H27" i="4"/>
  <c r="G34" i="4"/>
  <c r="F34" i="4"/>
  <c r="K32" i="4"/>
  <c r="H31" i="4"/>
  <c r="I26" i="4"/>
  <c r="H26" i="4" s="1"/>
  <c r="I25" i="4"/>
  <c r="H25" i="4" s="1"/>
  <c r="D28" i="4"/>
  <c r="E28" i="4" s="1"/>
  <c r="D26" i="4"/>
  <c r="E26" i="4" s="1"/>
  <c r="G31" i="4"/>
  <c r="B32" i="4"/>
  <c r="J24" i="4"/>
  <c r="I24" i="4"/>
  <c r="H24" i="4"/>
  <c r="J23" i="4"/>
  <c r="H23" i="4" s="1"/>
  <c r="I23" i="4"/>
  <c r="J22" i="4"/>
  <c r="I22" i="4"/>
  <c r="H22" i="4" s="1"/>
  <c r="F14" i="4"/>
  <c r="G11" i="4"/>
  <c r="H11" i="4" s="1"/>
  <c r="L12" i="4" s="1"/>
  <c r="G14" i="4"/>
  <c r="B12" i="4"/>
  <c r="D8" i="4"/>
  <c r="F8" i="4" s="1"/>
  <c r="G8" i="4" s="1"/>
  <c r="I7" i="4"/>
  <c r="H7" i="4"/>
  <c r="E7" i="4"/>
  <c r="I6" i="4"/>
  <c r="H6" i="4"/>
  <c r="D6" i="4"/>
  <c r="F6" i="4" s="1"/>
  <c r="G6" i="4" s="1"/>
  <c r="H5" i="4"/>
  <c r="D5" i="4"/>
  <c r="F5" i="4" s="1"/>
  <c r="G5" i="4" s="1"/>
  <c r="J4" i="4"/>
  <c r="H4" i="4" s="1"/>
  <c r="I4" i="4"/>
  <c r="J3" i="4"/>
  <c r="I3" i="4"/>
  <c r="H3" i="4" s="1"/>
  <c r="J2" i="4"/>
  <c r="I2" i="4"/>
  <c r="H2" i="4"/>
  <c r="F77" i="5"/>
  <c r="F76" i="5"/>
  <c r="D77" i="5"/>
  <c r="D76" i="5"/>
  <c r="D75" i="5"/>
  <c r="C77" i="5"/>
  <c r="C76" i="5"/>
  <c r="I35" i="5"/>
  <c r="H35" i="5" s="1"/>
  <c r="I7" i="5"/>
  <c r="H7" i="5"/>
  <c r="F72" i="5"/>
  <c r="D51" i="5"/>
  <c r="F51" i="5" s="1"/>
  <c r="G51" i="5" s="1"/>
  <c r="D50" i="5"/>
  <c r="I49" i="5"/>
  <c r="H49" i="5"/>
  <c r="D49" i="5"/>
  <c r="E49" i="5" s="1"/>
  <c r="H48" i="5"/>
  <c r="D48" i="5"/>
  <c r="E48" i="5" s="1"/>
  <c r="J47" i="5"/>
  <c r="I47" i="5"/>
  <c r="H47" i="5"/>
  <c r="J46" i="5"/>
  <c r="I46" i="5"/>
  <c r="H46" i="5"/>
  <c r="J45" i="5"/>
  <c r="I45" i="5"/>
  <c r="H45" i="5"/>
  <c r="D36" i="5"/>
  <c r="F36" i="5" s="1"/>
  <c r="G36" i="5" s="1"/>
  <c r="D35" i="5"/>
  <c r="E35" i="5" s="1"/>
  <c r="I34" i="5"/>
  <c r="H34" i="5"/>
  <c r="D34" i="5"/>
  <c r="E34" i="5" s="1"/>
  <c r="I33" i="5"/>
  <c r="H33" i="5"/>
  <c r="D33" i="5"/>
  <c r="E33" i="5" s="1"/>
  <c r="J32" i="5"/>
  <c r="I32" i="5"/>
  <c r="H32" i="5"/>
  <c r="J31" i="5"/>
  <c r="I31" i="5"/>
  <c r="H31" i="5"/>
  <c r="J30" i="5"/>
  <c r="I30" i="5"/>
  <c r="H30" i="5" s="1"/>
  <c r="C12" i="5"/>
  <c r="D72" i="5" s="1"/>
  <c r="E72" i="5" s="1"/>
  <c r="B12" i="5"/>
  <c r="D8" i="5"/>
  <c r="F8" i="5" s="1"/>
  <c r="G8" i="5" s="1"/>
  <c r="E7" i="5"/>
  <c r="I6" i="5"/>
  <c r="H6" i="5"/>
  <c r="D6" i="5"/>
  <c r="E6" i="5" s="1"/>
  <c r="I5" i="5"/>
  <c r="H5" i="5"/>
  <c r="D5" i="5"/>
  <c r="E5" i="5" s="1"/>
  <c r="J4" i="5"/>
  <c r="I4" i="5"/>
  <c r="H4" i="5" s="1"/>
  <c r="J3" i="5"/>
  <c r="I3" i="5"/>
  <c r="H3" i="5" s="1"/>
  <c r="J2" i="5"/>
  <c r="I2" i="5"/>
  <c r="H2" i="5" s="1"/>
  <c r="E70" i="3"/>
  <c r="C77" i="3"/>
  <c r="C76" i="3"/>
  <c r="C75" i="3"/>
  <c r="C12" i="3"/>
  <c r="D71" i="3" s="1"/>
  <c r="E71" i="3" s="1"/>
  <c r="D33" i="3"/>
  <c r="E33" i="3" s="1"/>
  <c r="D8" i="3"/>
  <c r="F8" i="3" s="1"/>
  <c r="G8" i="3" s="1"/>
  <c r="F72" i="3"/>
  <c r="I50" i="3"/>
  <c r="I49" i="3"/>
  <c r="H49" i="3" s="1"/>
  <c r="I48" i="3"/>
  <c r="I47" i="3"/>
  <c r="I46" i="3"/>
  <c r="I45" i="3"/>
  <c r="H45" i="3" s="1"/>
  <c r="J46" i="3"/>
  <c r="H46" i="3" s="1"/>
  <c r="J47" i="3"/>
  <c r="J45" i="3"/>
  <c r="D51" i="3"/>
  <c r="F51" i="3" s="1"/>
  <c r="D50" i="3"/>
  <c r="D49" i="3"/>
  <c r="E49" i="3" s="1"/>
  <c r="D48" i="3"/>
  <c r="E48" i="3" s="1"/>
  <c r="I32" i="3"/>
  <c r="I31" i="3"/>
  <c r="I30" i="3"/>
  <c r="J31" i="3"/>
  <c r="J32" i="3"/>
  <c r="J30" i="3"/>
  <c r="I35" i="3"/>
  <c r="I34" i="3"/>
  <c r="I33" i="3"/>
  <c r="D36" i="3"/>
  <c r="F36" i="3" s="1"/>
  <c r="D35" i="3"/>
  <c r="E35" i="3" s="1"/>
  <c r="D34" i="3"/>
  <c r="B12" i="3"/>
  <c r="I7" i="3"/>
  <c r="D7" i="3"/>
  <c r="E7" i="3" s="1"/>
  <c r="I6" i="3"/>
  <c r="D6" i="3"/>
  <c r="I5" i="3"/>
  <c r="D5" i="3"/>
  <c r="E5" i="3" s="1"/>
  <c r="J4" i="3"/>
  <c r="I4" i="3"/>
  <c r="J3" i="3"/>
  <c r="I3" i="3"/>
  <c r="H3" i="3" s="1"/>
  <c r="I2" i="3"/>
  <c r="J2" i="3"/>
  <c r="F7" i="2"/>
  <c r="F17" i="2"/>
  <c r="F27" i="2"/>
  <c r="D7" i="2"/>
  <c r="D27" i="2"/>
  <c r="D17" i="2"/>
  <c r="H17" i="2"/>
  <c r="H7" i="2"/>
  <c r="F65" i="9" l="1"/>
  <c r="G46" i="9"/>
  <c r="F7" i="4"/>
  <c r="G7" i="4" s="1"/>
  <c r="F47" i="4"/>
  <c r="G47" i="4" s="1"/>
  <c r="F49" i="5"/>
  <c r="G49" i="5" s="1"/>
  <c r="F34" i="5"/>
  <c r="G34" i="5" s="1"/>
  <c r="F6" i="5"/>
  <c r="G6" i="5" s="1"/>
  <c r="F28" i="4"/>
  <c r="G28" i="4" s="1"/>
  <c r="F49" i="3"/>
  <c r="G49" i="3" s="1"/>
  <c r="F7" i="5"/>
  <c r="G7" i="5" s="1"/>
  <c r="F35" i="5"/>
  <c r="G35" i="5" s="1"/>
  <c r="M53" i="4"/>
  <c r="F48" i="5"/>
  <c r="G48" i="5" s="1"/>
  <c r="F33" i="5"/>
  <c r="G33" i="5" s="1"/>
  <c r="K53" i="4"/>
  <c r="F27" i="9"/>
  <c r="H49" i="9"/>
  <c r="F8" i="9"/>
  <c r="H7" i="9"/>
  <c r="F80" i="9"/>
  <c r="F78" i="9"/>
  <c r="E7" i="9"/>
  <c r="E47" i="9"/>
  <c r="F28" i="9"/>
  <c r="F48" i="9"/>
  <c r="F5" i="9"/>
  <c r="E46" i="9"/>
  <c r="E5" i="9"/>
  <c r="E49" i="9"/>
  <c r="F26" i="9"/>
  <c r="G26" i="9" s="1"/>
  <c r="F6" i="9"/>
  <c r="G6" i="9" s="1"/>
  <c r="F25" i="9"/>
  <c r="L53" i="4"/>
  <c r="F49" i="4"/>
  <c r="G49" i="4" s="1"/>
  <c r="F48" i="4"/>
  <c r="G48" i="4" s="1"/>
  <c r="F46" i="4"/>
  <c r="G46" i="4" s="1"/>
  <c r="F27" i="4"/>
  <c r="G27" i="4" s="1"/>
  <c r="F25" i="4"/>
  <c r="G25" i="4" s="1"/>
  <c r="F26" i="4"/>
  <c r="G26" i="4" s="1"/>
  <c r="L32" i="4"/>
  <c r="E27" i="4"/>
  <c r="M32" i="4" s="1"/>
  <c r="E6" i="4"/>
  <c r="E5" i="4"/>
  <c r="M12" i="4" s="1"/>
  <c r="E8" i="4"/>
  <c r="F50" i="5"/>
  <c r="G50" i="5" s="1"/>
  <c r="D64" i="5"/>
  <c r="E71" i="5"/>
  <c r="D63" i="5" s="1"/>
  <c r="C63" i="5"/>
  <c r="E8" i="5"/>
  <c r="E51" i="5"/>
  <c r="E36" i="5"/>
  <c r="E50" i="5"/>
  <c r="D71" i="5"/>
  <c r="F5" i="5"/>
  <c r="G5" i="5" s="1"/>
  <c r="D70" i="5"/>
  <c r="E70" i="5" s="1"/>
  <c r="D62" i="5" s="1"/>
  <c r="C62" i="5"/>
  <c r="C64" i="5"/>
  <c r="D63" i="3"/>
  <c r="D70" i="3"/>
  <c r="D62" i="3" s="1"/>
  <c r="C62" i="3"/>
  <c r="C63" i="3"/>
  <c r="D72" i="3"/>
  <c r="E72" i="3" s="1"/>
  <c r="D64" i="3" s="1"/>
  <c r="C64" i="3"/>
  <c r="G51" i="3"/>
  <c r="H5" i="3"/>
  <c r="F5" i="3" s="1"/>
  <c r="G5" i="3" s="1"/>
  <c r="H50" i="3"/>
  <c r="F50" i="3" s="1"/>
  <c r="G50" i="3" s="1"/>
  <c r="H48" i="3"/>
  <c r="F48" i="3" s="1"/>
  <c r="G48" i="3" s="1"/>
  <c r="H47" i="3"/>
  <c r="E51" i="3"/>
  <c r="E50" i="3"/>
  <c r="E34" i="3"/>
  <c r="G36" i="3"/>
  <c r="E36" i="3"/>
  <c r="H31" i="3"/>
  <c r="H6" i="3"/>
  <c r="F6" i="3" s="1"/>
  <c r="G6" i="3" s="1"/>
  <c r="H30" i="3"/>
  <c r="H32" i="3"/>
  <c r="H7" i="3"/>
  <c r="F7" i="3" s="1"/>
  <c r="G7" i="3" s="1"/>
  <c r="E8" i="3"/>
  <c r="H4" i="3"/>
  <c r="H35" i="3"/>
  <c r="F35" i="3" s="1"/>
  <c r="G35" i="3" s="1"/>
  <c r="E6" i="3"/>
  <c r="H34" i="3"/>
  <c r="H33" i="3"/>
  <c r="H2" i="3"/>
  <c r="X50" i="1"/>
  <c r="H46" i="9" l="1"/>
  <c r="G5" i="9"/>
  <c r="H5" i="9"/>
  <c r="G48" i="9"/>
  <c r="H48" i="9"/>
  <c r="G28" i="9"/>
  <c r="H28" i="9"/>
  <c r="G27" i="9"/>
  <c r="H27" i="9"/>
  <c r="G25" i="9"/>
  <c r="H25" i="9"/>
  <c r="G8" i="9"/>
  <c r="H8" i="9"/>
  <c r="F34" i="3"/>
  <c r="G34" i="3" s="1"/>
  <c r="F33" i="3"/>
  <c r="G33" i="3" s="1"/>
  <c r="K24" i="1"/>
  <c r="W25" i="1" l="1"/>
  <c r="D31" i="5" l="1"/>
  <c r="D31" i="3"/>
  <c r="D30" i="3"/>
  <c r="D30" i="5"/>
  <c r="D45" i="5"/>
  <c r="D45" i="3"/>
  <c r="D2" i="4"/>
  <c r="D43" i="4"/>
  <c r="D22" i="9"/>
  <c r="D2" i="9"/>
  <c r="D2" i="3"/>
  <c r="D2" i="5"/>
  <c r="D22" i="4"/>
  <c r="D47" i="5"/>
  <c r="D47" i="3"/>
  <c r="D23" i="9"/>
  <c r="D3" i="9"/>
  <c r="D44" i="4"/>
  <c r="D3" i="3"/>
  <c r="D3" i="4"/>
  <c r="D3" i="5"/>
  <c r="D23" i="4"/>
  <c r="D46" i="5"/>
  <c r="D46" i="3"/>
  <c r="D32" i="3"/>
  <c r="D32" i="5"/>
  <c r="D4" i="3"/>
  <c r="D4" i="4"/>
  <c r="D45" i="4"/>
  <c r="D4" i="5"/>
  <c r="D24" i="9"/>
  <c r="D24" i="4"/>
  <c r="D4" i="9"/>
  <c r="E45" i="4" l="1"/>
  <c r="F45" i="4"/>
  <c r="G45" i="4" s="1"/>
  <c r="E23" i="4"/>
  <c r="F23" i="4"/>
  <c r="G23" i="4" s="1"/>
  <c r="E47" i="3"/>
  <c r="F47" i="3"/>
  <c r="G47" i="3" s="1"/>
  <c r="E43" i="4"/>
  <c r="F43" i="4"/>
  <c r="G43" i="4" s="1"/>
  <c r="E45" i="9"/>
  <c r="F3" i="5"/>
  <c r="G3" i="5" s="1"/>
  <c r="E3" i="5"/>
  <c r="F47" i="5"/>
  <c r="G47" i="5" s="1"/>
  <c r="E47" i="5"/>
  <c r="F2" i="4"/>
  <c r="G2" i="4" s="1"/>
  <c r="E2" i="4"/>
  <c r="E4" i="4"/>
  <c r="F4" i="4"/>
  <c r="G4" i="4" s="1"/>
  <c r="E44" i="9"/>
  <c r="F44" i="9"/>
  <c r="E22" i="4"/>
  <c r="F22" i="4"/>
  <c r="G22" i="4" s="1"/>
  <c r="E45" i="3"/>
  <c r="F45" i="3"/>
  <c r="G45" i="3" s="1"/>
  <c r="E4" i="3"/>
  <c r="F4" i="3"/>
  <c r="G4" i="3" s="1"/>
  <c r="E3" i="4"/>
  <c r="F3" i="4"/>
  <c r="G3" i="4" s="1"/>
  <c r="F2" i="5"/>
  <c r="G2" i="5" s="1"/>
  <c r="E2" i="5"/>
  <c r="E45" i="5"/>
  <c r="F45" i="5"/>
  <c r="G45" i="5" s="1"/>
  <c r="E4" i="9"/>
  <c r="F4" i="9"/>
  <c r="F32" i="5"/>
  <c r="G32" i="5" s="1"/>
  <c r="E32" i="5"/>
  <c r="E3" i="3"/>
  <c r="F3" i="3"/>
  <c r="G3" i="3" s="1"/>
  <c r="E43" i="9"/>
  <c r="F43" i="9"/>
  <c r="F30" i="5"/>
  <c r="G30" i="5" s="1"/>
  <c r="E30" i="5"/>
  <c r="F24" i="4"/>
  <c r="G24" i="4" s="1"/>
  <c r="E24" i="4"/>
  <c r="E32" i="3"/>
  <c r="F32" i="3"/>
  <c r="G32" i="3" s="1"/>
  <c r="E44" i="4"/>
  <c r="F44" i="4"/>
  <c r="G44" i="4" s="1"/>
  <c r="E2" i="3"/>
  <c r="E64" i="3" s="1"/>
  <c r="F2" i="3"/>
  <c r="G2" i="3" s="1"/>
  <c r="E30" i="3"/>
  <c r="F30" i="3"/>
  <c r="G30" i="3" s="1"/>
  <c r="F24" i="9"/>
  <c r="E24" i="9"/>
  <c r="E46" i="3"/>
  <c r="F46" i="3"/>
  <c r="G46" i="3" s="1"/>
  <c r="E3" i="9"/>
  <c r="F3" i="9"/>
  <c r="E2" i="9"/>
  <c r="F2" i="9"/>
  <c r="E31" i="3"/>
  <c r="F31" i="3"/>
  <c r="G31" i="3" s="1"/>
  <c r="F4" i="5"/>
  <c r="G4" i="5" s="1"/>
  <c r="E4" i="5"/>
  <c r="F46" i="5"/>
  <c r="G46" i="5" s="1"/>
  <c r="E46" i="5"/>
  <c r="F23" i="9"/>
  <c r="E23" i="9"/>
  <c r="F22" i="9"/>
  <c r="E22" i="9"/>
  <c r="F31" i="5"/>
  <c r="G31" i="5" s="1"/>
  <c r="E31" i="5"/>
  <c r="F63" i="3" l="1"/>
  <c r="N12" i="4"/>
  <c r="F63" i="5"/>
  <c r="N53" i="4"/>
  <c r="E62" i="3"/>
  <c r="G45" i="9"/>
  <c r="H45" i="9"/>
  <c r="F62" i="3"/>
  <c r="N32" i="4"/>
  <c r="G43" i="9"/>
  <c r="H43" i="9"/>
  <c r="G22" i="9"/>
  <c r="H22" i="9"/>
  <c r="G24" i="9"/>
  <c r="H24" i="9"/>
  <c r="F64" i="5"/>
  <c r="F62" i="5"/>
  <c r="G2" i="9"/>
  <c r="H2" i="9"/>
  <c r="G44" i="9"/>
  <c r="H44" i="9"/>
  <c r="G23" i="9"/>
  <c r="H23" i="9"/>
  <c r="E63" i="3"/>
  <c r="G3" i="9"/>
  <c r="H3" i="9"/>
  <c r="F64" i="3"/>
  <c r="G4" i="9"/>
  <c r="H4" i="9"/>
  <c r="H29" i="9" l="1"/>
  <c r="H9" i="9"/>
  <c r="H50" i="9"/>
  <c r="H78" i="9" l="1"/>
  <c r="H65" i="9"/>
  <c r="H67" i="9"/>
  <c r="J67" i="9" s="1"/>
  <c r="H80" i="9"/>
  <c r="J80" i="9" s="1"/>
  <c r="H79" i="9"/>
  <c r="J79" i="9" s="1"/>
  <c r="H66" i="9"/>
  <c r="J66" i="9" s="1"/>
  <c r="I65" i="9" l="1"/>
  <c r="J65" i="9" s="1"/>
  <c r="I78" i="9"/>
  <c r="J78" i="9" s="1"/>
</calcChain>
</file>

<file path=xl/sharedStrings.xml><?xml version="1.0" encoding="utf-8"?>
<sst xmlns="http://schemas.openxmlformats.org/spreadsheetml/2006/main" count="797" uniqueCount="136">
  <si>
    <t>WD buffer</t>
  </si>
  <si>
    <t>area</t>
  </si>
  <si>
    <t>power (W)</t>
  </si>
  <si>
    <t>corssbar sieze</t>
  </si>
  <si>
    <t>extra-parm</t>
  </si>
  <si>
    <t>BW=32</t>
  </si>
  <si>
    <t>WDS</t>
  </si>
  <si>
    <t>1GHz</t>
  </si>
  <si>
    <t>500MHz</t>
  </si>
  <si>
    <t>250MHz</t>
  </si>
  <si>
    <t>WD</t>
  </si>
  <si>
    <t>RD buffer</t>
  </si>
  <si>
    <t>DS=32</t>
  </si>
  <si>
    <t>DS=16</t>
  </si>
  <si>
    <t>DS=8</t>
  </si>
  <si>
    <t>up-down shift</t>
  </si>
  <si>
    <t>pow</t>
  </si>
  <si>
    <t>RDS reg</t>
  </si>
  <si>
    <t>Addition</t>
  </si>
  <si>
    <t>DS=32 ADC=16</t>
  </si>
  <si>
    <t>DS=32 ADC=8</t>
  </si>
  <si>
    <t>DS=32 ADC=4</t>
  </si>
  <si>
    <t>DS=32 ADC=2</t>
  </si>
  <si>
    <t>DS=16 ADC=32</t>
  </si>
  <si>
    <t>DS=16 ADC=16</t>
  </si>
  <si>
    <t>DS=16 ADC=8</t>
  </si>
  <si>
    <t>DS=16 ADC=4</t>
  </si>
  <si>
    <t>DS=8 ADC=64</t>
  </si>
  <si>
    <t>DS=8 ADC=32</t>
  </si>
  <si>
    <t>DS=8 ADC=16</t>
  </si>
  <si>
    <t>DS=8 ADC=8</t>
  </si>
  <si>
    <t>with first stage addition</t>
  </si>
  <si>
    <t>DS=16 ADC=2</t>
  </si>
  <si>
    <t>DS=8 ADC=4</t>
  </si>
  <si>
    <t>DS=8 ADC=2</t>
  </si>
  <si>
    <t>changing datatype size while number of ADC is fix</t>
  </si>
  <si>
    <t>controller</t>
  </si>
  <si>
    <t>ADC=8</t>
  </si>
  <si>
    <t>BW=8</t>
  </si>
  <si>
    <t>mem_size=1024</t>
  </si>
  <si>
    <t>it seems there is not that much changes over crossbar size</t>
  </si>
  <si>
    <t>crossbar size</t>
  </si>
  <si>
    <t>256-256</t>
  </si>
  <si>
    <t>max_DS</t>
  </si>
  <si>
    <t>DS</t>
  </si>
  <si>
    <t>ADC</t>
  </si>
  <si>
    <t>clk</t>
  </si>
  <si>
    <t>technology</t>
  </si>
  <si>
    <t>ReRAM</t>
  </si>
  <si>
    <t xml:space="preserve">performance </t>
  </si>
  <si>
    <t>Bnehcmark</t>
  </si>
  <si>
    <t>Gem</t>
  </si>
  <si>
    <t>256*256</t>
  </si>
  <si>
    <t>256*32</t>
  </si>
  <si>
    <t>crossbar energy</t>
  </si>
  <si>
    <t>ADC energy</t>
  </si>
  <si>
    <t>SH energy</t>
  </si>
  <si>
    <t>Configuration1</t>
  </si>
  <si>
    <t>Configuration2</t>
  </si>
  <si>
    <t>Configuration3</t>
  </si>
  <si>
    <t>512*512</t>
  </si>
  <si>
    <t>128*128</t>
  </si>
  <si>
    <t>64*64</t>
  </si>
  <si>
    <t>leak</t>
  </si>
  <si>
    <t>performance</t>
  </si>
  <si>
    <t>125MHz</t>
  </si>
  <si>
    <t>ADC=16</t>
  </si>
  <si>
    <t>RDS</t>
  </si>
  <si>
    <t>WD register</t>
  </si>
  <si>
    <t>RDS register</t>
  </si>
  <si>
    <t>Controller</t>
  </si>
  <si>
    <t>Specification</t>
  </si>
  <si>
    <t>crossbar</t>
  </si>
  <si>
    <t>Max DS</t>
  </si>
  <si>
    <t>#ADCs</t>
  </si>
  <si>
    <t>Clk</t>
  </si>
  <si>
    <t>Max pow</t>
  </si>
  <si>
    <t>Avg pow</t>
  </si>
  <si>
    <t>Active percentage</t>
  </si>
  <si>
    <t xml:space="preserve">Technology </t>
  </si>
  <si>
    <t>RERAM</t>
  </si>
  <si>
    <t>active (ns)</t>
  </si>
  <si>
    <t>period (ns)</t>
  </si>
  <si>
    <t>Max DS=32</t>
  </si>
  <si>
    <t xml:space="preserve"> MaxDS=32</t>
  </si>
  <si>
    <t xml:space="preserve"> Max DS=16</t>
  </si>
  <si>
    <t xml:space="preserve"> Max DS=32</t>
  </si>
  <si>
    <t>Max DS=16</t>
  </si>
  <si>
    <t>Max DS=8</t>
  </si>
  <si>
    <t>if ADC reslution is 128 otherwise it's almost 0</t>
  </si>
  <si>
    <t>pow max</t>
  </si>
  <si>
    <t>pow avg</t>
  </si>
  <si>
    <t xml:space="preserve">WD </t>
  </si>
  <si>
    <t xml:space="preserve">clok frequency </t>
  </si>
  <si>
    <t>500 MHz</t>
  </si>
  <si>
    <t>250 MHz</t>
  </si>
  <si>
    <t>1 GHz</t>
  </si>
  <si>
    <t>Digital</t>
  </si>
  <si>
    <t>Digital max pow</t>
  </si>
  <si>
    <t>Digital avg pow</t>
  </si>
  <si>
    <t>Analog max pow</t>
  </si>
  <si>
    <t>Analog avg pow</t>
  </si>
  <si>
    <t>powe max</t>
  </si>
  <si>
    <t>powe avg</t>
  </si>
  <si>
    <t>256*257</t>
  </si>
  <si>
    <t>256*258</t>
  </si>
  <si>
    <t>pow avg = read_latency/big period*pow max*32 times crossbar activattion)</t>
  </si>
  <si>
    <t>avg pow ADC</t>
  </si>
  <si>
    <t>max pow</t>
  </si>
  <si>
    <t>avg pow</t>
  </si>
  <si>
    <t>max powe ADC</t>
  </si>
  <si>
    <t>slack = 1ns</t>
  </si>
  <si>
    <t>Energy (nj)</t>
  </si>
  <si>
    <t>RWTH config</t>
  </si>
  <si>
    <t>energy (nJ)</t>
  </si>
  <si>
    <t>Delay = 10ns</t>
  </si>
  <si>
    <t>Read energy</t>
  </si>
  <si>
    <t>Write energy</t>
  </si>
  <si>
    <t>Analog energy</t>
  </si>
  <si>
    <t>Digital energy</t>
  </si>
  <si>
    <t>Total</t>
  </si>
  <si>
    <t>Energy per VMM</t>
  </si>
  <si>
    <t>actieve cells are (1/2 * 1/2)</t>
  </si>
  <si>
    <t>PCM config</t>
  </si>
  <si>
    <t>crossbar dimension</t>
  </si>
  <si>
    <t>Corssbar</t>
  </si>
  <si>
    <t xml:space="preserve">area um^2 </t>
  </si>
  <si>
    <t>Analog pick pow</t>
  </si>
  <si>
    <t>Digital pick pow</t>
  </si>
  <si>
    <t>Analog</t>
  </si>
  <si>
    <t>5,,3e-5</t>
  </si>
  <si>
    <t>RD Mask</t>
  </si>
  <si>
    <t>Analog energy (no pr)</t>
  </si>
  <si>
    <t>1ADC per 8 columns</t>
  </si>
  <si>
    <t>average power</t>
  </si>
  <si>
    <t>peak power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</si>
</sst>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7030A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42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1" fontId="0" fillId="2" borderId="0" xfId="0" applyNumberFormat="1" applyFill="1" applyBorder="1" applyAlignment="1">
      <alignment horizontal="center" vertical="center"/>
    </xf>
    <xf numFmtId="11" fontId="0" fillId="2" borderId="7" xfId="0" applyNumberFormat="1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1" fontId="0" fillId="6" borderId="0" xfId="0" applyNumberForma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11" fontId="0" fillId="4" borderId="0" xfId="0" applyNumberFormat="1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11" fontId="0" fillId="4" borderId="7" xfId="0" applyNumberFormat="1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11" fontId="0" fillId="7" borderId="0" xfId="0" applyNumberFormat="1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11" fontId="0" fillId="7" borderId="7" xfId="0" applyNumberFormat="1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0" fillId="9" borderId="3" xfId="0" applyFill="1" applyBorder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9" borderId="0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9" borderId="7" xfId="0" applyFill="1" applyBorder="1" applyAlignment="1">
      <alignment horizontal="center" vertical="center"/>
    </xf>
    <xf numFmtId="0" fontId="0" fillId="9" borderId="8" xfId="0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0" fillId="10" borderId="4" xfId="0" applyFill="1" applyBorder="1" applyAlignment="1">
      <alignment horizontal="center"/>
    </xf>
    <xf numFmtId="0" fontId="0" fillId="10" borderId="0" xfId="0" applyFill="1" applyBorder="1" applyAlignment="1">
      <alignment horizontal="center"/>
    </xf>
    <xf numFmtId="0" fontId="0" fillId="10" borderId="0" xfId="0" applyFill="1" applyAlignment="1">
      <alignment horizontal="center"/>
    </xf>
    <xf numFmtId="11" fontId="0" fillId="7" borderId="2" xfId="0" applyNumberFormat="1" applyFill="1" applyBorder="1" applyAlignment="1">
      <alignment horizontal="center" vertical="center"/>
    </xf>
    <xf numFmtId="11" fontId="0" fillId="2" borderId="2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11" fontId="5" fillId="0" borderId="0" xfId="0" applyNumberFormat="1" applyFont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0" fillId="2" borderId="9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13" borderId="0" xfId="0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9" borderId="4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Sheet3!$D$1</c:f>
              <c:strCache>
                <c:ptCount val="1"/>
                <c:pt idx="0">
                  <c:v>max pow</c:v>
                </c:pt>
              </c:strCache>
            </c:strRef>
          </c:tx>
          <c:spPr>
            <a:solidFill>
              <a:schemeClr val="accent1"/>
            </a:solidFill>
            <a:ln w="12700" cmpd="sng">
              <a:noFill/>
            </a:ln>
            <a:effectLst/>
          </c:spPr>
          <c:invertIfNegative val="0"/>
          <c:cat>
            <c:strRef>
              <c:f>Sheet3!$C$2:$C$8</c:f>
              <c:strCache>
                <c:ptCount val="7"/>
                <c:pt idx="0">
                  <c:v>WD buffer</c:v>
                </c:pt>
                <c:pt idx="1">
                  <c:v>WDS</c:v>
                </c:pt>
                <c:pt idx="2">
                  <c:v>WD </c:v>
                </c:pt>
                <c:pt idx="3">
                  <c:v>RD buffer</c:v>
                </c:pt>
                <c:pt idx="4">
                  <c:v>RDS</c:v>
                </c:pt>
                <c:pt idx="5">
                  <c:v>Addition</c:v>
                </c:pt>
                <c:pt idx="6">
                  <c:v>Controller</c:v>
                </c:pt>
              </c:strCache>
            </c:strRef>
          </c:cat>
          <c:val>
            <c:numRef>
              <c:f>Sheet3!$E$2:$E$8</c:f>
              <c:numCache>
                <c:formatCode>General</c:formatCode>
                <c:ptCount val="7"/>
                <c:pt idx="0">
                  <c:v>0.69</c:v>
                </c:pt>
                <c:pt idx="1">
                  <c:v>1.26</c:v>
                </c:pt>
                <c:pt idx="2">
                  <c:v>0.85</c:v>
                </c:pt>
                <c:pt idx="3">
                  <c:v>34</c:v>
                </c:pt>
                <c:pt idx="4">
                  <c:v>1.3</c:v>
                </c:pt>
                <c:pt idx="5">
                  <c:v>0</c:v>
                </c:pt>
                <c:pt idx="6">
                  <c:v>0.39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6C7D-4405-8236-129E018C201B}"/>
            </c:ext>
          </c:extLst>
        </c:ser>
        <c:ser>
          <c:idx val="1"/>
          <c:order val="1"/>
          <c:tx>
            <c:strRef>
              <c:f>Sheet3!$F$1</c:f>
              <c:strCache>
                <c:ptCount val="1"/>
                <c:pt idx="0">
                  <c:v>avg pow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Sheet3!$C$2:$C$8</c:f>
              <c:strCache>
                <c:ptCount val="7"/>
                <c:pt idx="0">
                  <c:v>WD buffer</c:v>
                </c:pt>
                <c:pt idx="1">
                  <c:v>WDS</c:v>
                </c:pt>
                <c:pt idx="2">
                  <c:v>WD </c:v>
                </c:pt>
                <c:pt idx="3">
                  <c:v>RD buffer</c:v>
                </c:pt>
                <c:pt idx="4">
                  <c:v>RDS</c:v>
                </c:pt>
                <c:pt idx="5">
                  <c:v>Addition</c:v>
                </c:pt>
                <c:pt idx="6">
                  <c:v>Controller</c:v>
                </c:pt>
              </c:strCache>
            </c:strRef>
          </c:cat>
          <c:val>
            <c:numRef>
              <c:f>Sheet3!$G$2:$G$8</c:f>
              <c:numCache>
                <c:formatCode>General</c:formatCode>
                <c:ptCount val="7"/>
                <c:pt idx="0">
                  <c:v>0.10280357142857142</c:v>
                </c:pt>
                <c:pt idx="1">
                  <c:v>3.0080357142857145E-2</c:v>
                </c:pt>
                <c:pt idx="2">
                  <c:v>7.2785714285714273E-2</c:v>
                </c:pt>
                <c:pt idx="3">
                  <c:v>12.766235741444868</c:v>
                </c:pt>
                <c:pt idx="4">
                  <c:v>0.12290874524714827</c:v>
                </c:pt>
                <c:pt idx="5">
                  <c:v>0</c:v>
                </c:pt>
                <c:pt idx="6">
                  <c:v>0.39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6C7D-4405-8236-129E018C20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2"/>
        <c:overlap val="-6"/>
        <c:axId val="396316160"/>
        <c:axId val="396315176"/>
      </c:barChart>
      <c:catAx>
        <c:axId val="396316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315176"/>
        <c:crosses val="autoZero"/>
        <c:auto val="1"/>
        <c:lblAlgn val="ctr"/>
        <c:lblOffset val="100"/>
        <c:noMultiLvlLbl val="0"/>
      </c:catAx>
      <c:valAx>
        <c:axId val="396315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power (mW)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316160"/>
        <c:crosses val="autoZero"/>
        <c:crossBetween val="between"/>
        <c:majorUnit val="4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597068481824072"/>
          <c:y val="0.18451539761200406"/>
          <c:w val="0.77438966429443534"/>
          <c:h val="0.56340287853378812"/>
        </c:manualLayout>
      </c:layout>
      <c:lineChart>
        <c:grouping val="standard"/>
        <c:varyColors val="0"/>
        <c:ser>
          <c:idx val="0"/>
          <c:order val="0"/>
          <c:tx>
            <c:strRef>
              <c:f>Sheet10!$C$6</c:f>
              <c:strCache>
                <c:ptCount val="1"/>
                <c:pt idx="0">
                  <c:v>Analog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Sheet10!$D$3:$G$3</c:f>
              <c:strCache>
                <c:ptCount val="4"/>
                <c:pt idx="0">
                  <c:v>64*64</c:v>
                </c:pt>
                <c:pt idx="1">
                  <c:v>128*128</c:v>
                </c:pt>
                <c:pt idx="2">
                  <c:v>256*256</c:v>
                </c:pt>
                <c:pt idx="3">
                  <c:v>512*512</c:v>
                </c:pt>
              </c:strCache>
            </c:strRef>
          </c:cat>
          <c:val>
            <c:numRef>
              <c:f>Sheet10!$D$6:$G$6</c:f>
              <c:numCache>
                <c:formatCode>General</c:formatCode>
                <c:ptCount val="4"/>
                <c:pt idx="0">
                  <c:v>9.7990656000000002E-3</c:v>
                </c:pt>
                <c:pt idx="1">
                  <c:v>1.9996262399999999E-2</c:v>
                </c:pt>
                <c:pt idx="2">
                  <c:v>4.15850496E-2</c:v>
                </c:pt>
                <c:pt idx="3">
                  <c:v>8.9540198399999993E-2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6A-48C3-9ABE-F4CD096B9470}"/>
            </c:ext>
          </c:extLst>
        </c:ser>
        <c:ser>
          <c:idx val="1"/>
          <c:order val="1"/>
          <c:tx>
            <c:strRef>
              <c:f>Sheet10!$C$14</c:f>
              <c:strCache>
                <c:ptCount val="1"/>
                <c:pt idx="0">
                  <c:v>Digital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Sheet10!$D$3:$G$3</c:f>
              <c:strCache>
                <c:ptCount val="4"/>
                <c:pt idx="0">
                  <c:v>64*64</c:v>
                </c:pt>
                <c:pt idx="1">
                  <c:v>128*128</c:v>
                </c:pt>
                <c:pt idx="2">
                  <c:v>256*256</c:v>
                </c:pt>
                <c:pt idx="3">
                  <c:v>512*512</c:v>
                </c:pt>
              </c:strCache>
            </c:strRef>
          </c:cat>
          <c:val>
            <c:numRef>
              <c:f>Sheet10!$D$14:$G$14</c:f>
              <c:numCache>
                <c:formatCode>General</c:formatCode>
                <c:ptCount val="4"/>
                <c:pt idx="0">
                  <c:v>2.9250000000000001E-3</c:v>
                </c:pt>
                <c:pt idx="1">
                  <c:v>5.8789999999999997E-3</c:v>
                </c:pt>
                <c:pt idx="2">
                  <c:v>1.1802E-2</c:v>
                </c:pt>
                <c:pt idx="3">
                  <c:v>2.3385E-2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6A-48C3-9ABE-F4CD096B94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2348840"/>
        <c:axId val="522349168"/>
      </c:lineChart>
      <c:catAx>
        <c:axId val="522348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Crossbar size</a:t>
                </a:r>
              </a:p>
            </c:rich>
          </c:tx>
          <c:layout>
            <c:manualLayout>
              <c:xMode val="edge"/>
              <c:yMode val="edge"/>
              <c:x val="0.46153464184851867"/>
              <c:y val="0.872122957924290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349168"/>
        <c:crosses val="autoZero"/>
        <c:auto val="1"/>
        <c:lblAlgn val="ctr"/>
        <c:lblOffset val="100"/>
        <c:noMultiLvlLbl val="0"/>
      </c:catAx>
      <c:valAx>
        <c:axId val="52234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area</a:t>
                </a:r>
                <a:r>
                  <a:rPr lang="en-US" sz="1100" baseline="0">
                    <a:solidFill>
                      <a:schemeClr val="tx1"/>
                    </a:solidFill>
                  </a:rPr>
                  <a:t> (mm2)</a:t>
                </a:r>
              </a:p>
            </c:rich>
          </c:tx>
          <c:layout>
            <c:manualLayout>
              <c:xMode val="edge"/>
              <c:yMode val="edge"/>
              <c:x val="1.0986137786496522E-2"/>
              <c:y val="0.324228061114908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348840"/>
        <c:crosses val="autoZero"/>
        <c:crossBetween val="between"/>
        <c:majorUnit val="3.0000000000000006E-2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Sheet3!$C$61</c:f>
              <c:strCache>
                <c:ptCount val="1"/>
                <c:pt idx="0">
                  <c:v>Analog max pow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Sheet3!$B$62:$B$64</c:f>
              <c:strCache>
                <c:ptCount val="3"/>
                <c:pt idx="0">
                  <c:v>250 MHz</c:v>
                </c:pt>
                <c:pt idx="1">
                  <c:v>500 MHz</c:v>
                </c:pt>
                <c:pt idx="2">
                  <c:v>1 GHz</c:v>
                </c:pt>
              </c:strCache>
            </c:strRef>
          </c:cat>
          <c:val>
            <c:numRef>
              <c:f>Sheet3!$C$62:$C$64</c:f>
              <c:numCache>
                <c:formatCode>General</c:formatCode>
                <c:ptCount val="3"/>
                <c:pt idx="0">
                  <c:v>264.47872000000007</c:v>
                </c:pt>
                <c:pt idx="1">
                  <c:v>264.47872000000007</c:v>
                </c:pt>
                <c:pt idx="2">
                  <c:v>264.47872000000007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52A-45A8-8657-3C0BAC705C31}"/>
            </c:ext>
          </c:extLst>
        </c:ser>
        <c:ser>
          <c:idx val="1"/>
          <c:order val="1"/>
          <c:tx>
            <c:strRef>
              <c:f>Sheet3!$D$61</c:f>
              <c:strCache>
                <c:ptCount val="1"/>
                <c:pt idx="0">
                  <c:v>Analog avg pow</c:v>
                </c:pt>
              </c:strCache>
            </c:strRef>
          </c:tx>
          <c:spPr>
            <a:pattFill prst="dkUpDiag">
              <a:fgClr>
                <a:schemeClr val="accent5">
                  <a:lumMod val="40000"/>
                  <a:lumOff val="60000"/>
                </a:schemeClr>
              </a:fgClr>
              <a:bgClr>
                <a:schemeClr val="bg1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Sheet3!$B$62:$B$64</c:f>
              <c:strCache>
                <c:ptCount val="3"/>
                <c:pt idx="0">
                  <c:v>250 MHz</c:v>
                </c:pt>
                <c:pt idx="1">
                  <c:v>500 MHz</c:v>
                </c:pt>
                <c:pt idx="2">
                  <c:v>1 GHz</c:v>
                </c:pt>
              </c:strCache>
            </c:strRef>
          </c:cat>
          <c:val>
            <c:numRef>
              <c:f>Sheet3!$D$62:$D$64</c:f>
              <c:numCache>
                <c:formatCode>General</c:formatCode>
                <c:ptCount val="3"/>
                <c:pt idx="0">
                  <c:v>29.537014114513987</c:v>
                </c:pt>
                <c:pt idx="1">
                  <c:v>58.838985676392589</c:v>
                </c:pt>
                <c:pt idx="2">
                  <c:v>112.45778250950572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52A-45A8-8657-3C0BAC705C31}"/>
            </c:ext>
          </c:extLst>
        </c:ser>
        <c:ser>
          <c:idx val="2"/>
          <c:order val="2"/>
          <c:tx>
            <c:strRef>
              <c:f>Sheet3!$E$61</c:f>
              <c:strCache>
                <c:ptCount val="1"/>
                <c:pt idx="0">
                  <c:v>Digital max pow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Sheet3!$B$62:$B$64</c:f>
              <c:strCache>
                <c:ptCount val="3"/>
                <c:pt idx="0">
                  <c:v>250 MHz</c:v>
                </c:pt>
                <c:pt idx="1">
                  <c:v>500 MHz</c:v>
                </c:pt>
                <c:pt idx="2">
                  <c:v>1 GHz</c:v>
                </c:pt>
              </c:strCache>
            </c:strRef>
          </c:cat>
          <c:val>
            <c:numRef>
              <c:f>Sheet3!$E$62:$E$64</c:f>
              <c:numCache>
                <c:formatCode>General</c:formatCode>
                <c:ptCount val="3"/>
                <c:pt idx="0">
                  <c:v>9</c:v>
                </c:pt>
                <c:pt idx="1">
                  <c:v>17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52A-45A8-8657-3C0BAC705C31}"/>
            </c:ext>
          </c:extLst>
        </c:ser>
        <c:ser>
          <c:idx val="3"/>
          <c:order val="3"/>
          <c:tx>
            <c:strRef>
              <c:f>Sheet3!$F$61</c:f>
              <c:strCache>
                <c:ptCount val="1"/>
                <c:pt idx="0">
                  <c:v>Digital avg pow</c:v>
                </c:pt>
              </c:strCache>
            </c:strRef>
          </c:tx>
          <c:spPr>
            <a:pattFill prst="dkUpDiag">
              <a:fgClr>
                <a:schemeClr val="accent2">
                  <a:lumMod val="60000"/>
                  <a:lumOff val="40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Sheet3!$B$62:$B$64</c:f>
              <c:strCache>
                <c:ptCount val="3"/>
                <c:pt idx="0">
                  <c:v>250 MHz</c:v>
                </c:pt>
                <c:pt idx="1">
                  <c:v>500 MHz</c:v>
                </c:pt>
                <c:pt idx="2">
                  <c:v>1 GHz</c:v>
                </c:pt>
              </c:strCache>
            </c:strRef>
          </c:cat>
          <c:val>
            <c:numRef>
              <c:f>Sheet3!$F$62:$F$64</c:f>
              <c:numCache>
                <c:formatCode>General</c:formatCode>
                <c:ptCount val="3"/>
                <c:pt idx="0">
                  <c:v>4.7825141612984483</c:v>
                </c:pt>
                <c:pt idx="1">
                  <c:v>8.7500115085137331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52A-45A8-8657-3C0BAC705C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7920944"/>
        <c:axId val="567918976"/>
      </c:barChart>
      <c:catAx>
        <c:axId val="567920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918976"/>
        <c:crosses val="autoZero"/>
        <c:auto val="1"/>
        <c:lblAlgn val="ctr"/>
        <c:lblOffset val="100"/>
        <c:noMultiLvlLbl val="0"/>
      </c:catAx>
      <c:valAx>
        <c:axId val="56791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power (mW)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920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Sheet4!$D$1</c:f>
              <c:strCache>
                <c:ptCount val="1"/>
                <c:pt idx="0">
                  <c:v>peak power</c:v>
                </c:pt>
              </c:strCache>
            </c:strRef>
          </c:tx>
          <c:spPr>
            <a:solidFill>
              <a:schemeClr val="accent1"/>
            </a:solidFill>
            <a:ln w="12700" cmpd="sng">
              <a:noFill/>
            </a:ln>
            <a:effectLst/>
          </c:spPr>
          <c:invertIfNegative val="0"/>
          <c:cat>
            <c:strRef>
              <c:f>Sheet4!$C$2:$C$8</c:f>
              <c:strCache>
                <c:ptCount val="7"/>
                <c:pt idx="0">
                  <c:v>WD buffer</c:v>
                </c:pt>
                <c:pt idx="1">
                  <c:v>WDS</c:v>
                </c:pt>
                <c:pt idx="2">
                  <c:v>WD </c:v>
                </c:pt>
                <c:pt idx="3">
                  <c:v>RD buffer</c:v>
                </c:pt>
                <c:pt idx="4">
                  <c:v>RD Mask</c:v>
                </c:pt>
                <c:pt idx="5">
                  <c:v>Addition</c:v>
                </c:pt>
                <c:pt idx="6">
                  <c:v>Controller</c:v>
                </c:pt>
              </c:strCache>
            </c:strRef>
          </c:cat>
          <c:val>
            <c:numRef>
              <c:f>Sheet4!$E$2:$E$8</c:f>
              <c:numCache>
                <c:formatCode>General</c:formatCode>
                <c:ptCount val="7"/>
                <c:pt idx="0">
                  <c:v>0.69</c:v>
                </c:pt>
                <c:pt idx="1">
                  <c:v>1.26</c:v>
                </c:pt>
                <c:pt idx="2">
                  <c:v>0.85</c:v>
                </c:pt>
                <c:pt idx="3">
                  <c:v>34</c:v>
                </c:pt>
                <c:pt idx="4">
                  <c:v>1.3</c:v>
                </c:pt>
                <c:pt idx="5">
                  <c:v>6</c:v>
                </c:pt>
                <c:pt idx="6">
                  <c:v>0.39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F6-4CA0-81E6-7E9BE7BBC88D}"/>
            </c:ext>
          </c:extLst>
        </c:ser>
        <c:ser>
          <c:idx val="1"/>
          <c:order val="1"/>
          <c:tx>
            <c:strRef>
              <c:f>Sheet4!$F$1</c:f>
              <c:strCache>
                <c:ptCount val="1"/>
                <c:pt idx="0">
                  <c:v>average power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Sheet4!$C$2:$C$8</c:f>
              <c:strCache>
                <c:ptCount val="7"/>
                <c:pt idx="0">
                  <c:v>WD buffer</c:v>
                </c:pt>
                <c:pt idx="1">
                  <c:v>WDS</c:v>
                </c:pt>
                <c:pt idx="2">
                  <c:v>WD </c:v>
                </c:pt>
                <c:pt idx="3">
                  <c:v>RD buffer</c:v>
                </c:pt>
                <c:pt idx="4">
                  <c:v>RD Mask</c:v>
                </c:pt>
                <c:pt idx="5">
                  <c:v>Addition</c:v>
                </c:pt>
                <c:pt idx="6">
                  <c:v>Controller</c:v>
                </c:pt>
              </c:strCache>
            </c:strRef>
          </c:cat>
          <c:val>
            <c:numRef>
              <c:f>Sheet4!$G$2:$G$8</c:f>
              <c:numCache>
                <c:formatCode>General</c:formatCode>
                <c:ptCount val="7"/>
                <c:pt idx="0">
                  <c:v>0.10280357142857142</c:v>
                </c:pt>
                <c:pt idx="1">
                  <c:v>3.0080357142857145E-2</c:v>
                </c:pt>
                <c:pt idx="2">
                  <c:v>7.2785714285714273E-2</c:v>
                </c:pt>
                <c:pt idx="3">
                  <c:v>4.5728</c:v>
                </c:pt>
                <c:pt idx="4">
                  <c:v>5.3159999999999999E-2</c:v>
                </c:pt>
                <c:pt idx="5">
                  <c:v>4.8346666666666662</c:v>
                </c:pt>
                <c:pt idx="6">
                  <c:v>0.39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F6-4CA0-81E6-7E9BE7BBC8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2"/>
        <c:overlap val="-6"/>
        <c:axId val="396316160"/>
        <c:axId val="396315176"/>
      </c:barChart>
      <c:catAx>
        <c:axId val="396316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315176"/>
        <c:crosses val="autoZero"/>
        <c:auto val="1"/>
        <c:lblAlgn val="ctr"/>
        <c:lblOffset val="100"/>
        <c:noMultiLvlLbl val="0"/>
      </c:catAx>
      <c:valAx>
        <c:axId val="396315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power (mW)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316160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001436277381319"/>
          <c:y val="0.16571412948381453"/>
          <c:w val="0.81909295821615902"/>
          <c:h val="0.6382516768737240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Sheet4!$C$61</c:f>
              <c:strCache>
                <c:ptCount val="1"/>
                <c:pt idx="0">
                  <c:v>Analog pick pow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Sheet4!$B$62:$B$64</c:f>
              <c:strCache>
                <c:ptCount val="3"/>
                <c:pt idx="0">
                  <c:v>250 MHz</c:v>
                </c:pt>
                <c:pt idx="1">
                  <c:v>500 MHz</c:v>
                </c:pt>
                <c:pt idx="2">
                  <c:v>1 GHz</c:v>
                </c:pt>
              </c:strCache>
            </c:strRef>
          </c:cat>
          <c:val>
            <c:numRef>
              <c:f>Sheet4!$C$62:$C$64</c:f>
              <c:numCache>
                <c:formatCode>General</c:formatCode>
                <c:ptCount val="3"/>
                <c:pt idx="0">
                  <c:v>264.47872000000007</c:v>
                </c:pt>
                <c:pt idx="1">
                  <c:v>264.47872000000007</c:v>
                </c:pt>
                <c:pt idx="2">
                  <c:v>264.47872000000007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D3-4A32-BC87-609BAA13E3E6}"/>
            </c:ext>
          </c:extLst>
        </c:ser>
        <c:ser>
          <c:idx val="1"/>
          <c:order val="1"/>
          <c:tx>
            <c:strRef>
              <c:f>Sheet4!$D$61</c:f>
              <c:strCache>
                <c:ptCount val="1"/>
                <c:pt idx="0">
                  <c:v>Analog avg pow</c:v>
                </c:pt>
              </c:strCache>
            </c:strRef>
          </c:tx>
          <c:spPr>
            <a:pattFill prst="dkUpDiag">
              <a:fgClr>
                <a:schemeClr val="accent5">
                  <a:lumMod val="40000"/>
                  <a:lumOff val="60000"/>
                </a:schemeClr>
              </a:fgClr>
              <a:bgClr>
                <a:schemeClr val="bg1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Sheet4!$B$62:$B$64</c:f>
              <c:strCache>
                <c:ptCount val="3"/>
                <c:pt idx="0">
                  <c:v>250 MHz</c:v>
                </c:pt>
                <c:pt idx="1">
                  <c:v>500 MHz</c:v>
                </c:pt>
                <c:pt idx="2">
                  <c:v>1 GHz</c:v>
                </c:pt>
              </c:strCache>
            </c:strRef>
          </c:cat>
          <c:val>
            <c:numRef>
              <c:f>Sheet4!$D$62:$D$64</c:f>
              <c:numCache>
                <c:formatCode>General</c:formatCode>
                <c:ptCount val="3"/>
                <c:pt idx="0">
                  <c:v>17.273801367989059</c:v>
                </c:pt>
                <c:pt idx="1">
                  <c:v>35.197627317073177</c:v>
                </c:pt>
                <c:pt idx="2">
                  <c:v>42.090496000000009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D3-4A32-BC87-609BAA13E3E6}"/>
            </c:ext>
          </c:extLst>
        </c:ser>
        <c:ser>
          <c:idx val="2"/>
          <c:order val="2"/>
          <c:tx>
            <c:strRef>
              <c:f>Sheet4!$E$61</c:f>
              <c:strCache>
                <c:ptCount val="1"/>
                <c:pt idx="0">
                  <c:v>Digital pick pow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Sheet4!$B$62:$B$64</c:f>
              <c:strCache>
                <c:ptCount val="3"/>
                <c:pt idx="0">
                  <c:v>250 MHz</c:v>
                </c:pt>
                <c:pt idx="1">
                  <c:v>500 MHz</c:v>
                </c:pt>
                <c:pt idx="2">
                  <c:v>1 GHz</c:v>
                </c:pt>
              </c:strCache>
            </c:strRef>
          </c:cat>
          <c:val>
            <c:numRef>
              <c:f>Sheet4!$E$62:$E$64</c:f>
              <c:numCache>
                <c:formatCode>General</c:formatCode>
                <c:ptCount val="3"/>
                <c:pt idx="0">
                  <c:v>10.6</c:v>
                </c:pt>
                <c:pt idx="1">
                  <c:v>20.12</c:v>
                </c:pt>
                <c:pt idx="2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8D3-4A32-BC87-609BAA13E3E6}"/>
            </c:ext>
          </c:extLst>
        </c:ser>
        <c:ser>
          <c:idx val="3"/>
          <c:order val="3"/>
          <c:tx>
            <c:strRef>
              <c:f>Sheet4!$F$61</c:f>
              <c:strCache>
                <c:ptCount val="1"/>
                <c:pt idx="0">
                  <c:v>Digital avg pow</c:v>
                </c:pt>
              </c:strCache>
            </c:strRef>
          </c:tx>
          <c:spPr>
            <a:pattFill prst="dkUpDiag">
              <a:fgClr>
                <a:schemeClr val="accent2">
                  <a:lumMod val="60000"/>
                  <a:lumOff val="40000"/>
                </a:schemeClr>
              </a:fgClr>
              <a:bgClr>
                <a:schemeClr val="bg1"/>
              </a:bgClr>
            </a:pattFill>
            <a:ln>
              <a:solidFill>
                <a:schemeClr val="accent2"/>
              </a:solidFill>
            </a:ln>
            <a:effectLst/>
          </c:spPr>
          <c:invertIfNegative val="0"/>
          <c:cat>
            <c:strRef>
              <c:f>Sheet4!$B$62:$B$64</c:f>
              <c:strCache>
                <c:ptCount val="3"/>
                <c:pt idx="0">
                  <c:v>250 MHz</c:v>
                </c:pt>
                <c:pt idx="1">
                  <c:v>500 MHz</c:v>
                </c:pt>
                <c:pt idx="2">
                  <c:v>1 GHz</c:v>
                </c:pt>
              </c:strCache>
            </c:strRef>
          </c:cat>
          <c:val>
            <c:numRef>
              <c:f>Sheet4!$F$62:$F$64</c:f>
              <c:numCache>
                <c:formatCode>General</c:formatCode>
                <c:ptCount val="3"/>
                <c:pt idx="0">
                  <c:v>3.0062984434502904</c:v>
                </c:pt>
                <c:pt idx="1">
                  <c:v>6.72155903113409</c:v>
                </c:pt>
                <c:pt idx="2">
                  <c:v>10.056296309523809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8D3-4A32-BC87-609BAA13E3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7920944"/>
        <c:axId val="567918976"/>
      </c:barChart>
      <c:catAx>
        <c:axId val="567920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clock frequency </a:t>
                </a:r>
              </a:p>
            </c:rich>
          </c:tx>
          <c:layout>
            <c:manualLayout>
              <c:xMode val="edge"/>
              <c:yMode val="edge"/>
              <c:x val="0.45253175123896899"/>
              <c:y val="0.896157407407407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918976"/>
        <c:crosses val="autoZero"/>
        <c:auto val="1"/>
        <c:lblAlgn val="ctr"/>
        <c:lblOffset val="100"/>
        <c:noMultiLvlLbl val="0"/>
      </c:catAx>
      <c:valAx>
        <c:axId val="56791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power (mW)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920944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Sheet4!$D$1</c:f>
              <c:strCache>
                <c:ptCount val="1"/>
                <c:pt idx="0">
                  <c:v>peak power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Sheet4!$C$2:$C$8</c:f>
              <c:strCache>
                <c:ptCount val="7"/>
                <c:pt idx="0">
                  <c:v>WD buffer</c:v>
                </c:pt>
                <c:pt idx="1">
                  <c:v>WDS</c:v>
                </c:pt>
                <c:pt idx="2">
                  <c:v>WD </c:v>
                </c:pt>
                <c:pt idx="3">
                  <c:v>RD buffer</c:v>
                </c:pt>
                <c:pt idx="4">
                  <c:v>RD Mask</c:v>
                </c:pt>
                <c:pt idx="5">
                  <c:v>Addition</c:v>
                </c:pt>
                <c:pt idx="6">
                  <c:v>Controller</c:v>
                </c:pt>
              </c:strCache>
            </c:strRef>
          </c:cat>
          <c:val>
            <c:numRef>
              <c:f>Sheet4!$E$45:$E$51</c:f>
              <c:numCache>
                <c:formatCode>General</c:formatCode>
                <c:ptCount val="7"/>
                <c:pt idx="0">
                  <c:v>0.18000000000000002</c:v>
                </c:pt>
                <c:pt idx="1">
                  <c:v>0.32</c:v>
                </c:pt>
                <c:pt idx="2">
                  <c:v>0.224</c:v>
                </c:pt>
                <c:pt idx="3">
                  <c:v>9</c:v>
                </c:pt>
                <c:pt idx="4">
                  <c:v>0.35</c:v>
                </c:pt>
                <c:pt idx="5">
                  <c:v>1.6</c:v>
                </c:pt>
                <c:pt idx="6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F1-4CB1-B796-2A1CBA8F4D3B}"/>
            </c:ext>
          </c:extLst>
        </c:ser>
        <c:ser>
          <c:idx val="1"/>
          <c:order val="1"/>
          <c:tx>
            <c:strRef>
              <c:f>Sheet4!$F$1</c:f>
              <c:strCache>
                <c:ptCount val="1"/>
                <c:pt idx="0">
                  <c:v>average power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Sheet4!$C$2:$C$8</c:f>
              <c:strCache>
                <c:ptCount val="7"/>
                <c:pt idx="0">
                  <c:v>WD buffer</c:v>
                </c:pt>
                <c:pt idx="1">
                  <c:v>WDS</c:v>
                </c:pt>
                <c:pt idx="2">
                  <c:v>WD </c:v>
                </c:pt>
                <c:pt idx="3">
                  <c:v>RD buffer</c:v>
                </c:pt>
                <c:pt idx="4">
                  <c:v>RD Mask</c:v>
                </c:pt>
                <c:pt idx="5">
                  <c:v>Addition</c:v>
                </c:pt>
                <c:pt idx="6">
                  <c:v>Controller</c:v>
                </c:pt>
              </c:strCache>
            </c:strRef>
          </c:cat>
          <c:val>
            <c:numRef>
              <c:f>Sheet4!$G$45:$G$51</c:f>
              <c:numCache>
                <c:formatCode>General</c:formatCode>
                <c:ptCount val="7"/>
                <c:pt idx="0">
                  <c:v>8.0108108108108117E-2</c:v>
                </c:pt>
                <c:pt idx="1">
                  <c:v>2.7135135135135133E-2</c:v>
                </c:pt>
                <c:pt idx="2">
                  <c:v>5.9405405405405405E-2</c:v>
                </c:pt>
                <c:pt idx="3">
                  <c:v>1.8069493844049245</c:v>
                </c:pt>
                <c:pt idx="4">
                  <c:v>1.5321477428180574E-2</c:v>
                </c:pt>
                <c:pt idx="5">
                  <c:v>0.91737893296853623</c:v>
                </c:pt>
                <c:pt idx="6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F1-4CB1-B796-2A1CBA8F4D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2"/>
        <c:overlap val="-6"/>
        <c:axId val="396316160"/>
        <c:axId val="396315176"/>
      </c:barChart>
      <c:catAx>
        <c:axId val="396316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315176"/>
        <c:crosses val="autoZero"/>
        <c:auto val="1"/>
        <c:lblAlgn val="ctr"/>
        <c:lblOffset val="100"/>
        <c:noMultiLvlLbl val="0"/>
      </c:catAx>
      <c:valAx>
        <c:axId val="396315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power (mW)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316160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137164561519138"/>
          <c:y val="0.16289552347623215"/>
          <c:w val="0.80613890182859571"/>
          <c:h val="0.6410702828813066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Sheet5!$K$52</c:f>
              <c:strCache>
                <c:ptCount val="1"/>
                <c:pt idx="0">
                  <c:v>Analog pick pow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(Sheet5!$B$46,Sheet5!$B$25,Sheet5!$B$5)</c:f>
              <c:numCache>
                <c:formatCode>General</c:formatCode>
                <c:ptCount val="3"/>
                <c:pt idx="0">
                  <c:v>8</c:v>
                </c:pt>
                <c:pt idx="1">
                  <c:v>16</c:v>
                </c:pt>
                <c:pt idx="2">
                  <c:v>32</c:v>
                </c:pt>
              </c:numCache>
            </c:numRef>
          </c:cat>
          <c:val>
            <c:numRef>
              <c:f>(Sheet5!$K$53,Sheet5!$K$32,Sheet5!$K$12)</c:f>
              <c:numCache>
                <c:formatCode>General</c:formatCode>
                <c:ptCount val="3"/>
                <c:pt idx="0">
                  <c:v>132.23936000000003</c:v>
                </c:pt>
                <c:pt idx="1">
                  <c:v>132.23936000000003</c:v>
                </c:pt>
                <c:pt idx="2">
                  <c:v>132.23936000000003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A7-4BA9-A40D-8381543F5E48}"/>
            </c:ext>
          </c:extLst>
        </c:ser>
        <c:ser>
          <c:idx val="1"/>
          <c:order val="1"/>
          <c:tx>
            <c:strRef>
              <c:f>Sheet5!$L$52</c:f>
              <c:strCache>
                <c:ptCount val="1"/>
                <c:pt idx="0">
                  <c:v>Analog avg pow</c:v>
                </c:pt>
              </c:strCache>
            </c:strRef>
          </c:tx>
          <c:spPr>
            <a:pattFill prst="ltUpDiag">
              <a:fgClr>
                <a:schemeClr val="accent1"/>
              </a:fgClr>
              <a:bgClr>
                <a:schemeClr val="bg1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val>
            <c:numRef>
              <c:f>(Sheet5!$L$53,Sheet5!$L$32,Sheet5!$L$12)</c:f>
              <c:numCache>
                <c:formatCode>General</c:formatCode>
                <c:ptCount val="3"/>
                <c:pt idx="0">
                  <c:v>35.968501960784323</c:v>
                </c:pt>
                <c:pt idx="1">
                  <c:v>35.968501960784323</c:v>
                </c:pt>
                <c:pt idx="2">
                  <c:v>24.458581333333338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A7-4BA9-A40D-8381543F5E48}"/>
            </c:ext>
          </c:extLst>
        </c:ser>
        <c:ser>
          <c:idx val="2"/>
          <c:order val="2"/>
          <c:tx>
            <c:strRef>
              <c:f>Sheet5!$M$52</c:f>
              <c:strCache>
                <c:ptCount val="1"/>
                <c:pt idx="0">
                  <c:v>Digital pick pow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(Sheet5!$M$53,Sheet5!$M$32,Sheet5!$M$12)</c:f>
              <c:numCache>
                <c:formatCode>General</c:formatCode>
                <c:ptCount val="3"/>
                <c:pt idx="0">
                  <c:v>17.600000000000001</c:v>
                </c:pt>
                <c:pt idx="1">
                  <c:v>21.8</c:v>
                </c:pt>
                <c:pt idx="2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8A7-4BA9-A40D-8381543F5E48}"/>
            </c:ext>
          </c:extLst>
        </c:ser>
        <c:ser>
          <c:idx val="3"/>
          <c:order val="3"/>
          <c:tx>
            <c:strRef>
              <c:f>Sheet5!$N$52</c:f>
              <c:strCache>
                <c:ptCount val="1"/>
                <c:pt idx="0">
                  <c:v>Digital avg pow</c:v>
                </c:pt>
              </c:strCache>
            </c:strRef>
          </c:tx>
          <c:spPr>
            <a:pattFill prst="ltUpDiag">
              <a:fgClr>
                <a:schemeClr val="accent2"/>
              </a:fgClr>
              <a:bgClr>
                <a:schemeClr val="bg1"/>
              </a:bgClr>
            </a:pattFill>
            <a:ln>
              <a:solidFill>
                <a:schemeClr val="accent2"/>
              </a:solidFill>
            </a:ln>
            <a:effectLst/>
          </c:spPr>
          <c:invertIfNegative val="0"/>
          <c:val>
            <c:numRef>
              <c:f>(Sheet5!$N$53,Sheet5!$N$32,Sheet5!$N$12)</c:f>
              <c:numCache>
                <c:formatCode>General</c:formatCode>
                <c:ptCount val="3"/>
                <c:pt idx="0">
                  <c:v>8.1717430672268918</c:v>
                </c:pt>
                <c:pt idx="1">
                  <c:v>8.2089632352941173</c:v>
                </c:pt>
                <c:pt idx="2">
                  <c:v>10.056296309523809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8A7-4BA9-A40D-8381543F5E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3127792"/>
        <c:axId val="512011848"/>
      </c:barChart>
      <c:catAx>
        <c:axId val="403127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>
                    <a:solidFill>
                      <a:schemeClr val="tx1"/>
                    </a:solidFill>
                  </a:rPr>
                  <a:t>data type size (bit) </a:t>
                </a:r>
              </a:p>
            </c:rich>
          </c:tx>
          <c:layout>
            <c:manualLayout>
              <c:xMode val="edge"/>
              <c:yMode val="edge"/>
              <c:x val="0.43347162475403256"/>
              <c:y val="0.896157407407407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011848"/>
        <c:crosses val="autoZero"/>
        <c:auto val="1"/>
        <c:lblAlgn val="ctr"/>
        <c:lblOffset val="100"/>
        <c:noMultiLvlLbl val="0"/>
      </c:catAx>
      <c:valAx>
        <c:axId val="512011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>
                    <a:solidFill>
                      <a:schemeClr val="tx1"/>
                    </a:solidFill>
                  </a:rPr>
                  <a:t>power</a:t>
                </a:r>
                <a:r>
                  <a:rPr lang="en-US" sz="1200" b="0" baseline="0">
                    <a:solidFill>
                      <a:schemeClr val="tx1"/>
                    </a:solidFill>
                  </a:rPr>
                  <a:t> (mW)</a:t>
                </a:r>
              </a:p>
            </c:rich>
          </c:tx>
          <c:layout>
            <c:manualLayout>
              <c:xMode val="edge"/>
              <c:yMode val="edge"/>
              <c:x val="2.3628692768154849E-2"/>
              <c:y val="0.313179862933799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127792"/>
        <c:crosses val="autoZero"/>
        <c:crossBetween val="between"/>
        <c:majorUnit val="25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Sheet4!$D$1</c:f>
              <c:strCache>
                <c:ptCount val="1"/>
                <c:pt idx="0">
                  <c:v>peak power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Sheet4!$C$2:$C$8</c:f>
              <c:strCache>
                <c:ptCount val="7"/>
                <c:pt idx="0">
                  <c:v>WD buffer</c:v>
                </c:pt>
                <c:pt idx="1">
                  <c:v>WDS</c:v>
                </c:pt>
                <c:pt idx="2">
                  <c:v>WD </c:v>
                </c:pt>
                <c:pt idx="3">
                  <c:v>RD buffer</c:v>
                </c:pt>
                <c:pt idx="4">
                  <c:v>RD Mask</c:v>
                </c:pt>
                <c:pt idx="5">
                  <c:v>Addition</c:v>
                </c:pt>
                <c:pt idx="6">
                  <c:v>Controller</c:v>
                </c:pt>
              </c:strCache>
            </c:strRef>
          </c:cat>
          <c:val>
            <c:numRef>
              <c:f>Sheet5!$E$43:$E$49</c:f>
              <c:numCache>
                <c:formatCode>General</c:formatCode>
                <c:ptCount val="7"/>
                <c:pt idx="0">
                  <c:v>0.69</c:v>
                </c:pt>
                <c:pt idx="1">
                  <c:v>1.26</c:v>
                </c:pt>
                <c:pt idx="2">
                  <c:v>0.85</c:v>
                </c:pt>
                <c:pt idx="3">
                  <c:v>8.8000000000000007</c:v>
                </c:pt>
                <c:pt idx="4">
                  <c:v>1.3</c:v>
                </c:pt>
                <c:pt idx="5">
                  <c:v>8.8000000000000007</c:v>
                </c:pt>
                <c:pt idx="6">
                  <c:v>0.39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94-4124-98BD-DFA68CB32833}"/>
            </c:ext>
          </c:extLst>
        </c:ser>
        <c:ser>
          <c:idx val="1"/>
          <c:order val="1"/>
          <c:tx>
            <c:strRef>
              <c:f>Sheet4!$F$1</c:f>
              <c:strCache>
                <c:ptCount val="1"/>
                <c:pt idx="0">
                  <c:v>average power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Sheet4!$C$2:$C$8</c:f>
              <c:strCache>
                <c:ptCount val="7"/>
                <c:pt idx="0">
                  <c:v>WD buffer</c:v>
                </c:pt>
                <c:pt idx="1">
                  <c:v>WDS</c:v>
                </c:pt>
                <c:pt idx="2">
                  <c:v>WD </c:v>
                </c:pt>
                <c:pt idx="3">
                  <c:v>RD buffer</c:v>
                </c:pt>
                <c:pt idx="4">
                  <c:v>RD Mask</c:v>
                </c:pt>
                <c:pt idx="5">
                  <c:v>Addition</c:v>
                </c:pt>
                <c:pt idx="6">
                  <c:v>Controller</c:v>
                </c:pt>
              </c:strCache>
            </c:strRef>
          </c:cat>
          <c:val>
            <c:numRef>
              <c:f>Sheet5!$G$43:$G$49</c:f>
              <c:numCache>
                <c:formatCode>General</c:formatCode>
                <c:ptCount val="7"/>
                <c:pt idx="0">
                  <c:v>9.2410714285714277E-2</c:v>
                </c:pt>
                <c:pt idx="1">
                  <c:v>1.125E-2</c:v>
                </c:pt>
                <c:pt idx="2">
                  <c:v>0.19999999999999998</c:v>
                </c:pt>
                <c:pt idx="3">
                  <c:v>5.6941176470588246</c:v>
                </c:pt>
                <c:pt idx="4">
                  <c:v>5.8474509803921569E-2</c:v>
                </c:pt>
                <c:pt idx="5">
                  <c:v>1.7254901960784315</c:v>
                </c:pt>
                <c:pt idx="6">
                  <c:v>0.39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94-4124-98BD-DFA68CB328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2"/>
        <c:overlap val="-6"/>
        <c:axId val="396316160"/>
        <c:axId val="396315176"/>
      </c:barChart>
      <c:catAx>
        <c:axId val="396316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315176"/>
        <c:crosses val="autoZero"/>
        <c:auto val="1"/>
        <c:lblAlgn val="ctr"/>
        <c:lblOffset val="100"/>
        <c:noMultiLvlLbl val="0"/>
      </c:catAx>
      <c:valAx>
        <c:axId val="396315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power (mW)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316160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137153876091284"/>
          <c:y val="0.19984013229004516"/>
          <c:w val="0.71754420164314159"/>
          <c:h val="0.6410702828813066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Sheet9!$F$64</c:f>
              <c:strCache>
                <c:ptCount val="1"/>
                <c:pt idx="0">
                  <c:v>Analog energy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Sheet9!$E$65:$E$67</c:f>
              <c:numCache>
                <c:formatCode>General</c:formatCode>
                <c:ptCount val="3"/>
                <c:pt idx="0">
                  <c:v>8</c:v>
                </c:pt>
                <c:pt idx="1">
                  <c:v>16</c:v>
                </c:pt>
                <c:pt idx="2">
                  <c:v>32</c:v>
                </c:pt>
              </c:numCache>
            </c:numRef>
          </c:cat>
          <c:val>
            <c:numRef>
              <c:f>Sheet9!$F$65:$F$67</c:f>
              <c:numCache>
                <c:formatCode>General</c:formatCode>
                <c:ptCount val="3"/>
                <c:pt idx="0">
                  <c:v>5.3821308928000011</c:v>
                </c:pt>
                <c:pt idx="1">
                  <c:v>9.4535417856000024</c:v>
                </c:pt>
                <c:pt idx="2">
                  <c:v>17.596363571200005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38F-4FD6-9B2F-ED124318CB58}"/>
            </c:ext>
          </c:extLst>
        </c:ser>
        <c:ser>
          <c:idx val="3"/>
          <c:order val="1"/>
          <c:tx>
            <c:strRef>
              <c:f>Sheet9!$G$64</c:f>
              <c:strCache>
                <c:ptCount val="1"/>
                <c:pt idx="0">
                  <c:v>Analog energy (no pr)</c:v>
                </c:pt>
              </c:strCache>
            </c:strRef>
          </c:tx>
          <c:spPr>
            <a:pattFill prst="ltUpDiag">
              <a:fgClr>
                <a:schemeClr val="accent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val>
            <c:numRef>
              <c:f>Sheet9!$G$65:$G$67</c:f>
              <c:numCache>
                <c:formatCode>General</c:formatCode>
                <c:ptCount val="3"/>
                <c:pt idx="0">
                  <c:v>4.0714108928000003</c:v>
                </c:pt>
                <c:pt idx="1">
                  <c:v>8.1428217856000007</c:v>
                </c:pt>
                <c:pt idx="2">
                  <c:v>16.285643571200001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FB-4797-8B64-C1C687046910}"/>
            </c:ext>
          </c:extLst>
        </c:ser>
        <c:ser>
          <c:idx val="1"/>
          <c:order val="2"/>
          <c:tx>
            <c:strRef>
              <c:f>Sheet9!$H$64</c:f>
              <c:strCache>
                <c:ptCount val="1"/>
                <c:pt idx="0">
                  <c:v>Digital energy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Sheet9!$E$65:$E$67</c:f>
              <c:numCache>
                <c:formatCode>General</c:formatCode>
                <c:ptCount val="3"/>
                <c:pt idx="0">
                  <c:v>8</c:v>
                </c:pt>
                <c:pt idx="1">
                  <c:v>16</c:v>
                </c:pt>
                <c:pt idx="2">
                  <c:v>32</c:v>
                </c:pt>
              </c:numCache>
            </c:numRef>
          </c:cat>
          <c:val>
            <c:numRef>
              <c:f>Sheet9!$H$65:$H$67</c:f>
              <c:numCache>
                <c:formatCode>General</c:formatCode>
                <c:ptCount val="3"/>
                <c:pt idx="0">
                  <c:v>0.82440448</c:v>
                </c:pt>
                <c:pt idx="1">
                  <c:v>1.674545664</c:v>
                </c:pt>
                <c:pt idx="2">
                  <c:v>6.0254604799999996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38F-4FD6-9B2F-ED124318CB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3127792"/>
        <c:axId val="512011848"/>
      </c:barChart>
      <c:lineChart>
        <c:grouping val="standard"/>
        <c:varyColors val="0"/>
        <c:ser>
          <c:idx val="2"/>
          <c:order val="3"/>
          <c:tx>
            <c:strRef>
              <c:f>Sheet9!$J$64</c:f>
              <c:strCache>
                <c:ptCount val="1"/>
                <c:pt idx="0">
                  <c:v>Energy per VMM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Sheet9!$J$65:$J$67</c:f>
              <c:numCache>
                <c:formatCode>General</c:formatCode>
                <c:ptCount val="3"/>
                <c:pt idx="0">
                  <c:v>2.3905348500000003</c:v>
                </c:pt>
                <c:pt idx="1">
                  <c:v>2.3968182250000001</c:v>
                </c:pt>
                <c:pt idx="2">
                  <c:v>2.72352344375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38F-4FD6-9B2F-ED124318CB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2014800"/>
        <c:axId val="512012176"/>
      </c:lineChart>
      <c:catAx>
        <c:axId val="403127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>
                    <a:solidFill>
                      <a:schemeClr val="tx1"/>
                    </a:solidFill>
                  </a:rPr>
                  <a:t>data type size (bit) </a:t>
                </a:r>
              </a:p>
            </c:rich>
          </c:tx>
          <c:layout>
            <c:manualLayout>
              <c:xMode val="edge"/>
              <c:yMode val="edge"/>
              <c:x val="0.35480867985117137"/>
              <c:y val="0.896157293820482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011848"/>
        <c:crosses val="autoZero"/>
        <c:auto val="1"/>
        <c:lblAlgn val="ctr"/>
        <c:lblOffset val="100"/>
        <c:noMultiLvlLbl val="0"/>
      </c:catAx>
      <c:valAx>
        <c:axId val="512011848"/>
        <c:scaling>
          <c:orientation val="minMax"/>
          <c:max val="1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>
                    <a:solidFill>
                      <a:schemeClr val="tx1"/>
                    </a:solidFill>
                  </a:rPr>
                  <a:t>energy</a:t>
                </a:r>
                <a:r>
                  <a:rPr lang="en-US" sz="1400" b="0" baseline="0">
                    <a:solidFill>
                      <a:schemeClr val="tx1"/>
                    </a:solidFill>
                  </a:rPr>
                  <a:t> (uJ)</a:t>
                </a:r>
              </a:p>
            </c:rich>
          </c:tx>
          <c:layout>
            <c:manualLayout>
              <c:xMode val="edge"/>
              <c:yMode val="edge"/>
              <c:x val="2.3628740059835465E-2"/>
              <c:y val="0.296759850643608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127792"/>
        <c:crosses val="autoZero"/>
        <c:crossBetween val="between"/>
        <c:majorUnit val="3"/>
      </c:valAx>
      <c:valAx>
        <c:axId val="512012176"/>
        <c:scaling>
          <c:orientation val="minMax"/>
          <c:max val="10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energy per VMM</a:t>
                </a:r>
                <a:r>
                  <a:rPr lang="en-US" sz="1200" baseline="0">
                    <a:solidFill>
                      <a:schemeClr val="tx1"/>
                    </a:solidFill>
                  </a:rPr>
                  <a:t> (nJ)</a:t>
                </a:r>
                <a:endParaRPr lang="en-US" sz="120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9497206829221243"/>
              <c:y val="0.240372776406344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014800"/>
        <c:crosses val="max"/>
        <c:crossBetween val="between"/>
        <c:majorUnit val="2"/>
      </c:valAx>
      <c:catAx>
        <c:axId val="512014800"/>
        <c:scaling>
          <c:orientation val="minMax"/>
        </c:scaling>
        <c:delete val="1"/>
        <c:axPos val="b"/>
        <c:majorTickMark val="out"/>
        <c:minorTickMark val="none"/>
        <c:tickLblPos val="nextTo"/>
        <c:crossAx val="5120121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556631810777571"/>
          <c:y val="0.17854340865231338"/>
          <c:w val="0.72626765269749038"/>
          <c:h val="0.6410702828813066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Sheet9!$F$64</c:f>
              <c:strCache>
                <c:ptCount val="1"/>
                <c:pt idx="0">
                  <c:v>Analog energy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Sheet9!$E$65:$E$67</c:f>
              <c:numCache>
                <c:formatCode>General</c:formatCode>
                <c:ptCount val="3"/>
                <c:pt idx="0">
                  <c:v>8</c:v>
                </c:pt>
                <c:pt idx="1">
                  <c:v>16</c:v>
                </c:pt>
                <c:pt idx="2">
                  <c:v>32</c:v>
                </c:pt>
              </c:numCache>
            </c:numRef>
          </c:cat>
          <c:val>
            <c:numRef>
              <c:f>Sheet9!$F$78:$F$80</c:f>
              <c:numCache>
                <c:formatCode>General</c:formatCode>
                <c:ptCount val="3"/>
                <c:pt idx="0">
                  <c:v>4.0121453772800004</c:v>
                </c:pt>
                <c:pt idx="1">
                  <c:v>6.0582107545600001</c:v>
                </c:pt>
                <c:pt idx="2">
                  <c:v>10.15034150912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17-4EF6-A86B-9FD2CFC0F030}"/>
            </c:ext>
          </c:extLst>
        </c:ser>
        <c:ser>
          <c:idx val="3"/>
          <c:order val="1"/>
          <c:tx>
            <c:strRef>
              <c:f>Sheet9!$G$77</c:f>
              <c:strCache>
                <c:ptCount val="1"/>
                <c:pt idx="0">
                  <c:v>Analog energy (no pr)</c:v>
                </c:pt>
              </c:strCache>
            </c:strRef>
          </c:tx>
          <c:spPr>
            <a:pattFill prst="ltUpDiag">
              <a:fgClr>
                <a:schemeClr val="accent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val>
            <c:numRef>
              <c:f>Sheet9!$G$78:$G$80</c:f>
              <c:numCache>
                <c:formatCode>General</c:formatCode>
                <c:ptCount val="3"/>
                <c:pt idx="0">
                  <c:v>2.0460653772800002</c:v>
                </c:pt>
                <c:pt idx="1">
                  <c:v>4.0921307545600003</c:v>
                </c:pt>
                <c:pt idx="2">
                  <c:v>8.1842615091200006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FA-41EB-9330-8CEC2EF0266C}"/>
            </c:ext>
          </c:extLst>
        </c:ser>
        <c:ser>
          <c:idx val="1"/>
          <c:order val="2"/>
          <c:tx>
            <c:strRef>
              <c:f>Sheet9!$H$64</c:f>
              <c:strCache>
                <c:ptCount val="1"/>
                <c:pt idx="0">
                  <c:v>Digital energy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Sheet9!$E$65:$E$67</c:f>
              <c:numCache>
                <c:formatCode>General</c:formatCode>
                <c:ptCount val="3"/>
                <c:pt idx="0">
                  <c:v>8</c:v>
                </c:pt>
                <c:pt idx="1">
                  <c:v>16</c:v>
                </c:pt>
                <c:pt idx="2">
                  <c:v>32</c:v>
                </c:pt>
              </c:numCache>
            </c:numRef>
          </c:cat>
          <c:val>
            <c:numRef>
              <c:f>Sheet9!$H$78:$H$80</c:f>
              <c:numCache>
                <c:formatCode>General</c:formatCode>
                <c:ptCount val="3"/>
                <c:pt idx="0">
                  <c:v>0.82440448</c:v>
                </c:pt>
                <c:pt idx="1">
                  <c:v>1.674545664</c:v>
                </c:pt>
                <c:pt idx="2">
                  <c:v>6.0254604799999996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17-4EF6-A86B-9FD2CFC0F0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3127792"/>
        <c:axId val="512011848"/>
      </c:barChart>
      <c:lineChart>
        <c:grouping val="standard"/>
        <c:varyColors val="0"/>
        <c:ser>
          <c:idx val="2"/>
          <c:order val="3"/>
          <c:tx>
            <c:strRef>
              <c:f>Sheet9!$J$64</c:f>
              <c:strCache>
                <c:ptCount val="1"/>
                <c:pt idx="0">
                  <c:v>Energy per VMM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Sheet9!$J$78:$J$80</c:f>
              <c:numCache>
                <c:formatCode>General</c:formatCode>
                <c:ptCount val="3"/>
                <c:pt idx="0">
                  <c:v>1.4015966100000001</c:v>
                </c:pt>
                <c:pt idx="1">
                  <c:v>1.4078799850000001</c:v>
                </c:pt>
                <c:pt idx="2">
                  <c:v>1.73458520375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17-4EF6-A86B-9FD2CFC0F0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2014800"/>
        <c:axId val="512012176"/>
      </c:lineChart>
      <c:catAx>
        <c:axId val="403127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>
                    <a:solidFill>
                      <a:schemeClr val="tx1"/>
                    </a:solidFill>
                  </a:rPr>
                  <a:t>data type size (bit) </a:t>
                </a:r>
              </a:p>
            </c:rich>
          </c:tx>
          <c:layout>
            <c:manualLayout>
              <c:xMode val="edge"/>
              <c:yMode val="edge"/>
              <c:x val="0.38122329868085308"/>
              <c:y val="0.896157453683524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011848"/>
        <c:crosses val="autoZero"/>
        <c:auto val="1"/>
        <c:lblAlgn val="ctr"/>
        <c:lblOffset val="100"/>
        <c:noMultiLvlLbl val="0"/>
      </c:catAx>
      <c:valAx>
        <c:axId val="512011848"/>
        <c:scaling>
          <c:orientation val="minMax"/>
          <c:max val="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>
                    <a:solidFill>
                      <a:schemeClr val="tx1"/>
                    </a:solidFill>
                  </a:rPr>
                  <a:t>energy</a:t>
                </a:r>
                <a:r>
                  <a:rPr lang="en-US" sz="1400" b="0" baseline="0">
                    <a:solidFill>
                      <a:schemeClr val="tx1"/>
                    </a:solidFill>
                  </a:rPr>
                  <a:t> (uJ)</a:t>
                </a:r>
              </a:p>
            </c:rich>
          </c:tx>
          <c:layout>
            <c:manualLayout>
              <c:xMode val="edge"/>
              <c:yMode val="edge"/>
              <c:x val="2.3628581850828247E-2"/>
              <c:y val="0.285795870213758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127792"/>
        <c:crosses val="autoZero"/>
        <c:crossBetween val="between"/>
        <c:majorUnit val="2"/>
      </c:valAx>
      <c:valAx>
        <c:axId val="512012176"/>
        <c:scaling>
          <c:orientation val="minMax"/>
          <c:max val="10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energy per VMM</a:t>
                </a:r>
                <a:r>
                  <a:rPr lang="en-US" sz="1200" baseline="0">
                    <a:solidFill>
                      <a:schemeClr val="tx1"/>
                    </a:solidFill>
                  </a:rPr>
                  <a:t> (nJ)</a:t>
                </a:r>
                <a:endParaRPr lang="en-US" sz="120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9497206829221243"/>
              <c:y val="0.240372776406344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014800"/>
        <c:crosses val="max"/>
        <c:crossBetween val="between"/>
        <c:majorUnit val="2"/>
      </c:valAx>
      <c:catAx>
        <c:axId val="512014800"/>
        <c:scaling>
          <c:orientation val="minMax"/>
        </c:scaling>
        <c:delete val="1"/>
        <c:axPos val="b"/>
        <c:majorTickMark val="out"/>
        <c:minorTickMark val="none"/>
        <c:tickLblPos val="nextTo"/>
        <c:crossAx val="5120121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36285</xdr:colOff>
      <xdr:row>9</xdr:row>
      <xdr:rowOff>63500</xdr:rowOff>
    </xdr:from>
    <xdr:to>
      <xdr:col>15</xdr:col>
      <xdr:colOff>193703</xdr:colOff>
      <xdr:row>23</xdr:row>
      <xdr:rowOff>81299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938893</xdr:colOff>
      <xdr:row>58</xdr:row>
      <xdr:rowOff>166006</xdr:rowOff>
    </xdr:from>
    <xdr:to>
      <xdr:col>12</xdr:col>
      <xdr:colOff>494393</xdr:colOff>
      <xdr:row>74</xdr:row>
      <xdr:rowOff>6349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390070</xdr:colOff>
      <xdr:row>8</xdr:row>
      <xdr:rowOff>9070</xdr:rowOff>
    </xdr:from>
    <xdr:to>
      <xdr:col>15</xdr:col>
      <xdr:colOff>244928</xdr:colOff>
      <xdr:row>22</xdr:row>
      <xdr:rowOff>99786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925285</xdr:colOff>
      <xdr:row>59</xdr:row>
      <xdr:rowOff>52613</xdr:rowOff>
    </xdr:from>
    <xdr:to>
      <xdr:col>12</xdr:col>
      <xdr:colOff>526144</xdr:colOff>
      <xdr:row>74</xdr:row>
      <xdr:rowOff>74385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108858</xdr:colOff>
      <xdr:row>40</xdr:row>
      <xdr:rowOff>81642</xdr:rowOff>
    </xdr:from>
    <xdr:to>
      <xdr:col>17</xdr:col>
      <xdr:colOff>616860</xdr:colOff>
      <xdr:row>55</xdr:row>
      <xdr:rowOff>9072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54</xdr:row>
      <xdr:rowOff>129722</xdr:rowOff>
    </xdr:from>
    <xdr:to>
      <xdr:col>12</xdr:col>
      <xdr:colOff>208642</xdr:colOff>
      <xdr:row>69</xdr:row>
      <xdr:rowOff>151493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63</xdr:row>
      <xdr:rowOff>0</xdr:rowOff>
    </xdr:from>
    <xdr:to>
      <xdr:col>6</xdr:col>
      <xdr:colOff>630466</xdr:colOff>
      <xdr:row>77</xdr:row>
      <xdr:rowOff>117930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814080</xdr:colOff>
      <xdr:row>56</xdr:row>
      <xdr:rowOff>52551</xdr:rowOff>
    </xdr:from>
    <xdr:to>
      <xdr:col>14</xdr:col>
      <xdr:colOff>728187</xdr:colOff>
      <xdr:row>73</xdr:row>
      <xdr:rowOff>5995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910915</xdr:colOff>
      <xdr:row>74</xdr:row>
      <xdr:rowOff>172736</xdr:rowOff>
    </xdr:from>
    <xdr:to>
      <xdr:col>14</xdr:col>
      <xdr:colOff>829622</xdr:colOff>
      <xdr:row>92</xdr:row>
      <xdr:rowOff>94060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87313</xdr:colOff>
      <xdr:row>2</xdr:row>
      <xdr:rowOff>32053</xdr:rowOff>
    </xdr:from>
    <xdr:to>
      <xdr:col>14</xdr:col>
      <xdr:colOff>555624</xdr:colOff>
      <xdr:row>16</xdr:row>
      <xdr:rowOff>23586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4"/>
  <sheetViews>
    <sheetView topLeftCell="A38" zoomScale="59" zoomScaleNormal="59" workbookViewId="0">
      <selection activeCell="D25" sqref="D25"/>
    </sheetView>
  </sheetViews>
  <sheetFormatPr defaultColWidth="8.7265625" defaultRowHeight="14.5" x14ac:dyDescent="0.35"/>
  <cols>
    <col min="1" max="1" width="12.81640625" style="1" customWidth="1"/>
    <col min="2" max="2" width="13.7265625" style="2" customWidth="1"/>
    <col min="3" max="3" width="10.7265625" style="1" customWidth="1"/>
    <col min="4" max="5" width="11.1796875" style="2" customWidth="1"/>
    <col min="6" max="6" width="16.1796875" style="1" customWidth="1"/>
    <col min="7" max="7" width="8.7265625" style="1"/>
    <col min="8" max="8" width="13.26953125" style="1" customWidth="1"/>
    <col min="9" max="9" width="14.1796875" style="2" customWidth="1"/>
    <col min="10" max="10" width="12.26953125" style="1" customWidth="1"/>
    <col min="11" max="12" width="11.81640625" style="2" customWidth="1"/>
    <col min="13" max="13" width="12.81640625" style="1" customWidth="1"/>
    <col min="14" max="14" width="8.7265625" style="1"/>
    <col min="15" max="15" width="11.81640625" style="1" customWidth="1"/>
    <col min="16" max="16" width="13.1796875" style="1" customWidth="1"/>
    <col min="17" max="17" width="11.54296875" style="1" customWidth="1"/>
    <col min="18" max="19" width="12.1796875" style="1" customWidth="1"/>
    <col min="20" max="20" width="13.7265625" style="1" customWidth="1"/>
    <col min="21" max="16384" width="8.7265625" style="1"/>
  </cols>
  <sheetData>
    <row r="1" spans="1:20" x14ac:dyDescent="0.35">
      <c r="B1" s="129" t="s">
        <v>7</v>
      </c>
      <c r="C1" s="129"/>
      <c r="D1" s="129"/>
      <c r="E1" s="129"/>
      <c r="F1" s="129"/>
      <c r="I1" s="129" t="s">
        <v>8</v>
      </c>
      <c r="J1" s="129"/>
      <c r="K1" s="129"/>
      <c r="L1" s="129"/>
      <c r="M1" s="129"/>
      <c r="P1" s="129" t="s">
        <v>9</v>
      </c>
      <c r="Q1" s="129"/>
      <c r="R1" s="129"/>
      <c r="S1" s="129"/>
      <c r="T1" s="129"/>
    </row>
    <row r="2" spans="1:20" ht="15" thickBot="1" x14ac:dyDescent="0.4">
      <c r="B2" s="3" t="s">
        <v>3</v>
      </c>
      <c r="C2" s="3" t="s">
        <v>1</v>
      </c>
      <c r="D2" s="3" t="s">
        <v>2</v>
      </c>
      <c r="E2" s="3" t="s">
        <v>63</v>
      </c>
      <c r="F2" s="3" t="s">
        <v>4</v>
      </c>
      <c r="I2" s="3" t="s">
        <v>3</v>
      </c>
      <c r="J2" s="3" t="s">
        <v>1</v>
      </c>
      <c r="K2" s="3" t="s">
        <v>2</v>
      </c>
      <c r="L2" s="3" t="s">
        <v>63</v>
      </c>
      <c r="M2" s="3" t="s">
        <v>4</v>
      </c>
      <c r="P2" s="3" t="s">
        <v>3</v>
      </c>
      <c r="Q2" s="3" t="s">
        <v>1</v>
      </c>
      <c r="R2" s="3" t="s">
        <v>2</v>
      </c>
      <c r="S2" s="3" t="s">
        <v>63</v>
      </c>
      <c r="T2" s="3" t="s">
        <v>4</v>
      </c>
    </row>
    <row r="3" spans="1:20" x14ac:dyDescent="0.35">
      <c r="A3" s="111" t="s">
        <v>0</v>
      </c>
      <c r="B3" s="5">
        <v>512</v>
      </c>
      <c r="C3" s="6">
        <f>C4*2</f>
        <v>830</v>
      </c>
      <c r="D3" s="5"/>
      <c r="E3" s="5"/>
      <c r="F3" s="7" t="s">
        <v>5</v>
      </c>
      <c r="H3" s="111" t="s">
        <v>0</v>
      </c>
      <c r="I3" s="5">
        <v>512</v>
      </c>
      <c r="J3" s="6"/>
      <c r="K3" s="5"/>
      <c r="L3" s="5"/>
      <c r="M3" s="7" t="s">
        <v>5</v>
      </c>
      <c r="O3" s="111" t="s">
        <v>0</v>
      </c>
      <c r="P3" s="5">
        <v>512</v>
      </c>
      <c r="Q3" s="6"/>
      <c r="R3" s="5"/>
      <c r="S3" s="5"/>
      <c r="T3" s="7" t="s">
        <v>5</v>
      </c>
    </row>
    <row r="4" spans="1:20" x14ac:dyDescent="0.35">
      <c r="A4" s="112"/>
      <c r="B4" s="8">
        <v>256</v>
      </c>
      <c r="C4" s="108">
        <v>415</v>
      </c>
      <c r="D4" s="14">
        <v>6.8999999999999997E-4</v>
      </c>
      <c r="E4" s="14">
        <v>1.2E-5</v>
      </c>
      <c r="F4" s="10" t="s">
        <v>5</v>
      </c>
      <c r="H4" s="112"/>
      <c r="I4" s="8">
        <v>256</v>
      </c>
      <c r="J4" s="108">
        <v>415</v>
      </c>
      <c r="K4" s="14">
        <v>3.5E-4</v>
      </c>
      <c r="L4" s="14">
        <v>1.2E-5</v>
      </c>
      <c r="M4" s="10" t="s">
        <v>5</v>
      </c>
      <c r="O4" s="112"/>
      <c r="P4" s="8">
        <v>256</v>
      </c>
      <c r="Q4" s="108">
        <v>415</v>
      </c>
      <c r="R4" s="14">
        <v>1.8000000000000001E-4</v>
      </c>
      <c r="S4" s="14">
        <v>1.2E-5</v>
      </c>
      <c r="T4" s="10" t="s">
        <v>5</v>
      </c>
    </row>
    <row r="5" spans="1:20" x14ac:dyDescent="0.35">
      <c r="A5" s="112"/>
      <c r="B5" s="8">
        <v>128</v>
      </c>
      <c r="C5" s="108">
        <v>207</v>
      </c>
      <c r="D5" s="8"/>
      <c r="E5" s="8"/>
      <c r="F5" s="10" t="s">
        <v>5</v>
      </c>
      <c r="H5" s="112"/>
      <c r="I5" s="8">
        <v>128</v>
      </c>
      <c r="J5" s="9"/>
      <c r="K5" s="8"/>
      <c r="L5" s="8"/>
      <c r="M5" s="10" t="s">
        <v>5</v>
      </c>
      <c r="O5" s="112"/>
      <c r="P5" s="8">
        <v>128</v>
      </c>
      <c r="Q5" s="9"/>
      <c r="R5" s="8"/>
      <c r="S5" s="8"/>
      <c r="T5" s="10" t="s">
        <v>5</v>
      </c>
    </row>
    <row r="6" spans="1:20" ht="15" thickBot="1" x14ac:dyDescent="0.4">
      <c r="A6" s="113"/>
      <c r="B6" s="11">
        <v>64</v>
      </c>
      <c r="C6" s="107">
        <v>103</v>
      </c>
      <c r="D6" s="11"/>
      <c r="E6" s="11"/>
      <c r="F6" s="13" t="s">
        <v>5</v>
      </c>
      <c r="H6" s="113"/>
      <c r="I6" s="11">
        <v>64</v>
      </c>
      <c r="J6" s="12"/>
      <c r="K6" s="15"/>
      <c r="L6" s="15"/>
      <c r="M6" s="13" t="s">
        <v>5</v>
      </c>
      <c r="O6" s="113"/>
      <c r="P6" s="11">
        <v>64</v>
      </c>
      <c r="Q6" s="12"/>
      <c r="R6" s="11"/>
      <c r="S6" s="11"/>
      <c r="T6" s="13" t="s">
        <v>5</v>
      </c>
    </row>
    <row r="7" spans="1:20" x14ac:dyDescent="0.35">
      <c r="P7" s="2"/>
      <c r="R7" s="2"/>
      <c r="S7" s="2"/>
    </row>
    <row r="8" spans="1:20" s="17" customFormat="1" x14ac:dyDescent="0.35"/>
    <row r="9" spans="1:20" ht="15" thickBot="1" x14ac:dyDescent="0.4">
      <c r="P9" s="2"/>
      <c r="R9" s="2"/>
      <c r="S9" s="2"/>
    </row>
    <row r="10" spans="1:20" x14ac:dyDescent="0.35">
      <c r="A10" s="111" t="s">
        <v>6</v>
      </c>
      <c r="B10" s="5">
        <v>512</v>
      </c>
      <c r="C10" s="6">
        <f>C11*2</f>
        <v>1156</v>
      </c>
      <c r="D10" s="5"/>
      <c r="E10" s="5"/>
      <c r="F10" s="7" t="s">
        <v>5</v>
      </c>
      <c r="H10" s="111" t="s">
        <v>6</v>
      </c>
      <c r="I10" s="5">
        <v>512</v>
      </c>
      <c r="J10" s="6"/>
      <c r="K10" s="5"/>
      <c r="L10" s="5"/>
      <c r="M10" s="7" t="s">
        <v>5</v>
      </c>
      <c r="O10" s="111" t="s">
        <v>6</v>
      </c>
      <c r="P10" s="5">
        <v>512</v>
      </c>
      <c r="Q10" s="6"/>
      <c r="R10" s="5"/>
      <c r="S10" s="5"/>
      <c r="T10" s="7" t="s">
        <v>5</v>
      </c>
    </row>
    <row r="11" spans="1:20" x14ac:dyDescent="0.35">
      <c r="A11" s="112"/>
      <c r="B11" s="8">
        <v>256</v>
      </c>
      <c r="C11" s="108">
        <v>578</v>
      </c>
      <c r="D11" s="14">
        <v>1.2600000000000001E-3</v>
      </c>
      <c r="E11" s="14">
        <v>1.9000000000000001E-5</v>
      </c>
      <c r="F11" s="10" t="s">
        <v>5</v>
      </c>
      <c r="H11" s="112"/>
      <c r="I11" s="8">
        <v>256</v>
      </c>
      <c r="J11" s="108">
        <v>578</v>
      </c>
      <c r="K11" s="14">
        <v>6.4000000000000005E-4</v>
      </c>
      <c r="L11" s="14">
        <v>1.9000000000000001E-5</v>
      </c>
      <c r="M11" s="10" t="s">
        <v>5</v>
      </c>
      <c r="O11" s="112"/>
      <c r="P11" s="8">
        <v>256</v>
      </c>
      <c r="Q11" s="108">
        <v>578</v>
      </c>
      <c r="R11" s="14">
        <v>3.2000000000000003E-4</v>
      </c>
      <c r="S11" s="14">
        <v>1.9000000000000001E-5</v>
      </c>
      <c r="T11" s="10" t="s">
        <v>5</v>
      </c>
    </row>
    <row r="12" spans="1:20" x14ac:dyDescent="0.35">
      <c r="A12" s="112"/>
      <c r="B12" s="8">
        <v>128</v>
      </c>
      <c r="C12" s="108">
        <v>299</v>
      </c>
      <c r="D12" s="14"/>
      <c r="E12" s="14"/>
      <c r="F12" s="10" t="s">
        <v>5</v>
      </c>
      <c r="H12" s="112"/>
      <c r="I12" s="8">
        <v>128</v>
      </c>
      <c r="J12" s="9"/>
      <c r="K12" s="14"/>
      <c r="L12" s="14"/>
      <c r="M12" s="10" t="s">
        <v>5</v>
      </c>
      <c r="O12" s="112"/>
      <c r="P12" s="8">
        <v>128</v>
      </c>
      <c r="Q12" s="9"/>
      <c r="R12" s="14"/>
      <c r="S12" s="14"/>
      <c r="T12" s="10" t="s">
        <v>5</v>
      </c>
    </row>
    <row r="13" spans="1:20" ht="15" thickBot="1" x14ac:dyDescent="0.4">
      <c r="A13" s="113"/>
      <c r="B13" s="11">
        <v>64</v>
      </c>
      <c r="C13" s="107">
        <v>103</v>
      </c>
      <c r="D13" s="15"/>
      <c r="E13" s="15"/>
      <c r="F13" s="13" t="s">
        <v>5</v>
      </c>
      <c r="H13" s="113"/>
      <c r="I13" s="11">
        <v>64</v>
      </c>
      <c r="J13" s="12"/>
      <c r="K13" s="15"/>
      <c r="L13" s="15"/>
      <c r="M13" s="13" t="s">
        <v>5</v>
      </c>
      <c r="O13" s="113"/>
      <c r="P13" s="11">
        <v>64</v>
      </c>
      <c r="Q13" s="12"/>
      <c r="R13" s="15"/>
      <c r="S13" s="15"/>
      <c r="T13" s="13" t="s">
        <v>5</v>
      </c>
    </row>
    <row r="15" spans="1:20" s="17" customFormat="1" x14ac:dyDescent="0.35"/>
    <row r="16" spans="1:20" ht="15" thickBot="1" x14ac:dyDescent="0.4"/>
    <row r="17" spans="1:24" x14ac:dyDescent="0.35">
      <c r="A17" s="111" t="s">
        <v>10</v>
      </c>
      <c r="B17" s="5">
        <v>512</v>
      </c>
      <c r="C17" s="6">
        <f>2*C18</f>
        <v>950</v>
      </c>
      <c r="D17" s="5"/>
      <c r="E17" s="5"/>
      <c r="F17" s="7" t="s">
        <v>5</v>
      </c>
      <c r="H17" s="111" t="s">
        <v>10</v>
      </c>
      <c r="I17" s="5">
        <v>512</v>
      </c>
      <c r="J17" s="6"/>
      <c r="K17" s="5"/>
      <c r="L17" s="5"/>
      <c r="M17" s="7" t="s">
        <v>5</v>
      </c>
      <c r="O17" s="111" t="s">
        <v>10</v>
      </c>
      <c r="P17" s="5">
        <v>512</v>
      </c>
      <c r="Q17" s="6"/>
      <c r="R17" s="5"/>
      <c r="S17" s="5"/>
      <c r="T17" s="7" t="s">
        <v>5</v>
      </c>
    </row>
    <row r="18" spans="1:24" x14ac:dyDescent="0.35">
      <c r="A18" s="112"/>
      <c r="B18" s="8">
        <v>256</v>
      </c>
      <c r="C18" s="108">
        <v>475</v>
      </c>
      <c r="D18" s="14">
        <v>8.4999999999999995E-4</v>
      </c>
      <c r="E18" s="14">
        <v>1.2999999999999999E-5</v>
      </c>
      <c r="F18" s="10" t="s">
        <v>5</v>
      </c>
      <c r="H18" s="112"/>
      <c r="I18" s="8">
        <v>256</v>
      </c>
      <c r="J18" s="108">
        <v>475</v>
      </c>
      <c r="K18" s="14">
        <v>4.2999999999999999E-4</v>
      </c>
      <c r="L18" s="14">
        <v>1.4E-5</v>
      </c>
      <c r="M18" s="10" t="s">
        <v>5</v>
      </c>
      <c r="O18" s="112"/>
      <c r="P18" s="8">
        <v>256</v>
      </c>
      <c r="Q18" s="108">
        <v>475</v>
      </c>
      <c r="R18" s="14">
        <v>2.24E-4</v>
      </c>
      <c r="S18" s="14">
        <v>1.4E-5</v>
      </c>
      <c r="T18" s="10" t="s">
        <v>5</v>
      </c>
    </row>
    <row r="19" spans="1:24" x14ac:dyDescent="0.35">
      <c r="A19" s="112"/>
      <c r="B19" s="8">
        <v>128</v>
      </c>
      <c r="C19" s="108">
        <v>247</v>
      </c>
      <c r="D19" s="14"/>
      <c r="E19" s="14"/>
      <c r="F19" s="10" t="s">
        <v>5</v>
      </c>
      <c r="H19" s="112"/>
      <c r="I19" s="8">
        <v>128</v>
      </c>
      <c r="J19" s="9"/>
      <c r="K19" s="14"/>
      <c r="L19" s="14"/>
      <c r="M19" s="10" t="s">
        <v>5</v>
      </c>
      <c r="O19" s="112"/>
      <c r="P19" s="8">
        <v>128</v>
      </c>
      <c r="Q19" s="9"/>
      <c r="R19" s="14"/>
      <c r="S19" s="14"/>
      <c r="T19" s="10" t="s">
        <v>5</v>
      </c>
    </row>
    <row r="20" spans="1:24" ht="15" thickBot="1" x14ac:dyDescent="0.4">
      <c r="A20" s="113"/>
      <c r="B20" s="11">
        <v>64</v>
      </c>
      <c r="C20" s="107">
        <v>123</v>
      </c>
      <c r="D20" s="15"/>
      <c r="E20" s="15"/>
      <c r="F20" s="13" t="s">
        <v>5</v>
      </c>
      <c r="H20" s="113"/>
      <c r="I20" s="11">
        <v>64</v>
      </c>
      <c r="J20" s="12"/>
      <c r="K20" s="15"/>
      <c r="L20" s="15"/>
      <c r="M20" s="13" t="s">
        <v>5</v>
      </c>
      <c r="O20" s="113"/>
      <c r="P20" s="11">
        <v>64</v>
      </c>
      <c r="Q20" s="12"/>
      <c r="R20" s="15"/>
      <c r="S20" s="15"/>
      <c r="T20" s="13" t="s">
        <v>5</v>
      </c>
    </row>
    <row r="22" spans="1:24" s="17" customFormat="1" x14ac:dyDescent="0.35"/>
    <row r="23" spans="1:24" ht="15" thickBot="1" x14ac:dyDescent="0.4">
      <c r="V23" s="128" t="s">
        <v>15</v>
      </c>
      <c r="W23" s="128"/>
      <c r="X23" s="128"/>
    </row>
    <row r="24" spans="1:24" x14ac:dyDescent="0.35">
      <c r="A24" s="111" t="s">
        <v>11</v>
      </c>
      <c r="B24" s="5">
        <v>512</v>
      </c>
      <c r="C24" s="6"/>
      <c r="D24" s="5"/>
      <c r="E24" s="5"/>
      <c r="F24" s="7" t="s">
        <v>83</v>
      </c>
      <c r="H24" s="111" t="s">
        <v>11</v>
      </c>
      <c r="I24" s="5">
        <v>512</v>
      </c>
      <c r="J24" s="6"/>
      <c r="K24" s="5">
        <f>0.188</f>
        <v>0.188</v>
      </c>
      <c r="L24" s="5"/>
      <c r="M24" s="7" t="s">
        <v>12</v>
      </c>
      <c r="O24" s="111" t="s">
        <v>11</v>
      </c>
      <c r="P24" s="5">
        <v>512</v>
      </c>
      <c r="Q24" s="6"/>
      <c r="R24" s="5"/>
      <c r="S24" s="5"/>
      <c r="T24" s="7" t="s">
        <v>12</v>
      </c>
      <c r="V24" s="18" t="s">
        <v>7</v>
      </c>
      <c r="W24" s="19" t="s">
        <v>16</v>
      </c>
      <c r="X24" s="20"/>
    </row>
    <row r="25" spans="1:24" ht="15" thickBot="1" x14ac:dyDescent="0.4">
      <c r="A25" s="112"/>
      <c r="B25" s="8">
        <v>256</v>
      </c>
      <c r="C25" s="9">
        <v>16951</v>
      </c>
      <c r="D25" s="25">
        <f>0.034</f>
        <v>3.4000000000000002E-2</v>
      </c>
      <c r="E25" s="25">
        <v>5.5999999999999995E-4</v>
      </c>
      <c r="F25" s="10" t="s">
        <v>83</v>
      </c>
      <c r="H25" s="112"/>
      <c r="I25" s="8">
        <v>256</v>
      </c>
      <c r="J25" s="108">
        <v>16954</v>
      </c>
      <c r="K25" s="14">
        <v>1.7000000000000001E-2</v>
      </c>
      <c r="L25" s="14">
        <v>5.5999999999999995E-4</v>
      </c>
      <c r="M25" s="10" t="s">
        <v>12</v>
      </c>
      <c r="O25" s="112"/>
      <c r="P25" s="8">
        <v>256</v>
      </c>
      <c r="Q25" s="108">
        <v>16956</v>
      </c>
      <c r="R25" s="14">
        <v>8.9999999999999993E-3</v>
      </c>
      <c r="S25" s="14">
        <v>5.5999999999999995E-4</v>
      </c>
      <c r="T25" s="10" t="s">
        <v>12</v>
      </c>
      <c r="V25" s="21">
        <v>256</v>
      </c>
      <c r="W25" s="22">
        <f>0.12</f>
        <v>0.12</v>
      </c>
      <c r="X25" s="23" t="s">
        <v>12</v>
      </c>
    </row>
    <row r="26" spans="1:24" x14ac:dyDescent="0.35">
      <c r="A26" s="112"/>
      <c r="B26" s="8">
        <v>128</v>
      </c>
      <c r="C26" s="106">
        <v>8474</v>
      </c>
      <c r="D26" s="14">
        <v>1.4999999999999999E-2</v>
      </c>
      <c r="E26" s="14">
        <v>2.7999999999999998E-4</v>
      </c>
      <c r="F26" s="10" t="s">
        <v>86</v>
      </c>
      <c r="H26" s="112"/>
      <c r="I26" s="8">
        <v>128</v>
      </c>
      <c r="J26" s="108">
        <v>8474</v>
      </c>
      <c r="K26" s="14">
        <v>8.0000000000000002E-3</v>
      </c>
      <c r="L26" s="14"/>
      <c r="M26" s="10" t="s">
        <v>12</v>
      </c>
      <c r="O26" s="112"/>
      <c r="P26" s="8">
        <v>128</v>
      </c>
      <c r="Q26" s="9"/>
      <c r="R26" s="14"/>
      <c r="S26" s="14"/>
      <c r="T26" s="10" t="s">
        <v>12</v>
      </c>
    </row>
    <row r="27" spans="1:24" ht="15" thickBot="1" x14ac:dyDescent="0.4">
      <c r="A27" s="113"/>
      <c r="B27" s="11">
        <v>64</v>
      </c>
      <c r="C27" s="12"/>
      <c r="D27" s="15"/>
      <c r="E27" s="15"/>
      <c r="F27" s="13" t="s">
        <v>84</v>
      </c>
      <c r="H27" s="113"/>
      <c r="I27" s="11">
        <v>64</v>
      </c>
      <c r="J27" s="12"/>
      <c r="K27" s="15"/>
      <c r="L27" s="15"/>
      <c r="M27" s="13" t="s">
        <v>12</v>
      </c>
      <c r="O27" s="113"/>
      <c r="P27" s="11">
        <v>64</v>
      </c>
      <c r="Q27" s="12"/>
      <c r="R27" s="15"/>
      <c r="S27" s="15"/>
      <c r="T27" s="13" t="s">
        <v>12</v>
      </c>
    </row>
    <row r="28" spans="1:24" ht="15" thickBot="1" x14ac:dyDescent="0.4"/>
    <row r="29" spans="1:24" x14ac:dyDescent="0.35">
      <c r="A29" s="111" t="s">
        <v>11</v>
      </c>
      <c r="B29" s="5">
        <v>512</v>
      </c>
      <c r="C29" s="6"/>
      <c r="D29" s="5"/>
      <c r="E29" s="5"/>
      <c r="F29" s="7" t="s">
        <v>85</v>
      </c>
      <c r="H29" s="115" t="s">
        <v>11</v>
      </c>
      <c r="I29" s="26">
        <v>512</v>
      </c>
      <c r="J29" s="26"/>
      <c r="K29" s="26"/>
      <c r="L29" s="26"/>
      <c r="M29" s="27" t="s">
        <v>13</v>
      </c>
      <c r="N29" s="16"/>
      <c r="O29" s="115" t="s">
        <v>11</v>
      </c>
      <c r="P29" s="26">
        <v>512</v>
      </c>
      <c r="Q29" s="26"/>
      <c r="R29" s="26"/>
      <c r="S29" s="26"/>
      <c r="T29" s="27" t="s">
        <v>13</v>
      </c>
    </row>
    <row r="30" spans="1:24" x14ac:dyDescent="0.35">
      <c r="A30" s="112"/>
      <c r="B30" s="8">
        <v>256</v>
      </c>
      <c r="C30" s="108">
        <v>8666</v>
      </c>
      <c r="D30" s="14">
        <v>1.4999999999999999E-2</v>
      </c>
      <c r="E30" s="14"/>
      <c r="F30" s="10" t="s">
        <v>85</v>
      </c>
      <c r="H30" s="116"/>
      <c r="I30" s="28">
        <v>256</v>
      </c>
      <c r="J30" s="28"/>
      <c r="K30" s="29">
        <v>7.7000000000000002E-3</v>
      </c>
      <c r="L30" s="29"/>
      <c r="M30" s="30" t="s">
        <v>13</v>
      </c>
      <c r="N30" s="16"/>
      <c r="O30" s="116"/>
      <c r="P30" s="28">
        <v>256</v>
      </c>
      <c r="Q30" s="28"/>
      <c r="R30" s="29"/>
      <c r="S30" s="29"/>
      <c r="T30" s="30" t="s">
        <v>13</v>
      </c>
    </row>
    <row r="31" spans="1:24" x14ac:dyDescent="0.35">
      <c r="A31" s="112"/>
      <c r="B31" s="8">
        <v>128</v>
      </c>
      <c r="C31" s="108">
        <v>4338</v>
      </c>
      <c r="D31" s="14">
        <v>7.7999999999999996E-3</v>
      </c>
      <c r="E31" s="14"/>
      <c r="F31" s="10" t="s">
        <v>87</v>
      </c>
      <c r="H31" s="116"/>
      <c r="I31" s="28">
        <v>128</v>
      </c>
      <c r="J31" s="28"/>
      <c r="K31" s="29"/>
      <c r="L31" s="29"/>
      <c r="M31" s="30" t="s">
        <v>13</v>
      </c>
      <c r="N31" s="16"/>
      <c r="O31" s="116"/>
      <c r="P31" s="28">
        <v>128</v>
      </c>
      <c r="Q31" s="28"/>
      <c r="R31" s="29"/>
      <c r="S31" s="29"/>
      <c r="T31" s="30" t="s">
        <v>13</v>
      </c>
    </row>
    <row r="32" spans="1:24" ht="15" thickBot="1" x14ac:dyDescent="0.4">
      <c r="A32" s="113"/>
      <c r="B32" s="11">
        <v>64</v>
      </c>
      <c r="C32" s="12"/>
      <c r="D32" s="15"/>
      <c r="E32" s="15"/>
      <c r="F32" s="13" t="s">
        <v>85</v>
      </c>
      <c r="H32" s="117"/>
      <c r="I32" s="31">
        <v>64</v>
      </c>
      <c r="J32" s="31"/>
      <c r="K32" s="32"/>
      <c r="L32" s="32"/>
      <c r="M32" s="33" t="s">
        <v>13</v>
      </c>
      <c r="N32" s="16"/>
      <c r="O32" s="117"/>
      <c r="P32" s="31">
        <v>64</v>
      </c>
      <c r="Q32" s="31"/>
      <c r="R32" s="32"/>
      <c r="S32" s="32"/>
      <c r="T32" s="33" t="s">
        <v>13</v>
      </c>
    </row>
    <row r="33" spans="1:25" ht="15" thickBot="1" x14ac:dyDescent="0.4"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</row>
    <row r="34" spans="1:25" x14ac:dyDescent="0.35">
      <c r="A34" s="111" t="s">
        <v>11</v>
      </c>
      <c r="B34" s="5">
        <v>512</v>
      </c>
      <c r="C34" s="6">
        <f>2*C35</f>
        <v>9088</v>
      </c>
      <c r="D34" s="5"/>
      <c r="E34" s="5"/>
      <c r="F34" s="7" t="s">
        <v>88</v>
      </c>
      <c r="H34" s="115" t="s">
        <v>11</v>
      </c>
      <c r="I34" s="26">
        <v>512</v>
      </c>
      <c r="J34" s="26"/>
      <c r="K34" s="26"/>
      <c r="L34" s="26"/>
      <c r="M34" s="27" t="s">
        <v>14</v>
      </c>
      <c r="N34" s="16"/>
      <c r="O34" s="115" t="s">
        <v>11</v>
      </c>
      <c r="P34" s="26">
        <v>512</v>
      </c>
      <c r="Q34" s="26"/>
      <c r="R34" s="26"/>
      <c r="S34" s="26"/>
      <c r="T34" s="27" t="s">
        <v>14</v>
      </c>
    </row>
    <row r="35" spans="1:25" x14ac:dyDescent="0.35">
      <c r="A35" s="112"/>
      <c r="B35" s="8">
        <v>256</v>
      </c>
      <c r="C35" s="108">
        <v>4544</v>
      </c>
      <c r="D35" s="14">
        <v>8.8000000000000005E-3</v>
      </c>
      <c r="E35" s="14">
        <v>1.3999999999999999E-4</v>
      </c>
      <c r="F35" s="10" t="s">
        <v>88</v>
      </c>
      <c r="H35" s="116"/>
      <c r="I35" s="28">
        <v>256</v>
      </c>
      <c r="J35" s="28"/>
      <c r="K35" s="29"/>
      <c r="L35" s="29"/>
      <c r="M35" s="30" t="s">
        <v>14</v>
      </c>
      <c r="N35" s="16"/>
      <c r="O35" s="116"/>
      <c r="P35" s="28">
        <v>256</v>
      </c>
      <c r="Q35" s="28"/>
      <c r="R35" s="29"/>
      <c r="S35" s="29"/>
      <c r="T35" s="30" t="s">
        <v>14</v>
      </c>
    </row>
    <row r="36" spans="1:25" x14ac:dyDescent="0.35">
      <c r="A36" s="112"/>
      <c r="B36" s="8">
        <v>128</v>
      </c>
      <c r="C36" s="108">
        <v>2273</v>
      </c>
      <c r="D36" s="14"/>
      <c r="E36" s="14"/>
      <c r="F36" s="10" t="s">
        <v>88</v>
      </c>
      <c r="H36" s="116"/>
      <c r="I36" s="28">
        <v>128</v>
      </c>
      <c r="J36" s="28"/>
      <c r="K36" s="29"/>
      <c r="L36" s="29"/>
      <c r="M36" s="30" t="s">
        <v>14</v>
      </c>
      <c r="N36" s="16"/>
      <c r="O36" s="116"/>
      <c r="P36" s="28">
        <v>128</v>
      </c>
      <c r="Q36" s="28"/>
      <c r="R36" s="29"/>
      <c r="S36" s="29"/>
      <c r="T36" s="30" t="s">
        <v>14</v>
      </c>
    </row>
    <row r="37" spans="1:25" ht="15" thickBot="1" x14ac:dyDescent="0.4">
      <c r="A37" s="113"/>
      <c r="B37" s="11">
        <v>64</v>
      </c>
      <c r="C37" s="107">
        <v>1140</v>
      </c>
      <c r="D37" s="15">
        <v>2.3999999999999998E-3</v>
      </c>
      <c r="E37" s="15">
        <v>3.6999999999999998E-5</v>
      </c>
      <c r="F37" s="13" t="s">
        <v>88</v>
      </c>
      <c r="H37" s="117"/>
      <c r="I37" s="31">
        <v>64</v>
      </c>
      <c r="J37" s="31"/>
      <c r="K37" s="32"/>
      <c r="L37" s="32"/>
      <c r="M37" s="33" t="s">
        <v>14</v>
      </c>
      <c r="N37" s="16"/>
      <c r="O37" s="117"/>
      <c r="P37" s="31">
        <v>64</v>
      </c>
      <c r="Q37" s="31"/>
      <c r="R37" s="32"/>
      <c r="S37" s="32"/>
      <c r="T37" s="33" t="s">
        <v>14</v>
      </c>
    </row>
    <row r="39" spans="1:25" s="17" customFormat="1" x14ac:dyDescent="0.35"/>
    <row r="40" spans="1:25" ht="15" thickBot="1" x14ac:dyDescent="0.4"/>
    <row r="41" spans="1:25" x14ac:dyDescent="0.35">
      <c r="A41" s="111" t="s">
        <v>17</v>
      </c>
      <c r="B41" s="5">
        <v>512</v>
      </c>
      <c r="C41" s="6">
        <f>C42*2</f>
        <v>1234</v>
      </c>
      <c r="D41" s="5"/>
      <c r="E41" s="5"/>
      <c r="F41" s="7" t="s">
        <v>5</v>
      </c>
      <c r="H41" s="111" t="s">
        <v>17</v>
      </c>
      <c r="I41" s="5">
        <v>512</v>
      </c>
      <c r="J41" s="6"/>
      <c r="K41" s="5"/>
      <c r="L41" s="5"/>
      <c r="M41" s="7" t="s">
        <v>5</v>
      </c>
      <c r="O41" s="111" t="s">
        <v>17</v>
      </c>
      <c r="P41" s="5">
        <v>512</v>
      </c>
      <c r="Q41" s="6"/>
      <c r="R41" s="5"/>
      <c r="S41" s="5"/>
      <c r="T41" s="7" t="s">
        <v>5</v>
      </c>
    </row>
    <row r="42" spans="1:25" x14ac:dyDescent="0.35">
      <c r="A42" s="112"/>
      <c r="B42" s="8">
        <v>256</v>
      </c>
      <c r="C42" s="108">
        <v>617</v>
      </c>
      <c r="D42" s="14">
        <v>1.2999999999999999E-3</v>
      </c>
      <c r="E42" s="14">
        <v>1.9000000000000001E-5</v>
      </c>
      <c r="F42" s="10" t="s">
        <v>5</v>
      </c>
      <c r="H42" s="112"/>
      <c r="I42" s="8">
        <v>256</v>
      </c>
      <c r="J42" s="108">
        <v>617</v>
      </c>
      <c r="K42" s="14">
        <v>6.8999999999999997E-4</v>
      </c>
      <c r="L42" s="14">
        <v>1.9000000000000001E-5</v>
      </c>
      <c r="M42" s="10" t="s">
        <v>5</v>
      </c>
      <c r="O42" s="112"/>
      <c r="P42" s="8">
        <v>256</v>
      </c>
      <c r="Q42" s="108">
        <v>617</v>
      </c>
      <c r="R42" s="14">
        <v>3.5E-4</v>
      </c>
      <c r="S42" s="14"/>
      <c r="T42" s="10" t="s">
        <v>5</v>
      </c>
    </row>
    <row r="43" spans="1:25" x14ac:dyDescent="0.35">
      <c r="A43" s="112"/>
      <c r="B43" s="8">
        <v>128</v>
      </c>
      <c r="C43" s="108">
        <v>318</v>
      </c>
      <c r="D43" s="14"/>
      <c r="E43" s="14"/>
      <c r="F43" s="10" t="s">
        <v>5</v>
      </c>
      <c r="H43" s="112"/>
      <c r="I43" s="8">
        <v>128</v>
      </c>
      <c r="J43" s="9"/>
      <c r="K43" s="14"/>
      <c r="L43" s="14"/>
      <c r="M43" s="10" t="s">
        <v>5</v>
      </c>
      <c r="O43" s="112"/>
      <c r="P43" s="8">
        <v>128</v>
      </c>
      <c r="Q43" s="9"/>
      <c r="R43" s="14"/>
      <c r="S43" s="14"/>
      <c r="T43" s="10" t="s">
        <v>5</v>
      </c>
    </row>
    <row r="44" spans="1:25" ht="15" thickBot="1" x14ac:dyDescent="0.4">
      <c r="A44" s="113"/>
      <c r="B44" s="11">
        <v>64</v>
      </c>
      <c r="C44" s="107">
        <v>159</v>
      </c>
      <c r="D44" s="15"/>
      <c r="E44" s="15"/>
      <c r="F44" s="13" t="s">
        <v>5</v>
      </c>
      <c r="H44" s="113"/>
      <c r="I44" s="11">
        <v>64</v>
      </c>
      <c r="J44" s="12"/>
      <c r="K44" s="15"/>
      <c r="L44" s="15"/>
      <c r="M44" s="13" t="s">
        <v>5</v>
      </c>
      <c r="O44" s="113"/>
      <c r="P44" s="11">
        <v>64</v>
      </c>
      <c r="Q44" s="12"/>
      <c r="R44" s="15"/>
      <c r="S44" s="15"/>
      <c r="T44" s="13" t="s">
        <v>5</v>
      </c>
    </row>
    <row r="46" spans="1:25" s="17" customFormat="1" x14ac:dyDescent="0.35"/>
    <row r="47" spans="1:25" ht="15" thickBot="1" x14ac:dyDescent="0.4"/>
    <row r="48" spans="1:25" ht="15" thickBot="1" x14ac:dyDescent="0.4">
      <c r="A48" s="118" t="s">
        <v>18</v>
      </c>
      <c r="B48" s="5">
        <v>512</v>
      </c>
      <c r="C48" s="54"/>
      <c r="D48" s="5"/>
      <c r="E48" s="76"/>
      <c r="F48" s="55" t="s">
        <v>19</v>
      </c>
      <c r="G48" s="56"/>
      <c r="H48" s="118" t="s">
        <v>18</v>
      </c>
      <c r="I48" s="5">
        <v>512</v>
      </c>
      <c r="J48" s="54"/>
      <c r="K48" s="76"/>
      <c r="L48" s="75"/>
      <c r="M48" s="55" t="s">
        <v>19</v>
      </c>
      <c r="N48" s="56"/>
      <c r="O48" s="118" t="s">
        <v>18</v>
      </c>
      <c r="P48" s="5">
        <v>512</v>
      </c>
      <c r="Q48" s="54"/>
      <c r="R48" s="5"/>
      <c r="S48" s="36"/>
      <c r="T48" s="55" t="s">
        <v>19</v>
      </c>
      <c r="V48" s="128" t="s">
        <v>31</v>
      </c>
      <c r="W48" s="128"/>
      <c r="X48" s="128"/>
      <c r="Y48" s="128"/>
    </row>
    <row r="49" spans="1:25" x14ac:dyDescent="0.35">
      <c r="A49" s="119"/>
      <c r="B49" s="8">
        <v>256</v>
      </c>
      <c r="C49" s="57">
        <v>3191</v>
      </c>
      <c r="D49" s="14">
        <v>6.0000000000000001E-3</v>
      </c>
      <c r="E49" s="14">
        <v>9.7E-5</v>
      </c>
      <c r="F49" s="58" t="s">
        <v>20</v>
      </c>
      <c r="G49" s="56"/>
      <c r="H49" s="119"/>
      <c r="I49" s="8">
        <v>256</v>
      </c>
      <c r="J49" s="57">
        <v>3191</v>
      </c>
      <c r="K49" s="14">
        <v>3.1199999999999999E-3</v>
      </c>
      <c r="L49" s="14">
        <v>9.7E-5</v>
      </c>
      <c r="M49" s="58" t="s">
        <v>20</v>
      </c>
      <c r="N49" s="56"/>
      <c r="O49" s="119"/>
      <c r="P49" s="8">
        <v>256</v>
      </c>
      <c r="Q49" s="57">
        <v>3191</v>
      </c>
      <c r="R49" s="14">
        <v>1.6000000000000001E-3</v>
      </c>
      <c r="S49" s="14">
        <v>9.7E-5</v>
      </c>
      <c r="T49" s="58" t="s">
        <v>20</v>
      </c>
      <c r="V49" s="18" t="s">
        <v>7</v>
      </c>
      <c r="W49" s="19" t="s">
        <v>1</v>
      </c>
      <c r="X49" s="19" t="s">
        <v>16</v>
      </c>
      <c r="Y49" s="20"/>
    </row>
    <row r="50" spans="1:25" ht="15" thickBot="1" x14ac:dyDescent="0.4">
      <c r="A50" s="119"/>
      <c r="B50" s="8">
        <v>128</v>
      </c>
      <c r="C50" s="57">
        <v>1551</v>
      </c>
      <c r="D50" s="14">
        <v>3.2799999999999999E-3</v>
      </c>
      <c r="E50" s="14">
        <v>4.6999999999999997E-5</v>
      </c>
      <c r="F50" s="58" t="s">
        <v>21</v>
      </c>
      <c r="G50" s="56"/>
      <c r="H50" s="119"/>
      <c r="I50" s="8">
        <v>128</v>
      </c>
      <c r="J50" s="57"/>
      <c r="K50" s="14"/>
      <c r="L50" s="14"/>
      <c r="M50" s="58" t="s">
        <v>21</v>
      </c>
      <c r="N50" s="56"/>
      <c r="O50" s="119"/>
      <c r="P50" s="8">
        <v>128</v>
      </c>
      <c r="Q50" s="57"/>
      <c r="R50" s="14"/>
      <c r="S50" s="14"/>
      <c r="T50" s="58" t="s">
        <v>21</v>
      </c>
      <c r="V50" s="21">
        <v>256</v>
      </c>
      <c r="W50" s="22">
        <v>171396</v>
      </c>
      <c r="X50" s="22">
        <f>0.087</f>
        <v>8.6999999999999994E-2</v>
      </c>
      <c r="Y50" s="23" t="s">
        <v>12</v>
      </c>
    </row>
    <row r="51" spans="1:25" ht="15" thickBot="1" x14ac:dyDescent="0.4">
      <c r="A51" s="120"/>
      <c r="B51" s="11">
        <v>64</v>
      </c>
      <c r="C51" s="59"/>
      <c r="D51" s="15"/>
      <c r="E51" s="15"/>
      <c r="F51" s="60" t="s">
        <v>22</v>
      </c>
      <c r="G51" s="56"/>
      <c r="H51" s="120"/>
      <c r="I51" s="11">
        <v>64</v>
      </c>
      <c r="J51" s="59"/>
      <c r="K51" s="15"/>
      <c r="L51" s="43"/>
      <c r="M51" s="60" t="s">
        <v>22</v>
      </c>
      <c r="N51" s="56"/>
      <c r="O51" s="120"/>
      <c r="P51" s="11">
        <v>64</v>
      </c>
      <c r="Q51" s="59"/>
      <c r="R51" s="15"/>
      <c r="S51" s="15"/>
      <c r="T51" s="60" t="s">
        <v>22</v>
      </c>
    </row>
    <row r="52" spans="1:25" ht="15" thickBot="1" x14ac:dyDescent="0.4">
      <c r="A52" s="56"/>
      <c r="C52" s="56"/>
      <c r="F52" s="56"/>
      <c r="G52" s="56"/>
      <c r="H52" s="56"/>
      <c r="I52" s="56"/>
      <c r="J52" s="56"/>
      <c r="K52" s="56"/>
      <c r="L52" s="56"/>
      <c r="M52" s="56"/>
      <c r="N52" s="56"/>
      <c r="O52" s="56"/>
      <c r="P52" s="56"/>
      <c r="Q52" s="56"/>
      <c r="R52" s="56"/>
      <c r="S52" s="56"/>
      <c r="T52" s="56"/>
    </row>
    <row r="53" spans="1:25" x14ac:dyDescent="0.35">
      <c r="A53" s="118" t="s">
        <v>18</v>
      </c>
      <c r="B53" s="5">
        <v>512</v>
      </c>
      <c r="C53" s="54"/>
      <c r="D53" s="5"/>
      <c r="E53" s="36"/>
      <c r="F53" s="55" t="s">
        <v>23</v>
      </c>
      <c r="G53" s="56"/>
      <c r="H53" s="121" t="s">
        <v>18</v>
      </c>
      <c r="I53" s="36">
        <v>512</v>
      </c>
      <c r="J53" s="36"/>
      <c r="K53" s="36"/>
      <c r="L53" s="36"/>
      <c r="M53" s="37" t="s">
        <v>23</v>
      </c>
      <c r="N53" s="38"/>
      <c r="O53" s="121" t="s">
        <v>18</v>
      </c>
      <c r="P53" s="36">
        <v>512</v>
      </c>
      <c r="Q53" s="36"/>
      <c r="R53" s="36"/>
      <c r="S53" s="36"/>
      <c r="T53" s="37" t="s">
        <v>23</v>
      </c>
    </row>
    <row r="54" spans="1:25" x14ac:dyDescent="0.35">
      <c r="A54" s="119"/>
      <c r="B54" s="8">
        <v>256</v>
      </c>
      <c r="C54" s="57">
        <v>3682</v>
      </c>
      <c r="D54" s="14">
        <v>6.7999999999999996E-3</v>
      </c>
      <c r="E54" s="14">
        <v>1.12E-4</v>
      </c>
      <c r="F54" s="58" t="s">
        <v>24</v>
      </c>
      <c r="G54" s="56"/>
      <c r="H54" s="122"/>
      <c r="I54" s="39">
        <v>256</v>
      </c>
      <c r="J54" s="39"/>
      <c r="K54" s="40"/>
      <c r="L54" s="40"/>
      <c r="M54" s="41" t="s">
        <v>24</v>
      </c>
      <c r="N54" s="38"/>
      <c r="O54" s="122"/>
      <c r="P54" s="39">
        <v>256</v>
      </c>
      <c r="Q54" s="39"/>
      <c r="R54" s="40"/>
      <c r="S54" s="40"/>
      <c r="T54" s="41" t="s">
        <v>24</v>
      </c>
    </row>
    <row r="55" spans="1:25" x14ac:dyDescent="0.35">
      <c r="A55" s="119"/>
      <c r="B55" s="8">
        <v>128</v>
      </c>
      <c r="C55" s="57">
        <v>1758</v>
      </c>
      <c r="D55" s="14">
        <v>3.5999999999999999E-3</v>
      </c>
      <c r="E55" s="14" t="s">
        <v>130</v>
      </c>
      <c r="F55" s="58" t="s">
        <v>25</v>
      </c>
      <c r="G55" s="56"/>
      <c r="H55" s="122"/>
      <c r="I55" s="39">
        <v>128</v>
      </c>
      <c r="J55" s="39"/>
      <c r="K55" s="40"/>
      <c r="L55" s="40"/>
      <c r="M55" s="41" t="s">
        <v>25</v>
      </c>
      <c r="N55" s="38"/>
      <c r="O55" s="122"/>
      <c r="P55" s="39">
        <v>128</v>
      </c>
      <c r="Q55" s="39"/>
      <c r="R55" s="40"/>
      <c r="S55" s="40"/>
      <c r="T55" s="41" t="s">
        <v>25</v>
      </c>
    </row>
    <row r="56" spans="1:25" ht="15" thickBot="1" x14ac:dyDescent="0.4">
      <c r="A56" s="120"/>
      <c r="B56" s="11">
        <v>64</v>
      </c>
      <c r="C56" s="59"/>
      <c r="D56" s="15"/>
      <c r="E56" s="43"/>
      <c r="F56" s="60" t="s">
        <v>26</v>
      </c>
      <c r="G56" s="56"/>
      <c r="H56" s="123"/>
      <c r="I56" s="42">
        <v>64</v>
      </c>
      <c r="J56" s="42"/>
      <c r="K56" s="43"/>
      <c r="L56" s="43"/>
      <c r="M56" s="44" t="s">
        <v>26</v>
      </c>
      <c r="N56" s="38"/>
      <c r="O56" s="123"/>
      <c r="P56" s="42">
        <v>64</v>
      </c>
      <c r="Q56" s="42"/>
      <c r="R56" s="43"/>
      <c r="S56" s="43"/>
      <c r="T56" s="44" t="s">
        <v>26</v>
      </c>
    </row>
    <row r="57" spans="1:25" ht="15" thickBot="1" x14ac:dyDescent="0.4">
      <c r="A57" s="56"/>
      <c r="C57" s="56"/>
      <c r="F57" s="56"/>
      <c r="G57" s="56"/>
      <c r="H57" s="38"/>
      <c r="I57" s="38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</row>
    <row r="58" spans="1:25" x14ac:dyDescent="0.35">
      <c r="A58" s="118" t="s">
        <v>18</v>
      </c>
      <c r="B58" s="5">
        <v>512</v>
      </c>
      <c r="C58" s="54">
        <f>C59*2</f>
        <v>9902</v>
      </c>
      <c r="D58" s="5"/>
      <c r="E58" s="76"/>
      <c r="F58" s="55" t="s">
        <v>27</v>
      </c>
      <c r="G58" s="56"/>
      <c r="H58" s="121" t="s">
        <v>18</v>
      </c>
      <c r="I58" s="36">
        <v>512</v>
      </c>
      <c r="J58" s="36"/>
      <c r="K58" s="36"/>
      <c r="L58" s="36"/>
      <c r="M58" s="37" t="s">
        <v>27</v>
      </c>
      <c r="N58" s="38"/>
      <c r="O58" s="121" t="s">
        <v>18</v>
      </c>
      <c r="P58" s="36">
        <v>512</v>
      </c>
      <c r="Q58" s="36"/>
      <c r="R58" s="36"/>
      <c r="S58" s="36"/>
      <c r="T58" s="37" t="s">
        <v>27</v>
      </c>
    </row>
    <row r="59" spans="1:25" x14ac:dyDescent="0.35">
      <c r="A59" s="119"/>
      <c r="B59" s="8">
        <v>256</v>
      </c>
      <c r="C59" s="57">
        <v>4951</v>
      </c>
      <c r="D59" s="14">
        <v>8.8000000000000005E-3</v>
      </c>
      <c r="E59" s="14">
        <v>1.4999999999999999E-4</v>
      </c>
      <c r="F59" s="58" t="s">
        <v>28</v>
      </c>
      <c r="G59" s="56"/>
      <c r="H59" s="122"/>
      <c r="I59" s="39">
        <v>256</v>
      </c>
      <c r="J59" s="77"/>
      <c r="K59" s="14"/>
      <c r="L59" s="14"/>
      <c r="M59" s="41" t="s">
        <v>28</v>
      </c>
      <c r="N59" s="38"/>
      <c r="O59" s="122"/>
      <c r="P59" s="39">
        <v>256</v>
      </c>
      <c r="Q59" s="77"/>
      <c r="R59" s="14"/>
      <c r="S59" s="14"/>
      <c r="T59" s="41" t="s">
        <v>28</v>
      </c>
    </row>
    <row r="60" spans="1:25" x14ac:dyDescent="0.35">
      <c r="A60" s="119"/>
      <c r="B60" s="8">
        <v>128</v>
      </c>
      <c r="C60" s="57">
        <v>2310</v>
      </c>
      <c r="D60" s="14">
        <v>4.4999999999999997E-3</v>
      </c>
      <c r="E60" s="14">
        <v>6.9999999999999994E-5</v>
      </c>
      <c r="F60" s="58" t="s">
        <v>29</v>
      </c>
      <c r="G60" s="56"/>
      <c r="H60" s="122"/>
      <c r="I60" s="39">
        <v>128</v>
      </c>
      <c r="J60" s="39"/>
      <c r="K60" s="40"/>
      <c r="L60" s="40"/>
      <c r="M60" s="41" t="s">
        <v>29</v>
      </c>
      <c r="N60" s="38"/>
      <c r="O60" s="122"/>
      <c r="P60" s="39">
        <v>128</v>
      </c>
      <c r="Q60" s="77"/>
      <c r="R60" s="14"/>
      <c r="S60" s="14"/>
      <c r="T60" s="41" t="s">
        <v>29</v>
      </c>
    </row>
    <row r="61" spans="1:25" ht="15" thickBot="1" x14ac:dyDescent="0.4">
      <c r="A61" s="120"/>
      <c r="B61" s="11">
        <v>64</v>
      </c>
      <c r="C61" s="59">
        <v>1072</v>
      </c>
      <c r="D61" s="15">
        <v>2.0999999999999999E-3</v>
      </c>
      <c r="E61" s="15">
        <v>3.1999999999999999E-5</v>
      </c>
      <c r="F61" s="60" t="s">
        <v>30</v>
      </c>
      <c r="G61" s="56"/>
      <c r="H61" s="123"/>
      <c r="I61" s="42">
        <v>64</v>
      </c>
      <c r="J61" s="42"/>
      <c r="K61" s="43"/>
      <c r="L61" s="43"/>
      <c r="M61" s="44" t="s">
        <v>30</v>
      </c>
      <c r="N61" s="38"/>
      <c r="O61" s="123"/>
      <c r="P61" s="42">
        <v>64</v>
      </c>
      <c r="Q61" s="42"/>
      <c r="R61" s="43"/>
      <c r="S61" s="43"/>
      <c r="T61" s="44" t="s">
        <v>30</v>
      </c>
    </row>
    <row r="62" spans="1:25" ht="15" thickBot="1" x14ac:dyDescent="0.4"/>
    <row r="63" spans="1:25" x14ac:dyDescent="0.35">
      <c r="A63" s="124" t="s">
        <v>18</v>
      </c>
      <c r="B63" s="5">
        <v>512</v>
      </c>
      <c r="C63" s="46"/>
      <c r="D63" s="5"/>
      <c r="E63" s="76"/>
      <c r="F63" s="47" t="s">
        <v>19</v>
      </c>
      <c r="G63" s="127" t="s">
        <v>35</v>
      </c>
      <c r="H63" s="127"/>
    </row>
    <row r="64" spans="1:25" x14ac:dyDescent="0.35">
      <c r="A64" s="125"/>
      <c r="B64" s="8">
        <v>256</v>
      </c>
      <c r="C64" s="49">
        <v>3191</v>
      </c>
      <c r="D64" s="14">
        <v>6.0000000000000001E-3</v>
      </c>
      <c r="E64" s="14">
        <v>9.7E-5</v>
      </c>
      <c r="F64" s="50" t="s">
        <v>20</v>
      </c>
      <c r="G64" s="127"/>
      <c r="H64" s="127"/>
    </row>
    <row r="65" spans="1:8" x14ac:dyDescent="0.35">
      <c r="A65" s="125"/>
      <c r="B65" s="8">
        <v>128</v>
      </c>
      <c r="C65" s="49">
        <v>1551</v>
      </c>
      <c r="D65" s="14">
        <v>3.2799999999999999E-3</v>
      </c>
      <c r="E65" s="14">
        <v>4.6999999999999997E-5</v>
      </c>
      <c r="F65" s="50" t="s">
        <v>21</v>
      </c>
      <c r="G65" s="127"/>
      <c r="H65" s="127"/>
    </row>
    <row r="66" spans="1:8" ht="15" thickBot="1" x14ac:dyDescent="0.4">
      <c r="A66" s="126"/>
      <c r="B66" s="11">
        <v>64</v>
      </c>
      <c r="C66" s="52"/>
      <c r="D66" s="15"/>
      <c r="E66" s="15"/>
      <c r="F66" s="53" t="s">
        <v>22</v>
      </c>
      <c r="G66" s="127"/>
      <c r="H66" s="127"/>
    </row>
    <row r="67" spans="1:8" ht="15" thickBot="1" x14ac:dyDescent="0.4">
      <c r="A67" s="48"/>
      <c r="C67" s="48"/>
      <c r="F67" s="48"/>
      <c r="G67" s="127"/>
      <c r="H67" s="127"/>
    </row>
    <row r="68" spans="1:8" x14ac:dyDescent="0.35">
      <c r="A68" s="124" t="s">
        <v>18</v>
      </c>
      <c r="B68" s="5">
        <v>512</v>
      </c>
      <c r="C68" s="46"/>
      <c r="D68" s="5"/>
      <c r="E68" s="5"/>
      <c r="F68" s="47" t="s">
        <v>24</v>
      </c>
      <c r="G68" s="127"/>
      <c r="H68" s="127"/>
    </row>
    <row r="69" spans="1:8" x14ac:dyDescent="0.35">
      <c r="A69" s="125"/>
      <c r="B69" s="8">
        <v>256</v>
      </c>
      <c r="C69" s="49"/>
      <c r="E69" s="14"/>
      <c r="F69" s="50" t="s">
        <v>25</v>
      </c>
      <c r="G69" s="127"/>
      <c r="H69" s="127"/>
    </row>
    <row r="70" spans="1:8" x14ac:dyDescent="0.35">
      <c r="A70" s="125"/>
      <c r="B70" s="8">
        <v>128</v>
      </c>
      <c r="C70" s="49"/>
      <c r="D70" s="14"/>
      <c r="E70" s="14"/>
      <c r="F70" s="50" t="s">
        <v>26</v>
      </c>
      <c r="G70" s="127"/>
      <c r="H70" s="127"/>
    </row>
    <row r="71" spans="1:8" ht="15" thickBot="1" x14ac:dyDescent="0.4">
      <c r="A71" s="126"/>
      <c r="B71" s="11">
        <v>64</v>
      </c>
      <c r="C71" s="52"/>
      <c r="D71" s="15"/>
      <c r="E71" s="15"/>
      <c r="F71" s="53" t="s">
        <v>32</v>
      </c>
      <c r="G71" s="127"/>
      <c r="H71" s="127"/>
    </row>
    <row r="72" spans="1:8" ht="15" thickBot="1" x14ac:dyDescent="0.4">
      <c r="A72" s="48"/>
      <c r="C72" s="48"/>
      <c r="F72" s="48"/>
      <c r="G72" s="127"/>
      <c r="H72" s="127"/>
    </row>
    <row r="73" spans="1:8" x14ac:dyDescent="0.35">
      <c r="A73" s="124" t="s">
        <v>18</v>
      </c>
      <c r="B73" s="5">
        <v>512</v>
      </c>
      <c r="C73" s="46"/>
      <c r="D73" s="5"/>
      <c r="E73" s="5"/>
      <c r="F73" s="47" t="s">
        <v>29</v>
      </c>
      <c r="G73" s="127"/>
      <c r="H73" s="127"/>
    </row>
    <row r="74" spans="1:8" x14ac:dyDescent="0.35">
      <c r="A74" s="125"/>
      <c r="B74" s="8">
        <v>256</v>
      </c>
      <c r="C74" s="49">
        <v>1239</v>
      </c>
      <c r="D74" s="14">
        <v>2.3999999999999998E-3</v>
      </c>
      <c r="E74" s="14">
        <v>3.7000000000000002E-3</v>
      </c>
      <c r="F74" s="50" t="s">
        <v>30</v>
      </c>
      <c r="G74" s="127"/>
      <c r="H74" s="127"/>
    </row>
    <row r="75" spans="1:8" x14ac:dyDescent="0.35">
      <c r="A75" s="125"/>
      <c r="B75" s="8">
        <v>128</v>
      </c>
      <c r="C75" s="49"/>
      <c r="D75" s="14"/>
      <c r="E75" s="14"/>
      <c r="F75" s="50" t="s">
        <v>33</v>
      </c>
      <c r="G75" s="127"/>
      <c r="H75" s="127"/>
    </row>
    <row r="76" spans="1:8" ht="15" thickBot="1" x14ac:dyDescent="0.4">
      <c r="A76" s="126"/>
      <c r="B76" s="11">
        <v>64</v>
      </c>
      <c r="C76" s="52"/>
      <c r="D76" s="15"/>
      <c r="E76" s="15"/>
      <c r="F76" s="53" t="s">
        <v>34</v>
      </c>
      <c r="G76" s="127"/>
      <c r="H76" s="127"/>
    </row>
    <row r="80" spans="1:8" s="17" customFormat="1" x14ac:dyDescent="0.35"/>
    <row r="81" spans="1:20" ht="15" thickBot="1" x14ac:dyDescent="0.4">
      <c r="A81" s="4" t="s">
        <v>37</v>
      </c>
      <c r="B81" s="61" t="s">
        <v>38</v>
      </c>
      <c r="C81" s="114" t="s">
        <v>39</v>
      </c>
      <c r="D81" s="114"/>
      <c r="E81" s="71"/>
    </row>
    <row r="82" spans="1:20" x14ac:dyDescent="0.35">
      <c r="A82" s="111" t="s">
        <v>36</v>
      </c>
      <c r="B82" s="5">
        <v>512</v>
      </c>
      <c r="C82" s="6">
        <v>225</v>
      </c>
      <c r="D82" s="5"/>
      <c r="E82" s="5"/>
      <c r="F82" s="7" t="s">
        <v>12</v>
      </c>
      <c r="H82" s="111" t="s">
        <v>36</v>
      </c>
      <c r="I82" s="5">
        <v>512</v>
      </c>
      <c r="J82" s="6"/>
      <c r="K82" s="5"/>
      <c r="L82" s="5"/>
      <c r="M82" s="7" t="s">
        <v>12</v>
      </c>
      <c r="O82" s="111" t="s">
        <v>36</v>
      </c>
      <c r="P82" s="5">
        <v>512</v>
      </c>
      <c r="Q82" s="6"/>
      <c r="R82" s="5"/>
      <c r="S82" s="5"/>
      <c r="T82" s="7" t="s">
        <v>12</v>
      </c>
    </row>
    <row r="83" spans="1:20" x14ac:dyDescent="0.35">
      <c r="A83" s="112"/>
      <c r="B83" s="8">
        <v>256</v>
      </c>
      <c r="C83" s="108">
        <v>222</v>
      </c>
      <c r="D83" s="14">
        <v>3.8999999999999999E-4</v>
      </c>
      <c r="E83" s="14">
        <v>7.7999999999999999E-6</v>
      </c>
      <c r="F83" s="10" t="s">
        <v>12</v>
      </c>
      <c r="H83" s="112"/>
      <c r="I83" s="8">
        <v>256</v>
      </c>
      <c r="J83" s="108">
        <v>225</v>
      </c>
      <c r="K83" s="14">
        <v>2.0000000000000001E-4</v>
      </c>
      <c r="L83" s="14">
        <v>7.9999999999999996E-6</v>
      </c>
      <c r="M83" s="10" t="s">
        <v>12</v>
      </c>
      <c r="O83" s="112"/>
      <c r="P83" s="8">
        <v>256</v>
      </c>
      <c r="Q83" s="108">
        <v>225</v>
      </c>
      <c r="R83" s="14">
        <v>1E-4</v>
      </c>
      <c r="S83" s="14">
        <v>7.9999999999999996E-6</v>
      </c>
      <c r="T83" s="10" t="s">
        <v>12</v>
      </c>
    </row>
    <row r="84" spans="1:20" x14ac:dyDescent="0.35">
      <c r="A84" s="112"/>
      <c r="B84" s="8">
        <v>128</v>
      </c>
      <c r="C84" s="108">
        <v>225</v>
      </c>
      <c r="D84" s="14"/>
      <c r="E84" s="14"/>
      <c r="F84" s="10" t="s">
        <v>12</v>
      </c>
      <c r="H84" s="112"/>
      <c r="I84" s="8">
        <v>128</v>
      </c>
      <c r="J84" s="9"/>
      <c r="K84" s="14"/>
      <c r="L84" s="14"/>
      <c r="M84" s="10" t="s">
        <v>12</v>
      </c>
      <c r="O84" s="112"/>
      <c r="P84" s="8">
        <v>128</v>
      </c>
      <c r="Q84" s="9"/>
      <c r="R84" s="14"/>
      <c r="S84" s="14"/>
      <c r="T84" s="10" t="s">
        <v>12</v>
      </c>
    </row>
    <row r="85" spans="1:20" ht="15" thickBot="1" x14ac:dyDescent="0.4">
      <c r="A85" s="113"/>
      <c r="B85" s="11">
        <v>64</v>
      </c>
      <c r="C85" s="107">
        <v>225</v>
      </c>
      <c r="D85" s="15"/>
      <c r="E85" s="15"/>
      <c r="F85" s="13" t="s">
        <v>12</v>
      </c>
      <c r="H85" s="113"/>
      <c r="I85" s="11">
        <v>64</v>
      </c>
      <c r="J85" s="24"/>
      <c r="K85" s="15"/>
      <c r="L85" s="15"/>
      <c r="M85" s="13" t="s">
        <v>12</v>
      </c>
      <c r="O85" s="113"/>
      <c r="P85" s="11">
        <v>64</v>
      </c>
      <c r="Q85" s="24"/>
      <c r="R85" s="15"/>
      <c r="S85" s="15"/>
      <c r="T85" s="13" t="s">
        <v>12</v>
      </c>
    </row>
    <row r="86" spans="1:20" ht="15" thickBot="1" x14ac:dyDescent="0.4"/>
    <row r="87" spans="1:20" x14ac:dyDescent="0.35">
      <c r="A87" s="111" t="s">
        <v>36</v>
      </c>
      <c r="B87" s="5">
        <v>512</v>
      </c>
      <c r="C87" s="6"/>
      <c r="D87" s="76"/>
      <c r="E87" s="5"/>
      <c r="F87" s="7" t="s">
        <v>13</v>
      </c>
      <c r="H87" s="130" t="s">
        <v>40</v>
      </c>
      <c r="I87" s="130"/>
      <c r="J87" s="130"/>
      <c r="K87" s="130"/>
      <c r="L87" s="130"/>
      <c r="M87" s="130"/>
    </row>
    <row r="88" spans="1:20" x14ac:dyDescent="0.35">
      <c r="A88" s="112"/>
      <c r="B88" s="8">
        <v>256</v>
      </c>
      <c r="C88" s="108">
        <v>222</v>
      </c>
      <c r="D88" s="14">
        <v>3.8999999999999999E-4</v>
      </c>
      <c r="E88" s="14">
        <v>7.7999999999999999E-6</v>
      </c>
      <c r="F88" s="10" t="s">
        <v>13</v>
      </c>
      <c r="H88" s="130"/>
      <c r="I88" s="130"/>
      <c r="J88" s="130"/>
      <c r="K88" s="130"/>
      <c r="L88" s="130"/>
      <c r="M88" s="130"/>
    </row>
    <row r="89" spans="1:20" x14ac:dyDescent="0.35">
      <c r="A89" s="112"/>
      <c r="B89" s="8">
        <v>128</v>
      </c>
      <c r="C89" s="9"/>
      <c r="D89" s="14"/>
      <c r="E89" s="14"/>
      <c r="F89" s="10" t="s">
        <v>13</v>
      </c>
      <c r="H89" s="130"/>
      <c r="I89" s="130"/>
      <c r="J89" s="130"/>
      <c r="K89" s="130"/>
      <c r="L89" s="130"/>
      <c r="M89" s="130"/>
    </row>
    <row r="90" spans="1:20" ht="15" thickBot="1" x14ac:dyDescent="0.4">
      <c r="A90" s="113"/>
      <c r="B90" s="11">
        <v>64</v>
      </c>
      <c r="C90" s="24"/>
      <c r="D90" s="15"/>
      <c r="E90" s="15"/>
      <c r="F90" s="13" t="s">
        <v>13</v>
      </c>
      <c r="H90" s="130"/>
      <c r="I90" s="130"/>
      <c r="J90" s="130"/>
      <c r="K90" s="130"/>
      <c r="L90" s="130"/>
      <c r="M90" s="130"/>
    </row>
    <row r="91" spans="1:20" ht="15" thickBot="1" x14ac:dyDescent="0.4"/>
    <row r="92" spans="1:20" x14ac:dyDescent="0.35">
      <c r="A92" s="111" t="s">
        <v>36</v>
      </c>
      <c r="B92" s="5">
        <v>512</v>
      </c>
      <c r="C92" s="6"/>
      <c r="D92" s="5"/>
      <c r="E92" s="5"/>
      <c r="F92" s="7" t="s">
        <v>14</v>
      </c>
    </row>
    <row r="93" spans="1:20" x14ac:dyDescent="0.35">
      <c r="A93" s="112"/>
      <c r="B93" s="8">
        <v>256</v>
      </c>
      <c r="C93" s="108">
        <v>222</v>
      </c>
      <c r="D93" s="14">
        <v>3.8999999999999999E-4</v>
      </c>
      <c r="E93" s="14">
        <v>7.7999999999999999E-6</v>
      </c>
      <c r="F93" s="10" t="s">
        <v>14</v>
      </c>
    </row>
    <row r="94" spans="1:20" x14ac:dyDescent="0.35">
      <c r="A94" s="112"/>
      <c r="B94" s="8">
        <v>128</v>
      </c>
      <c r="C94" s="9"/>
      <c r="D94" s="14"/>
      <c r="E94" s="14"/>
      <c r="F94" s="10" t="s">
        <v>14</v>
      </c>
    </row>
    <row r="95" spans="1:20" ht="15" thickBot="1" x14ac:dyDescent="0.4">
      <c r="A95" s="113"/>
      <c r="B95" s="11">
        <v>64</v>
      </c>
      <c r="C95" s="24"/>
      <c r="D95" s="15"/>
      <c r="E95" s="15"/>
      <c r="F95" s="13" t="s">
        <v>14</v>
      </c>
    </row>
    <row r="98" spans="1:6" ht="15" thickBot="1" x14ac:dyDescent="0.4">
      <c r="A98" s="35" t="s">
        <v>66</v>
      </c>
      <c r="B98" s="61" t="s">
        <v>38</v>
      </c>
      <c r="C98" s="114" t="s">
        <v>39</v>
      </c>
      <c r="D98" s="114"/>
      <c r="E98" s="71"/>
    </row>
    <row r="99" spans="1:6" x14ac:dyDescent="0.35">
      <c r="A99" s="111" t="s">
        <v>36</v>
      </c>
      <c r="B99" s="5">
        <v>512</v>
      </c>
      <c r="C99" s="6"/>
      <c r="D99" s="5"/>
      <c r="E99" s="5"/>
      <c r="F99" s="7" t="s">
        <v>14</v>
      </c>
    </row>
    <row r="100" spans="1:6" x14ac:dyDescent="0.35">
      <c r="A100" s="112"/>
      <c r="B100" s="8">
        <v>256</v>
      </c>
      <c r="C100" s="9"/>
      <c r="D100" s="14"/>
      <c r="E100" s="14"/>
      <c r="F100" s="10" t="s">
        <v>14</v>
      </c>
    </row>
    <row r="101" spans="1:6" x14ac:dyDescent="0.35">
      <c r="A101" s="112"/>
      <c r="B101" s="8">
        <v>128</v>
      </c>
      <c r="C101" s="9"/>
      <c r="D101" s="14"/>
      <c r="E101" s="14"/>
      <c r="F101" s="10" t="s">
        <v>14</v>
      </c>
    </row>
    <row r="102" spans="1:6" ht="15" thickBot="1" x14ac:dyDescent="0.4">
      <c r="A102" s="113"/>
      <c r="B102" s="11">
        <v>64</v>
      </c>
      <c r="C102" s="34"/>
      <c r="D102" s="15"/>
      <c r="E102" s="15"/>
      <c r="F102" s="13" t="s">
        <v>14</v>
      </c>
    </row>
    <row r="104" spans="1:6" s="17" customFormat="1" x14ac:dyDescent="0.35"/>
  </sheetData>
  <mergeCells count="48">
    <mergeCell ref="A92:A95"/>
    <mergeCell ref="C81:D81"/>
    <mergeCell ref="H87:M90"/>
    <mergeCell ref="V48:Y48"/>
    <mergeCell ref="A48:A51"/>
    <mergeCell ref="H48:H51"/>
    <mergeCell ref="O48:O51"/>
    <mergeCell ref="A53:A56"/>
    <mergeCell ref="H53:H56"/>
    <mergeCell ref="O53:O56"/>
    <mergeCell ref="P1:T1"/>
    <mergeCell ref="O3:O6"/>
    <mergeCell ref="O10:O13"/>
    <mergeCell ref="A17:A20"/>
    <mergeCell ref="H17:H20"/>
    <mergeCell ref="O17:O20"/>
    <mergeCell ref="A3:A6"/>
    <mergeCell ref="A10:A13"/>
    <mergeCell ref="B1:F1"/>
    <mergeCell ref="I1:M1"/>
    <mergeCell ref="H3:H6"/>
    <mergeCell ref="H10:H13"/>
    <mergeCell ref="V23:X23"/>
    <mergeCell ref="A41:A44"/>
    <mergeCell ref="H41:H44"/>
    <mergeCell ref="O41:O44"/>
    <mergeCell ref="A24:A27"/>
    <mergeCell ref="H24:H27"/>
    <mergeCell ref="O24:O27"/>
    <mergeCell ref="A29:A32"/>
    <mergeCell ref="H29:H32"/>
    <mergeCell ref="O29:O32"/>
    <mergeCell ref="A99:A102"/>
    <mergeCell ref="C98:D98"/>
    <mergeCell ref="A34:A37"/>
    <mergeCell ref="H34:H37"/>
    <mergeCell ref="O34:O37"/>
    <mergeCell ref="A58:A61"/>
    <mergeCell ref="H58:H61"/>
    <mergeCell ref="O58:O61"/>
    <mergeCell ref="A63:A66"/>
    <mergeCell ref="A68:A71"/>
    <mergeCell ref="A73:A76"/>
    <mergeCell ref="G63:H76"/>
    <mergeCell ref="A82:A85"/>
    <mergeCell ref="H82:H85"/>
    <mergeCell ref="O82:O85"/>
    <mergeCell ref="A87:A90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9"/>
  <sheetViews>
    <sheetView topLeftCell="A16" zoomScale="65" zoomScaleNormal="65" workbookViewId="0">
      <selection activeCell="M25" sqref="M25"/>
    </sheetView>
  </sheetViews>
  <sheetFormatPr defaultColWidth="8.7265625" defaultRowHeight="14.5" x14ac:dyDescent="0.35"/>
  <cols>
    <col min="1" max="1" width="8.7265625" style="62"/>
    <col min="2" max="2" width="14.54296875" style="62" customWidth="1"/>
    <col min="3" max="3" width="11.81640625" style="62" customWidth="1"/>
    <col min="4" max="4" width="15.81640625" style="62" customWidth="1"/>
    <col min="5" max="5" width="8.7265625" style="62"/>
    <col min="6" max="6" width="14.1796875" style="62" customWidth="1"/>
    <col min="7" max="7" width="8.7265625" style="62"/>
    <col min="8" max="8" width="11.453125" style="62" customWidth="1"/>
    <col min="9" max="9" width="9.81640625" style="62" customWidth="1"/>
    <col min="10" max="10" width="10.453125" style="62" customWidth="1"/>
    <col min="11" max="11" width="8.7265625" style="62"/>
    <col min="12" max="12" width="9.81640625" style="62" customWidth="1"/>
    <col min="13" max="13" width="13.54296875" style="62" customWidth="1"/>
    <col min="14" max="16384" width="8.7265625" style="62"/>
  </cols>
  <sheetData>
    <row r="1" spans="2:13" ht="15" thickBot="1" x14ac:dyDescent="0.4"/>
    <row r="2" spans="2:13" x14ac:dyDescent="0.35">
      <c r="B2" s="131" t="s">
        <v>57</v>
      </c>
      <c r="C2" s="132"/>
      <c r="D2" s="132"/>
      <c r="E2" s="132"/>
      <c r="F2" s="132"/>
      <c r="G2" s="132"/>
      <c r="H2" s="132"/>
      <c r="I2" s="132"/>
      <c r="J2" s="133"/>
    </row>
    <row r="3" spans="2:13" x14ac:dyDescent="0.35">
      <c r="B3" s="64" t="s">
        <v>41</v>
      </c>
      <c r="C3" s="65" t="s">
        <v>47</v>
      </c>
      <c r="D3" s="65" t="s">
        <v>43</v>
      </c>
      <c r="E3" s="65" t="s">
        <v>44</v>
      </c>
      <c r="F3" s="70" t="s">
        <v>45</v>
      </c>
      <c r="G3" s="65" t="s">
        <v>46</v>
      </c>
      <c r="H3" s="134" t="s">
        <v>50</v>
      </c>
      <c r="I3" s="134"/>
      <c r="J3" s="135"/>
      <c r="L3" s="73" t="s">
        <v>46</v>
      </c>
      <c r="M3" s="74" t="s">
        <v>64</v>
      </c>
    </row>
    <row r="4" spans="2:13" x14ac:dyDescent="0.35">
      <c r="B4" s="64" t="s">
        <v>42</v>
      </c>
      <c r="C4" s="65" t="s">
        <v>48</v>
      </c>
      <c r="D4" s="65">
        <v>32</v>
      </c>
      <c r="E4" s="65">
        <v>8</v>
      </c>
      <c r="F4" s="70">
        <v>8</v>
      </c>
      <c r="G4" s="65" t="s">
        <v>7</v>
      </c>
      <c r="H4" s="65" t="s">
        <v>51</v>
      </c>
      <c r="I4" s="65" t="s">
        <v>52</v>
      </c>
      <c r="J4" s="66" t="s">
        <v>53</v>
      </c>
      <c r="L4" s="62" t="s">
        <v>8</v>
      </c>
      <c r="M4" s="62">
        <v>300562</v>
      </c>
    </row>
    <row r="5" spans="2:13" x14ac:dyDescent="0.35">
      <c r="B5" s="64"/>
      <c r="C5" s="65"/>
      <c r="D5" s="65"/>
      <c r="E5" s="65"/>
      <c r="F5" s="65"/>
      <c r="G5" s="65"/>
      <c r="H5" s="65"/>
      <c r="I5" s="65"/>
      <c r="J5" s="66"/>
      <c r="L5" s="62" t="s">
        <v>9</v>
      </c>
      <c r="M5" s="62">
        <v>575512</v>
      </c>
    </row>
    <row r="6" spans="2:13" x14ac:dyDescent="0.35">
      <c r="B6" s="72" t="s">
        <v>49</v>
      </c>
      <c r="C6" s="73"/>
      <c r="D6" s="73" t="s">
        <v>54</v>
      </c>
      <c r="E6" s="73"/>
      <c r="F6" s="73" t="s">
        <v>55</v>
      </c>
      <c r="G6" s="73"/>
      <c r="H6" s="73" t="s">
        <v>56</v>
      </c>
      <c r="I6" s="65"/>
      <c r="J6" s="66"/>
      <c r="L6" s="62" t="s">
        <v>65</v>
      </c>
      <c r="M6" s="62">
        <v>1124392</v>
      </c>
    </row>
    <row r="7" spans="2:13" x14ac:dyDescent="0.35">
      <c r="B7" s="64">
        <v>171287</v>
      </c>
      <c r="C7" s="65"/>
      <c r="D7" s="65">
        <f>12059300</f>
        <v>12059300</v>
      </c>
      <c r="E7" s="65"/>
      <c r="F7" s="65">
        <f>1540000</f>
        <v>1540000</v>
      </c>
      <c r="G7" s="65"/>
      <c r="H7" s="65">
        <f>2062</f>
        <v>2062</v>
      </c>
      <c r="I7" s="65"/>
      <c r="J7" s="66"/>
    </row>
    <row r="8" spans="2:13" x14ac:dyDescent="0.35">
      <c r="B8" s="64"/>
      <c r="C8" s="65"/>
      <c r="D8" s="65"/>
      <c r="E8" s="65"/>
      <c r="F8" s="65"/>
      <c r="G8" s="65"/>
      <c r="H8" s="65"/>
      <c r="I8" s="65"/>
      <c r="J8" s="66"/>
    </row>
    <row r="9" spans="2:13" ht="15" thickBot="1" x14ac:dyDescent="0.4">
      <c r="B9" s="67"/>
      <c r="C9" s="68"/>
      <c r="D9" s="68"/>
      <c r="E9" s="68"/>
      <c r="F9" s="68"/>
      <c r="G9" s="68"/>
      <c r="H9" s="68"/>
      <c r="I9" s="68"/>
      <c r="J9" s="69"/>
    </row>
    <row r="11" spans="2:13" ht="15" thickBot="1" x14ac:dyDescent="0.4"/>
    <row r="12" spans="2:13" x14ac:dyDescent="0.35">
      <c r="B12" s="131" t="s">
        <v>58</v>
      </c>
      <c r="C12" s="132"/>
      <c r="D12" s="132"/>
      <c r="E12" s="132"/>
      <c r="F12" s="132"/>
      <c r="G12" s="132"/>
      <c r="H12" s="132"/>
      <c r="I12" s="132"/>
      <c r="J12" s="133"/>
    </row>
    <row r="13" spans="2:13" x14ac:dyDescent="0.35">
      <c r="B13" s="64" t="s">
        <v>41</v>
      </c>
      <c r="C13" s="65" t="s">
        <v>47</v>
      </c>
      <c r="D13" s="65" t="s">
        <v>43</v>
      </c>
      <c r="E13" s="65" t="s">
        <v>44</v>
      </c>
      <c r="F13" s="70" t="s">
        <v>45</v>
      </c>
      <c r="G13" s="65" t="s">
        <v>46</v>
      </c>
      <c r="H13" s="134" t="s">
        <v>50</v>
      </c>
      <c r="I13" s="134"/>
      <c r="J13" s="135"/>
      <c r="L13" s="73" t="s">
        <v>46</v>
      </c>
      <c r="M13" s="74" t="s">
        <v>64</v>
      </c>
    </row>
    <row r="14" spans="2:13" x14ac:dyDescent="0.35">
      <c r="B14" s="64" t="s">
        <v>42</v>
      </c>
      <c r="C14" s="65" t="s">
        <v>48</v>
      </c>
      <c r="D14" s="65">
        <v>16</v>
      </c>
      <c r="E14" s="65">
        <v>8</v>
      </c>
      <c r="F14" s="70">
        <v>16</v>
      </c>
      <c r="G14" s="65" t="s">
        <v>7</v>
      </c>
      <c r="H14" s="65" t="s">
        <v>51</v>
      </c>
      <c r="I14" s="65" t="s">
        <v>52</v>
      </c>
      <c r="J14" s="66" t="s">
        <v>53</v>
      </c>
      <c r="L14" s="62" t="s">
        <v>8</v>
      </c>
      <c r="M14" s="62">
        <v>166418</v>
      </c>
    </row>
    <row r="15" spans="2:13" x14ac:dyDescent="0.35">
      <c r="B15" s="64"/>
      <c r="C15" s="65"/>
      <c r="D15" s="65"/>
      <c r="E15" s="65"/>
      <c r="F15" s="65"/>
      <c r="G15" s="65"/>
      <c r="H15" s="65"/>
      <c r="I15" s="65"/>
      <c r="J15" s="66"/>
      <c r="L15" s="62" t="s">
        <v>9</v>
      </c>
      <c r="M15" s="62">
        <v>307224</v>
      </c>
    </row>
    <row r="16" spans="2:13" x14ac:dyDescent="0.35">
      <c r="B16" s="72" t="s">
        <v>49</v>
      </c>
      <c r="C16" s="73"/>
      <c r="D16" s="73" t="s">
        <v>54</v>
      </c>
      <c r="E16" s="73"/>
      <c r="F16" s="73" t="s">
        <v>55</v>
      </c>
      <c r="G16" s="73"/>
      <c r="H16" s="73" t="s">
        <v>56</v>
      </c>
      <c r="I16" s="65"/>
      <c r="J16" s="66"/>
      <c r="L16" s="62" t="s">
        <v>65</v>
      </c>
      <c r="M16" s="62">
        <v>577816</v>
      </c>
    </row>
    <row r="17" spans="2:13" x14ac:dyDescent="0.35">
      <c r="B17" s="64">
        <v>100110</v>
      </c>
      <c r="C17" s="65"/>
      <c r="D17" s="65">
        <f>6732150</f>
        <v>6732150</v>
      </c>
      <c r="E17" s="65"/>
      <c r="F17" s="65">
        <f>1540000</f>
        <v>1540000</v>
      </c>
      <c r="G17" s="65"/>
      <c r="H17" s="65">
        <f>1030</f>
        <v>1030</v>
      </c>
      <c r="I17" s="65"/>
      <c r="J17" s="66"/>
    </row>
    <row r="18" spans="2:13" x14ac:dyDescent="0.35">
      <c r="B18" s="64"/>
      <c r="C18" s="65"/>
      <c r="D18" s="65"/>
      <c r="E18" s="65"/>
      <c r="F18" s="65"/>
      <c r="G18" s="65"/>
      <c r="H18" s="65"/>
      <c r="I18" s="65"/>
      <c r="J18" s="66"/>
    </row>
    <row r="19" spans="2:13" ht="15" thickBot="1" x14ac:dyDescent="0.4">
      <c r="B19" s="67"/>
      <c r="C19" s="68"/>
      <c r="D19" s="68"/>
      <c r="E19" s="68"/>
      <c r="F19" s="68"/>
      <c r="G19" s="68"/>
      <c r="H19" s="68"/>
      <c r="I19" s="68"/>
      <c r="J19" s="69"/>
    </row>
    <row r="21" spans="2:13" ht="15" thickBot="1" x14ac:dyDescent="0.4"/>
    <row r="22" spans="2:13" x14ac:dyDescent="0.35">
      <c r="B22" s="131" t="s">
        <v>59</v>
      </c>
      <c r="C22" s="132"/>
      <c r="D22" s="132"/>
      <c r="E22" s="132"/>
      <c r="F22" s="132"/>
      <c r="G22" s="132"/>
      <c r="H22" s="132"/>
      <c r="I22" s="132"/>
      <c r="J22" s="133"/>
    </row>
    <row r="23" spans="2:13" x14ac:dyDescent="0.35">
      <c r="B23" s="64" t="s">
        <v>41</v>
      </c>
      <c r="C23" s="65" t="s">
        <v>47</v>
      </c>
      <c r="D23" s="65" t="s">
        <v>43</v>
      </c>
      <c r="E23" s="65" t="s">
        <v>44</v>
      </c>
      <c r="F23" s="70" t="s">
        <v>45</v>
      </c>
      <c r="G23" s="65" t="s">
        <v>46</v>
      </c>
      <c r="H23" s="134" t="s">
        <v>50</v>
      </c>
      <c r="I23" s="134"/>
      <c r="J23" s="135"/>
      <c r="L23" s="73" t="s">
        <v>46</v>
      </c>
      <c r="M23" s="74" t="s">
        <v>64</v>
      </c>
    </row>
    <row r="24" spans="2:13" x14ac:dyDescent="0.35">
      <c r="B24" s="64" t="s">
        <v>42</v>
      </c>
      <c r="C24" s="65" t="s">
        <v>48</v>
      </c>
      <c r="D24" s="65">
        <v>8</v>
      </c>
      <c r="E24" s="65">
        <v>8</v>
      </c>
      <c r="F24" s="70">
        <v>32</v>
      </c>
      <c r="G24" s="65" t="s">
        <v>7</v>
      </c>
      <c r="H24" s="65" t="s">
        <v>51</v>
      </c>
      <c r="I24" s="65" t="s">
        <v>52</v>
      </c>
      <c r="J24" s="66" t="s">
        <v>53</v>
      </c>
      <c r="L24" s="62" t="s">
        <v>8</v>
      </c>
      <c r="M24" s="62">
        <v>100368</v>
      </c>
    </row>
    <row r="25" spans="2:13" x14ac:dyDescent="0.35">
      <c r="B25" s="64"/>
      <c r="C25" s="65"/>
      <c r="D25" s="65"/>
      <c r="E25" s="65"/>
      <c r="F25" s="65"/>
      <c r="G25" s="65"/>
      <c r="H25" s="65"/>
      <c r="I25" s="65"/>
      <c r="J25" s="66"/>
      <c r="L25" s="62" t="s">
        <v>9</v>
      </c>
      <c r="M25" s="62">
        <v>175124</v>
      </c>
    </row>
    <row r="26" spans="2:13" x14ac:dyDescent="0.35">
      <c r="B26" s="72" t="s">
        <v>49</v>
      </c>
      <c r="C26" s="73"/>
      <c r="D26" s="73" t="s">
        <v>54</v>
      </c>
      <c r="E26" s="73"/>
      <c r="F26" s="73" t="s">
        <v>55</v>
      </c>
      <c r="G26" s="73"/>
      <c r="H26" s="73" t="s">
        <v>56</v>
      </c>
      <c r="I26" s="65"/>
      <c r="J26" s="66"/>
      <c r="L26" s="62" t="s">
        <v>65</v>
      </c>
      <c r="M26" s="62">
        <v>323616</v>
      </c>
    </row>
    <row r="27" spans="2:13" x14ac:dyDescent="0.35">
      <c r="B27" s="64">
        <v>123941</v>
      </c>
      <c r="C27" s="65"/>
      <c r="D27" s="65">
        <f>2655640</f>
        <v>2655640</v>
      </c>
      <c r="E27" s="65"/>
      <c r="F27" s="65">
        <f>1540000</f>
        <v>1540000</v>
      </c>
      <c r="G27" s="65"/>
      <c r="H27" s="65">
        <v>526</v>
      </c>
      <c r="I27" s="65"/>
      <c r="J27" s="66"/>
    </row>
    <row r="28" spans="2:13" x14ac:dyDescent="0.35">
      <c r="B28" s="64"/>
      <c r="C28" s="65"/>
      <c r="D28" s="65"/>
      <c r="E28" s="65"/>
      <c r="F28" s="65"/>
      <c r="G28" s="65"/>
      <c r="H28" s="65"/>
      <c r="I28" s="65"/>
      <c r="J28" s="66"/>
    </row>
    <row r="29" spans="2:13" ht="15" thickBot="1" x14ac:dyDescent="0.4">
      <c r="B29" s="67"/>
      <c r="C29" s="68"/>
      <c r="D29" s="68"/>
      <c r="E29" s="68"/>
      <c r="F29" s="68"/>
      <c r="G29" s="68"/>
      <c r="H29" s="68"/>
      <c r="I29" s="68"/>
      <c r="J29" s="69"/>
    </row>
  </sheetData>
  <mergeCells count="6">
    <mergeCell ref="B22:J22"/>
    <mergeCell ref="H23:J23"/>
    <mergeCell ref="B2:J2"/>
    <mergeCell ref="H3:J3"/>
    <mergeCell ref="B12:J12"/>
    <mergeCell ref="H13:J1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"/>
  <sheetViews>
    <sheetView topLeftCell="A4" zoomScale="70" zoomScaleNormal="70" workbookViewId="0">
      <selection activeCell="F20" sqref="F20"/>
    </sheetView>
  </sheetViews>
  <sheetFormatPr defaultColWidth="8.7265625" defaultRowHeight="14.5" x14ac:dyDescent="0.35"/>
  <cols>
    <col min="1" max="1" width="14.54296875" style="1" customWidth="1"/>
    <col min="2" max="2" width="13.1796875" style="1" customWidth="1"/>
    <col min="3" max="4" width="16.54296875" style="1" customWidth="1"/>
    <col min="5" max="5" width="15.26953125" style="1" customWidth="1"/>
    <col min="6" max="6" width="15.81640625" style="1" customWidth="1"/>
    <col min="7" max="7" width="13.453125" style="1" customWidth="1"/>
    <col min="8" max="8" width="17.81640625" style="1" customWidth="1"/>
    <col min="9" max="9" width="11.453125" style="1" customWidth="1"/>
    <col min="10" max="10" width="11.7265625" style="1" customWidth="1"/>
    <col min="11" max="13" width="8.7265625" style="1"/>
    <col min="14" max="14" width="11.453125" style="1" customWidth="1"/>
    <col min="15" max="15" width="8.7265625" style="1"/>
    <col min="16" max="16" width="12.81640625" style="1" customWidth="1"/>
    <col min="17" max="17" width="27" style="1" customWidth="1"/>
    <col min="18" max="18" width="16.453125" style="1" customWidth="1"/>
    <col min="19" max="16384" width="8.7265625" style="1"/>
  </cols>
  <sheetData>
    <row r="1" spans="1:14" x14ac:dyDescent="0.35">
      <c r="A1" s="129" t="s">
        <v>71</v>
      </c>
      <c r="B1" s="129"/>
      <c r="D1" s="1" t="s">
        <v>108</v>
      </c>
      <c r="F1" s="1" t="s">
        <v>109</v>
      </c>
      <c r="H1" s="1" t="s">
        <v>78</v>
      </c>
      <c r="I1" s="1" t="s">
        <v>81</v>
      </c>
      <c r="J1" s="1" t="s">
        <v>82</v>
      </c>
    </row>
    <row r="2" spans="1:14" x14ac:dyDescent="0.35">
      <c r="A2" s="2" t="s">
        <v>72</v>
      </c>
      <c r="B2" s="2" t="s">
        <v>52</v>
      </c>
      <c r="C2" s="78" t="s">
        <v>0</v>
      </c>
      <c r="D2" s="78">
        <f>sheet1!D4</f>
        <v>6.8999999999999997E-4</v>
      </c>
      <c r="E2" s="78">
        <f>D2*1000</f>
        <v>0.69</v>
      </c>
      <c r="F2" s="78">
        <f>D2*H2+(1-H2)*sheet1!E4</f>
        <v>1.0280357142857142E-4</v>
      </c>
      <c r="G2" s="78">
        <f>F2*1000</f>
        <v>0.10280357142857142</v>
      </c>
      <c r="H2" s="78">
        <f t="shared" ref="H2:H7" si="0">I2/J2</f>
        <v>0.13392857142857142</v>
      </c>
      <c r="I2" s="1">
        <f>133-118</f>
        <v>15</v>
      </c>
      <c r="J2" s="1">
        <f>227-115</f>
        <v>112</v>
      </c>
    </row>
    <row r="3" spans="1:14" x14ac:dyDescent="0.35">
      <c r="A3" s="2" t="s">
        <v>73</v>
      </c>
      <c r="B3" s="2">
        <v>32</v>
      </c>
      <c r="C3" s="1" t="s">
        <v>6</v>
      </c>
      <c r="D3" s="79">
        <f>sheet1!D11</f>
        <v>1.2600000000000001E-3</v>
      </c>
      <c r="E3" s="78">
        <f t="shared" ref="E3:E8" si="1">D3*1000</f>
        <v>1.26</v>
      </c>
      <c r="F3" s="80">
        <f>D3*H3+(1-H3)*sheet1!E11</f>
        <v>3.0080357142857145E-5</v>
      </c>
      <c r="G3" s="78">
        <f t="shared" ref="G3:G8" si="2">F3*1000</f>
        <v>3.0080357142857145E-2</v>
      </c>
      <c r="H3" s="78">
        <f t="shared" si="0"/>
        <v>8.9285714285714281E-3</v>
      </c>
      <c r="I3" s="1">
        <f>1</f>
        <v>1</v>
      </c>
      <c r="J3" s="1">
        <f>227-115</f>
        <v>112</v>
      </c>
    </row>
    <row r="4" spans="1:14" x14ac:dyDescent="0.35">
      <c r="A4" s="2" t="s">
        <v>74</v>
      </c>
      <c r="B4" s="2">
        <v>8</v>
      </c>
      <c r="C4" s="78" t="s">
        <v>92</v>
      </c>
      <c r="D4" s="80">
        <f>sheet1!D18</f>
        <v>8.4999999999999995E-4</v>
      </c>
      <c r="E4" s="78">
        <f t="shared" si="1"/>
        <v>0.85</v>
      </c>
      <c r="F4" s="80">
        <f>D4*H4+(1-H4)*sheet1!E18</f>
        <v>7.2785714285714278E-5</v>
      </c>
      <c r="G4" s="78">
        <f t="shared" si="2"/>
        <v>7.2785714285714273E-2</v>
      </c>
      <c r="H4" s="78">
        <f t="shared" si="0"/>
        <v>7.1428571428571425E-2</v>
      </c>
      <c r="I4" s="1">
        <f>126-118</f>
        <v>8</v>
      </c>
      <c r="J4" s="1">
        <f>227-115</f>
        <v>112</v>
      </c>
    </row>
    <row r="5" spans="1:14" x14ac:dyDescent="0.35">
      <c r="A5" s="2" t="s">
        <v>44</v>
      </c>
      <c r="B5" s="2">
        <v>8</v>
      </c>
      <c r="C5" s="1" t="s">
        <v>11</v>
      </c>
      <c r="D5" s="79">
        <f>sheet1!D25</f>
        <v>3.4000000000000002E-2</v>
      </c>
      <c r="E5" s="78">
        <f t="shared" si="1"/>
        <v>34</v>
      </c>
      <c r="F5" s="80">
        <f>D5*H5+(1-H5)*sheet1!E25</f>
        <v>1.2766235741444868E-2</v>
      </c>
      <c r="G5" s="78">
        <f t="shared" si="2"/>
        <v>12.766235741444868</v>
      </c>
      <c r="H5" s="78">
        <f t="shared" si="0"/>
        <v>0.36501901140684412</v>
      </c>
      <c r="I5" s="1">
        <f>256*1+32*1</f>
        <v>288</v>
      </c>
      <c r="J5" s="1">
        <v>789</v>
      </c>
      <c r="K5" s="1">
        <f>29724-28935</f>
        <v>789</v>
      </c>
    </row>
    <row r="6" spans="1:14" x14ac:dyDescent="0.35">
      <c r="A6" s="2" t="s">
        <v>75</v>
      </c>
      <c r="B6" s="82" t="s">
        <v>7</v>
      </c>
      <c r="C6" s="78" t="s">
        <v>67</v>
      </c>
      <c r="D6" s="80">
        <f>sheet1!D42</f>
        <v>1.2999999999999999E-3</v>
      </c>
      <c r="E6" s="78">
        <f t="shared" si="1"/>
        <v>1.3</v>
      </c>
      <c r="F6" s="80">
        <f>D6*H6+(1-H6)*sheet1!E42</f>
        <v>1.2290874524714828E-4</v>
      </c>
      <c r="G6" s="78">
        <f t="shared" si="2"/>
        <v>0.12290874524714827</v>
      </c>
      <c r="H6" s="78">
        <f t="shared" si="0"/>
        <v>8.1115335868187574E-2</v>
      </c>
      <c r="I6" s="1">
        <f>32*2*1</f>
        <v>64</v>
      </c>
      <c r="J6" s="1">
        <v>789</v>
      </c>
      <c r="K6" s="129" t="s">
        <v>89</v>
      </c>
      <c r="L6" s="129"/>
      <c r="M6" s="129"/>
      <c r="N6" s="129"/>
    </row>
    <row r="7" spans="1:14" x14ac:dyDescent="0.35">
      <c r="A7" s="2" t="s">
        <v>79</v>
      </c>
      <c r="B7" s="2" t="s">
        <v>80</v>
      </c>
      <c r="C7" s="1" t="s">
        <v>18</v>
      </c>
      <c r="D7" s="79" t="e">
        <f>sheet1!#REF!</f>
        <v>#REF!</v>
      </c>
      <c r="E7" s="78" t="e">
        <f t="shared" si="1"/>
        <v>#REF!</v>
      </c>
      <c r="F7" s="80" t="e">
        <f>D7*H7+(1-H7)*sheet1!E74</f>
        <v>#REF!</v>
      </c>
      <c r="G7" s="78" t="e">
        <f t="shared" si="2"/>
        <v>#REF!</v>
      </c>
      <c r="H7" s="78">
        <f t="shared" si="0"/>
        <v>0.52724968314321929</v>
      </c>
      <c r="I7" s="1">
        <f>(8+5)*32</f>
        <v>416</v>
      </c>
      <c r="J7" s="1">
        <v>789</v>
      </c>
    </row>
    <row r="8" spans="1:14" x14ac:dyDescent="0.35">
      <c r="A8" s="2"/>
      <c r="B8" s="2"/>
      <c r="C8" s="78" t="s">
        <v>70</v>
      </c>
      <c r="D8" s="80">
        <f>sheet1!D83</f>
        <v>3.8999999999999999E-4</v>
      </c>
      <c r="E8" s="78">
        <f t="shared" si="1"/>
        <v>0.39</v>
      </c>
      <c r="F8" s="80">
        <f>D8*H8+(1-H8)*sheet1!E75</f>
        <v>3.8999999999999999E-4</v>
      </c>
      <c r="G8" s="78">
        <f t="shared" si="2"/>
        <v>0.39</v>
      </c>
      <c r="H8" s="78">
        <v>1</v>
      </c>
    </row>
    <row r="10" spans="1:14" ht="15" thickBot="1" x14ac:dyDescent="0.4"/>
    <row r="11" spans="1:14" x14ac:dyDescent="0.35">
      <c r="A11" s="45" t="s">
        <v>48</v>
      </c>
      <c r="B11" s="46" t="s">
        <v>90</v>
      </c>
      <c r="C11" s="47" t="s">
        <v>91</v>
      </c>
    </row>
    <row r="12" spans="1:14" ht="15" thickBot="1" x14ac:dyDescent="0.4">
      <c r="A12" s="51" t="s">
        <v>52</v>
      </c>
      <c r="B12" s="52">
        <f>(((0.2^2)/5000)*256+0.000004)*256</f>
        <v>0.52531200000000011</v>
      </c>
      <c r="C12" s="53">
        <f>((((0.2^2)/5000)+((0.2^2)/1000000))/2*256+0.000004)*256</f>
        <v>0.26447872000000006</v>
      </c>
    </row>
    <row r="25" spans="1:10" s="81" customFormat="1" x14ac:dyDescent="0.35"/>
    <row r="29" spans="1:10" x14ac:dyDescent="0.35">
      <c r="A29" s="35" t="s">
        <v>71</v>
      </c>
      <c r="B29" s="35"/>
      <c r="D29" s="1" t="s">
        <v>76</v>
      </c>
      <c r="F29" s="1" t="s">
        <v>77</v>
      </c>
      <c r="H29" s="1" t="s">
        <v>78</v>
      </c>
      <c r="I29" s="1" t="s">
        <v>81</v>
      </c>
      <c r="J29" s="1" t="s">
        <v>82</v>
      </c>
    </row>
    <row r="30" spans="1:10" x14ac:dyDescent="0.35">
      <c r="A30" s="2" t="s">
        <v>72</v>
      </c>
      <c r="B30" s="2" t="s">
        <v>52</v>
      </c>
      <c r="C30" s="78" t="s">
        <v>0</v>
      </c>
      <c r="D30" s="78">
        <f>sheet1!K4</f>
        <v>3.5E-4</v>
      </c>
      <c r="E30" s="78">
        <f>D30*1000</f>
        <v>0.35</v>
      </c>
      <c r="F30" s="78">
        <f>D30*H30+(1-H30)*sheet1!L4</f>
        <v>9.3774193548387102E-5</v>
      </c>
      <c r="G30" s="78">
        <f>F30*1000</f>
        <v>9.3774193548387105E-2</v>
      </c>
      <c r="H30" s="78">
        <f t="shared" ref="H30:H35" si="3">I30/J30</f>
        <v>0.24193548387096775</v>
      </c>
      <c r="I30" s="1">
        <f>30</f>
        <v>30</v>
      </c>
      <c r="J30" s="1">
        <f>254-130</f>
        <v>124</v>
      </c>
    </row>
    <row r="31" spans="1:10" x14ac:dyDescent="0.35">
      <c r="A31" s="2" t="s">
        <v>73</v>
      </c>
      <c r="B31" s="2">
        <v>32</v>
      </c>
      <c r="C31" s="1" t="s">
        <v>6</v>
      </c>
      <c r="D31" s="79">
        <f>sheet1!K11</f>
        <v>6.4000000000000005E-4</v>
      </c>
      <c r="E31" s="78">
        <f t="shared" ref="E31:E36" si="4">D31*1000</f>
        <v>0.64</v>
      </c>
      <c r="F31" s="80">
        <f>D31*H31+(1-H31)*sheet1!L11</f>
        <v>2.9016129032258065E-5</v>
      </c>
      <c r="G31" s="78">
        <f t="shared" ref="G31:G36" si="5">F31*1000</f>
        <v>2.9016129032258066E-2</v>
      </c>
      <c r="H31" s="78">
        <f t="shared" si="3"/>
        <v>1.6129032258064516E-2</v>
      </c>
      <c r="I31" s="1">
        <f>1*2</f>
        <v>2</v>
      </c>
      <c r="J31" s="1">
        <f t="shared" ref="J31:J32" si="6">254-130</f>
        <v>124</v>
      </c>
    </row>
    <row r="32" spans="1:10" x14ac:dyDescent="0.35">
      <c r="A32" s="2" t="s">
        <v>74</v>
      </c>
      <c r="B32" s="2">
        <v>8</v>
      </c>
      <c r="C32" s="78" t="s">
        <v>68</v>
      </c>
      <c r="D32" s="80">
        <f>sheet1!K18</f>
        <v>4.2999999999999999E-4</v>
      </c>
      <c r="E32" s="78">
        <f t="shared" si="4"/>
        <v>0.43</v>
      </c>
      <c r="F32" s="80">
        <f>D32*H32+(1-H32)*sheet1!L18</f>
        <v>6.7677419354838706E-5</v>
      </c>
      <c r="G32" s="78">
        <f t="shared" si="5"/>
        <v>6.7677419354838703E-2</v>
      </c>
      <c r="H32" s="78">
        <f t="shared" si="3"/>
        <v>0.12903225806451613</v>
      </c>
      <c r="I32" s="1">
        <f>8*2</f>
        <v>16</v>
      </c>
      <c r="J32" s="1">
        <f t="shared" si="6"/>
        <v>124</v>
      </c>
    </row>
    <row r="33" spans="1:14" x14ac:dyDescent="0.35">
      <c r="A33" s="2" t="s">
        <v>44</v>
      </c>
      <c r="B33" s="2">
        <v>8</v>
      </c>
      <c r="C33" s="1" t="s">
        <v>11</v>
      </c>
      <c r="D33" s="79">
        <f>sheet1!K25</f>
        <v>1.7000000000000001E-2</v>
      </c>
      <c r="E33" s="78">
        <f t="shared" si="4"/>
        <v>17</v>
      </c>
      <c r="F33" s="80">
        <f>D33*H33+(1-H33)*sheet1!L25</f>
        <v>6.8394694960212206E-3</v>
      </c>
      <c r="G33" s="78">
        <f t="shared" si="5"/>
        <v>6.8394694960212208</v>
      </c>
      <c r="H33" s="78">
        <f t="shared" si="3"/>
        <v>0.38196286472148538</v>
      </c>
      <c r="I33" s="1">
        <f>256*2+32*2</f>
        <v>576</v>
      </c>
      <c r="J33" s="1">
        <v>1508</v>
      </c>
      <c r="K33" s="1">
        <f>33778-32270</f>
        <v>1508</v>
      </c>
    </row>
    <row r="34" spans="1:14" x14ac:dyDescent="0.35">
      <c r="A34" s="2" t="s">
        <v>75</v>
      </c>
      <c r="B34" s="82" t="s">
        <v>8</v>
      </c>
      <c r="C34" s="78" t="s">
        <v>69</v>
      </c>
      <c r="D34" s="80">
        <f>sheet1!K42</f>
        <v>6.8999999999999997E-4</v>
      </c>
      <c r="E34" s="78">
        <f t="shared" si="4"/>
        <v>0.69</v>
      </c>
      <c r="F34" s="80">
        <f>D34*H34+(1-H34)*sheet1!L42</f>
        <v>7.5954907161803709E-5</v>
      </c>
      <c r="G34" s="78">
        <f t="shared" si="5"/>
        <v>7.5954907161803711E-2</v>
      </c>
      <c r="H34" s="78">
        <f t="shared" si="3"/>
        <v>8.4880636604774531E-2</v>
      </c>
      <c r="I34" s="1">
        <f>32*2*2</f>
        <v>128</v>
      </c>
      <c r="J34" s="1">
        <v>1508</v>
      </c>
      <c r="K34" s="129" t="s">
        <v>89</v>
      </c>
      <c r="L34" s="129"/>
      <c r="M34" s="129"/>
      <c r="N34" s="129"/>
    </row>
    <row r="35" spans="1:14" x14ac:dyDescent="0.35">
      <c r="A35" s="2" t="s">
        <v>79</v>
      </c>
      <c r="B35" s="2" t="s">
        <v>80</v>
      </c>
      <c r="C35" s="1" t="s">
        <v>18</v>
      </c>
      <c r="D35" s="79">
        <f>sheet1!K49</f>
        <v>3.1199999999999999E-3</v>
      </c>
      <c r="E35" s="78">
        <f t="shared" si="4"/>
        <v>3.12</v>
      </c>
      <c r="F35" s="80">
        <f>D35*H35+(1-H35)*sheet1!L49</f>
        <v>1.4441193633952256E-3</v>
      </c>
      <c r="G35" s="78">
        <f t="shared" si="5"/>
        <v>1.4441193633952256</v>
      </c>
      <c r="H35" s="78">
        <f t="shared" si="3"/>
        <v>0.44562334217506633</v>
      </c>
      <c r="I35" s="1">
        <f>(16+5)*32</f>
        <v>672</v>
      </c>
      <c r="J35" s="1">
        <v>1508</v>
      </c>
    </row>
    <row r="36" spans="1:14" x14ac:dyDescent="0.35">
      <c r="A36" s="2"/>
      <c r="B36" s="2"/>
      <c r="C36" s="78" t="s">
        <v>70</v>
      </c>
      <c r="D36" s="80">
        <f>sheet1!K83</f>
        <v>2.0000000000000001E-4</v>
      </c>
      <c r="E36" s="78">
        <f t="shared" si="4"/>
        <v>0.2</v>
      </c>
      <c r="F36" s="80">
        <f>D36*H36+(1-H36)*sheet1!L83</f>
        <v>2.0000000000000001E-4</v>
      </c>
      <c r="G36" s="78">
        <f t="shared" si="5"/>
        <v>0.2</v>
      </c>
      <c r="H36" s="78">
        <v>1</v>
      </c>
    </row>
    <row r="37" spans="1:14" ht="15" thickBot="1" x14ac:dyDescent="0.4"/>
    <row r="38" spans="1:14" x14ac:dyDescent="0.35">
      <c r="A38" s="45"/>
      <c r="B38" s="46"/>
      <c r="C38" s="47"/>
    </row>
    <row r="39" spans="1:14" ht="15" thickBot="1" x14ac:dyDescent="0.4">
      <c r="A39" s="51"/>
      <c r="B39" s="52"/>
      <c r="C39" s="53"/>
    </row>
    <row r="41" spans="1:14" s="81" customFormat="1" x14ac:dyDescent="0.35"/>
    <row r="44" spans="1:14" x14ac:dyDescent="0.35">
      <c r="A44" s="35" t="s">
        <v>71</v>
      </c>
      <c r="B44" s="35"/>
      <c r="D44" s="1" t="s">
        <v>76</v>
      </c>
      <c r="F44" s="1" t="s">
        <v>77</v>
      </c>
      <c r="H44" s="1" t="s">
        <v>78</v>
      </c>
      <c r="I44" s="1" t="s">
        <v>81</v>
      </c>
      <c r="J44" s="1" t="s">
        <v>82</v>
      </c>
    </row>
    <row r="45" spans="1:14" x14ac:dyDescent="0.35">
      <c r="A45" s="2" t="s">
        <v>72</v>
      </c>
      <c r="B45" s="2" t="s">
        <v>52</v>
      </c>
      <c r="C45" s="78" t="s">
        <v>0</v>
      </c>
      <c r="D45" s="80">
        <f>sheet1!R4</f>
        <v>1.8000000000000001E-4</v>
      </c>
      <c r="E45" s="78">
        <f>D45*1000</f>
        <v>0.18000000000000002</v>
      </c>
      <c r="F45" s="78">
        <f>D45*H45+(1-H45)*sheet1!S4</f>
        <v>8.0108108108108118E-5</v>
      </c>
      <c r="G45" s="78">
        <f>F45*1000</f>
        <v>8.0108108108108117E-2</v>
      </c>
      <c r="H45" s="78">
        <f t="shared" ref="H45:H50" si="7">I45/J45</f>
        <v>0.40540540540540543</v>
      </c>
      <c r="I45" s="1">
        <f>60</f>
        <v>60</v>
      </c>
      <c r="J45" s="1">
        <f>148</f>
        <v>148</v>
      </c>
    </row>
    <row r="46" spans="1:14" x14ac:dyDescent="0.35">
      <c r="A46" s="2" t="s">
        <v>73</v>
      </c>
      <c r="B46" s="2">
        <v>32</v>
      </c>
      <c r="C46" s="1" t="s">
        <v>6</v>
      </c>
      <c r="D46" s="79">
        <f>sheet1!R11</f>
        <v>3.2000000000000003E-4</v>
      </c>
      <c r="E46" s="78">
        <f t="shared" ref="E46:E51" si="8">D46*1000</f>
        <v>0.32</v>
      </c>
      <c r="F46" s="80">
        <f>D46*H46+(1-H46)*sheet1!S11</f>
        <v>2.7135135135135134E-5</v>
      </c>
      <c r="G46" s="78">
        <f t="shared" ref="G46:G51" si="9">F46*1000</f>
        <v>2.7135135135135133E-2</v>
      </c>
      <c r="H46" s="78">
        <f t="shared" si="7"/>
        <v>2.7027027027027029E-2</v>
      </c>
      <c r="I46" s="1">
        <f>1*4</f>
        <v>4</v>
      </c>
      <c r="J46" s="1">
        <f>148</f>
        <v>148</v>
      </c>
    </row>
    <row r="47" spans="1:14" x14ac:dyDescent="0.35">
      <c r="A47" s="2" t="s">
        <v>74</v>
      </c>
      <c r="B47" s="2">
        <v>8</v>
      </c>
      <c r="C47" s="78" t="s">
        <v>68</v>
      </c>
      <c r="D47" s="80">
        <f>sheet1!R18</f>
        <v>2.24E-4</v>
      </c>
      <c r="E47" s="78">
        <f t="shared" si="8"/>
        <v>0.224</v>
      </c>
      <c r="F47" s="80">
        <f>D47*H47+(1-H47)*sheet1!S18</f>
        <v>5.9405405405405404E-5</v>
      </c>
      <c r="G47" s="78">
        <f t="shared" si="9"/>
        <v>5.9405405405405405E-2</v>
      </c>
      <c r="H47" s="78">
        <f t="shared" si="7"/>
        <v>0.21621621621621623</v>
      </c>
      <c r="I47" s="1">
        <f>8*4</f>
        <v>32</v>
      </c>
      <c r="J47" s="1">
        <f>148</f>
        <v>148</v>
      </c>
    </row>
    <row r="48" spans="1:14" x14ac:dyDescent="0.35">
      <c r="A48" s="2" t="s">
        <v>44</v>
      </c>
      <c r="B48" s="2">
        <v>8</v>
      </c>
      <c r="C48" s="1" t="s">
        <v>11</v>
      </c>
      <c r="D48" s="79">
        <f>sheet1!R25</f>
        <v>8.9999999999999993E-3</v>
      </c>
      <c r="E48" s="78">
        <f t="shared" si="8"/>
        <v>9</v>
      </c>
      <c r="F48" s="80">
        <f>D48*H48+(1-H48)*sheet1!S25</f>
        <v>3.7966444740346202E-3</v>
      </c>
      <c r="G48" s="78">
        <f t="shared" si="9"/>
        <v>3.7966444740346201</v>
      </c>
      <c r="H48" s="78">
        <f t="shared" si="7"/>
        <v>0.38348868175765644</v>
      </c>
      <c r="I48" s="1">
        <f>256*4+32*4</f>
        <v>1152</v>
      </c>
      <c r="J48" s="1">
        <f>3004</f>
        <v>3004</v>
      </c>
      <c r="K48" s="1">
        <f>41944-38940</f>
        <v>3004</v>
      </c>
    </row>
    <row r="49" spans="1:14" x14ac:dyDescent="0.35">
      <c r="A49" s="2" t="s">
        <v>75</v>
      </c>
      <c r="B49" s="82" t="s">
        <v>9</v>
      </c>
      <c r="C49" s="78" t="s">
        <v>69</v>
      </c>
      <c r="D49" s="80">
        <f>sheet1!R42</f>
        <v>3.5E-4</v>
      </c>
      <c r="E49" s="78">
        <f t="shared" si="8"/>
        <v>0.35</v>
      </c>
      <c r="F49" s="80">
        <f>D49*H49+(1-H49)*sheet1!S42</f>
        <v>2.9826897470039947E-5</v>
      </c>
      <c r="G49" s="78">
        <f t="shared" si="9"/>
        <v>2.9826897470039946E-2</v>
      </c>
      <c r="H49" s="78">
        <f t="shared" si="7"/>
        <v>8.5219707057256996E-2</v>
      </c>
      <c r="I49" s="1">
        <f>32*2*4</f>
        <v>256</v>
      </c>
      <c r="J49" s="1">
        <f>3004</f>
        <v>3004</v>
      </c>
      <c r="K49" s="129" t="s">
        <v>89</v>
      </c>
      <c r="L49" s="129"/>
      <c r="M49" s="129"/>
      <c r="N49" s="129"/>
    </row>
    <row r="50" spans="1:14" x14ac:dyDescent="0.35">
      <c r="A50" s="2" t="s">
        <v>79</v>
      </c>
      <c r="B50" s="2" t="s">
        <v>80</v>
      </c>
      <c r="C50" s="1" t="s">
        <v>18</v>
      </c>
      <c r="D50" s="79">
        <f>sheet1!R49</f>
        <v>1.6000000000000001E-3</v>
      </c>
      <c r="E50" s="78">
        <f t="shared" si="8"/>
        <v>1.6</v>
      </c>
      <c r="F50" s="80">
        <f>D50*H50+(1-H50)*sheet1!S49</f>
        <v>6.8939414114513981E-4</v>
      </c>
      <c r="G50" s="78">
        <f t="shared" si="9"/>
        <v>0.68939414114513986</v>
      </c>
      <c r="H50" s="78">
        <f t="shared" si="7"/>
        <v>0.39414114513981358</v>
      </c>
      <c r="I50" s="1">
        <f>(32+5)*32</f>
        <v>1184</v>
      </c>
      <c r="J50" s="1">
        <f>3004</f>
        <v>3004</v>
      </c>
    </row>
    <row r="51" spans="1:14" x14ac:dyDescent="0.35">
      <c r="A51" s="2"/>
      <c r="B51" s="2"/>
      <c r="C51" s="78" t="s">
        <v>70</v>
      </c>
      <c r="D51" s="80">
        <f>sheet1!R83</f>
        <v>1E-4</v>
      </c>
      <c r="E51" s="78">
        <f t="shared" si="8"/>
        <v>0.1</v>
      </c>
      <c r="F51" s="80">
        <f>D51*H51+(1-H51)*sheet1!S83</f>
        <v>1E-4</v>
      </c>
      <c r="G51" s="78">
        <f t="shared" si="9"/>
        <v>0.1</v>
      </c>
      <c r="H51" s="78">
        <v>1</v>
      </c>
    </row>
    <row r="53" spans="1:14" x14ac:dyDescent="0.35">
      <c r="A53" s="77"/>
      <c r="B53" s="77"/>
      <c r="C53" s="77"/>
    </row>
    <row r="54" spans="1:14" x14ac:dyDescent="0.35">
      <c r="A54" s="77"/>
      <c r="B54" s="77"/>
      <c r="C54" s="77"/>
    </row>
    <row r="56" spans="1:14" s="81" customFormat="1" x14ac:dyDescent="0.35"/>
    <row r="60" spans="1:14" x14ac:dyDescent="0.35">
      <c r="C60" s="136" t="s">
        <v>80</v>
      </c>
      <c r="D60" s="137"/>
      <c r="E60" s="136" t="s">
        <v>97</v>
      </c>
      <c r="F60" s="137"/>
    </row>
    <row r="61" spans="1:14" x14ac:dyDescent="0.35">
      <c r="B61" s="1" t="s">
        <v>93</v>
      </c>
      <c r="C61" s="83" t="s">
        <v>100</v>
      </c>
      <c r="D61" s="84" t="s">
        <v>101</v>
      </c>
      <c r="E61" s="83" t="s">
        <v>98</v>
      </c>
      <c r="F61" s="84" t="s">
        <v>99</v>
      </c>
    </row>
    <row r="62" spans="1:14" x14ac:dyDescent="0.35">
      <c r="B62" s="1" t="s">
        <v>95</v>
      </c>
      <c r="C62" s="85">
        <f>C12*1000</f>
        <v>264.47872000000007</v>
      </c>
      <c r="D62" s="84">
        <f>E70+C75</f>
        <v>29.537014114513987</v>
      </c>
      <c r="E62" s="83">
        <f>MAX(E45:E51)</f>
        <v>9</v>
      </c>
      <c r="F62" s="84">
        <f>SUM(G45:G51)</f>
        <v>4.7825141612984483</v>
      </c>
    </row>
    <row r="63" spans="1:14" x14ac:dyDescent="0.35">
      <c r="B63" s="1" t="s">
        <v>94</v>
      </c>
      <c r="C63" s="85">
        <f>C12*1000</f>
        <v>264.47872000000007</v>
      </c>
      <c r="D63" s="84">
        <f>E71+C76</f>
        <v>58.838985676392589</v>
      </c>
      <c r="E63" s="83">
        <f>MAX(E30:E36)</f>
        <v>17</v>
      </c>
      <c r="F63" s="84">
        <f>SUM(G30:G36)</f>
        <v>8.7500115085137331</v>
      </c>
    </row>
    <row r="64" spans="1:14" x14ac:dyDescent="0.35">
      <c r="B64" s="1" t="s">
        <v>96</v>
      </c>
      <c r="C64" s="86">
        <f>C12*1000</f>
        <v>264.47872000000007</v>
      </c>
      <c r="D64" s="87">
        <f>E72+C77</f>
        <v>112.45778250950572</v>
      </c>
      <c r="E64" s="88" t="e">
        <f>MAX(E2:E8)</f>
        <v>#REF!</v>
      </c>
      <c r="F64" s="87" t="e">
        <f>SUM(G2:G8)</f>
        <v>#REF!</v>
      </c>
    </row>
    <row r="67" spans="1:6" x14ac:dyDescent="0.35">
      <c r="A67" s="77"/>
      <c r="B67" s="129" t="s">
        <v>106</v>
      </c>
      <c r="C67" s="129"/>
      <c r="D67" s="129"/>
      <c r="E67" s="129"/>
      <c r="F67" s="129"/>
    </row>
    <row r="68" spans="1:6" x14ac:dyDescent="0.35">
      <c r="A68" s="77"/>
      <c r="B68" s="77"/>
      <c r="C68" s="77"/>
    </row>
    <row r="69" spans="1:6" x14ac:dyDescent="0.35">
      <c r="B69" s="1" t="s">
        <v>93</v>
      </c>
      <c r="C69" s="1" t="s">
        <v>80</v>
      </c>
      <c r="D69" s="1" t="s">
        <v>102</v>
      </c>
      <c r="E69" s="1" t="s">
        <v>103</v>
      </c>
    </row>
    <row r="70" spans="1:6" x14ac:dyDescent="0.35">
      <c r="B70" s="1" t="s">
        <v>95</v>
      </c>
      <c r="C70" s="1" t="s">
        <v>52</v>
      </c>
      <c r="D70" s="1">
        <f>C12*1000</f>
        <v>264.47872000000007</v>
      </c>
      <c r="E70" s="1">
        <f>(10/J48)*D70*32</f>
        <v>28.173498801597876</v>
      </c>
    </row>
    <row r="71" spans="1:6" x14ac:dyDescent="0.35">
      <c r="B71" s="1" t="s">
        <v>94</v>
      </c>
      <c r="C71" s="1" t="s">
        <v>104</v>
      </c>
      <c r="D71" s="1">
        <f>C12*1000</f>
        <v>264.47872000000007</v>
      </c>
      <c r="E71" s="1">
        <f>10/J33*D71*32</f>
        <v>56.122805305039805</v>
      </c>
    </row>
    <row r="72" spans="1:6" x14ac:dyDescent="0.35">
      <c r="B72" s="1" t="s">
        <v>96</v>
      </c>
      <c r="C72" s="1" t="s">
        <v>105</v>
      </c>
      <c r="D72" s="89">
        <f>C12*1000</f>
        <v>264.47872000000007</v>
      </c>
      <c r="E72" s="1">
        <f>10/J5*D72*32</f>
        <v>107.26640101394172</v>
      </c>
      <c r="F72" s="1">
        <f>66*32+256*4/32</f>
        <v>2144</v>
      </c>
    </row>
    <row r="74" spans="1:6" x14ac:dyDescent="0.35">
      <c r="B74" s="1" t="s">
        <v>93</v>
      </c>
      <c r="C74" s="1" t="s">
        <v>107</v>
      </c>
      <c r="D74" s="1" t="s">
        <v>110</v>
      </c>
    </row>
    <row r="75" spans="1:6" x14ac:dyDescent="0.35">
      <c r="B75" s="1" t="s">
        <v>95</v>
      </c>
      <c r="C75" s="1">
        <f>((2*8)*1)*8*32/J48</f>
        <v>1.3635153129161119</v>
      </c>
    </row>
    <row r="76" spans="1:6" x14ac:dyDescent="0.35">
      <c r="B76" s="1" t="s">
        <v>94</v>
      </c>
      <c r="C76" s="1">
        <f>((2*8)*1)*8*32/J33</f>
        <v>2.716180371352785</v>
      </c>
    </row>
    <row r="77" spans="1:6" x14ac:dyDescent="0.35">
      <c r="B77" s="1" t="s">
        <v>96</v>
      </c>
      <c r="C77" s="1">
        <f>((2*8)*1)*8*32/J5</f>
        <v>5.1913814955640047</v>
      </c>
    </row>
  </sheetData>
  <mergeCells count="7">
    <mergeCell ref="A1:B1"/>
    <mergeCell ref="K6:N6"/>
    <mergeCell ref="B67:F67"/>
    <mergeCell ref="K34:N34"/>
    <mergeCell ref="K49:N49"/>
    <mergeCell ref="C60:D60"/>
    <mergeCell ref="E60:F6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"/>
  <sheetViews>
    <sheetView topLeftCell="A26" zoomScale="70" zoomScaleNormal="70" workbookViewId="0">
      <selection activeCell="D5" sqref="D5"/>
    </sheetView>
  </sheetViews>
  <sheetFormatPr defaultColWidth="8.7265625" defaultRowHeight="14.5" x14ac:dyDescent="0.35"/>
  <cols>
    <col min="1" max="1" width="14.54296875" style="1" customWidth="1"/>
    <col min="2" max="2" width="13.1796875" style="1" customWidth="1"/>
    <col min="3" max="4" width="16.54296875" style="1" customWidth="1"/>
    <col min="5" max="5" width="15.26953125" style="1" customWidth="1"/>
    <col min="6" max="6" width="15.81640625" style="1" customWidth="1"/>
    <col min="7" max="7" width="13.453125" style="1" customWidth="1"/>
    <col min="8" max="8" width="17.81640625" style="1" customWidth="1"/>
    <col min="9" max="9" width="11.453125" style="1" customWidth="1"/>
    <col min="10" max="10" width="11.7265625" style="1" customWidth="1"/>
    <col min="11" max="13" width="8.7265625" style="1"/>
    <col min="14" max="14" width="11.453125" style="1" customWidth="1"/>
    <col min="15" max="15" width="8.7265625" style="1"/>
    <col min="16" max="16" width="12.81640625" style="1" customWidth="1"/>
    <col min="17" max="17" width="27" style="1" customWidth="1"/>
    <col min="18" max="18" width="16.453125" style="1" customWidth="1"/>
    <col min="19" max="16384" width="8.7265625" style="1"/>
  </cols>
  <sheetData>
    <row r="1" spans="1:14" x14ac:dyDescent="0.35">
      <c r="A1" s="129" t="s">
        <v>71</v>
      </c>
      <c r="B1" s="129"/>
      <c r="D1" s="1" t="s">
        <v>135</v>
      </c>
      <c r="F1" s="1" t="s">
        <v>134</v>
      </c>
      <c r="H1" s="1" t="s">
        <v>78</v>
      </c>
      <c r="I1" s="1" t="s">
        <v>81</v>
      </c>
      <c r="J1" s="1" t="s">
        <v>82</v>
      </c>
    </row>
    <row r="2" spans="1:14" x14ac:dyDescent="0.35">
      <c r="A2" s="2" t="s">
        <v>72</v>
      </c>
      <c r="B2" s="2" t="s">
        <v>52</v>
      </c>
      <c r="C2" s="78" t="s">
        <v>0</v>
      </c>
      <c r="D2" s="78">
        <f>sheet1!D4</f>
        <v>6.8999999999999997E-4</v>
      </c>
      <c r="E2" s="78">
        <f>D2*1000</f>
        <v>0.69</v>
      </c>
      <c r="F2" s="78">
        <f>D2*H2+(1-H2)*sheet1!E4</f>
        <v>1.0280357142857142E-4</v>
      </c>
      <c r="G2" s="78">
        <f>F2*1000</f>
        <v>0.10280357142857142</v>
      </c>
      <c r="H2" s="78">
        <f t="shared" ref="H2:H7" si="0">I2/J2</f>
        <v>0.13392857142857142</v>
      </c>
      <c r="I2" s="1">
        <f>133-118</f>
        <v>15</v>
      </c>
      <c r="J2" s="1">
        <f>227-115</f>
        <v>112</v>
      </c>
    </row>
    <row r="3" spans="1:14" x14ac:dyDescent="0.35">
      <c r="A3" s="2" t="s">
        <v>73</v>
      </c>
      <c r="B3" s="2">
        <v>32</v>
      </c>
      <c r="C3" s="1" t="s">
        <v>6</v>
      </c>
      <c r="D3" s="79">
        <f>sheet1!D11</f>
        <v>1.2600000000000001E-3</v>
      </c>
      <c r="E3" s="78">
        <f t="shared" ref="E3:E8" si="1">D3*1000</f>
        <v>1.26</v>
      </c>
      <c r="F3" s="80">
        <f>D3*H3+(1-H3)*sheet1!E11</f>
        <v>3.0080357142857145E-5</v>
      </c>
      <c r="G3" s="78">
        <f t="shared" ref="G3:G8" si="2">F3*1000</f>
        <v>3.0080357142857145E-2</v>
      </c>
      <c r="H3" s="78">
        <f t="shared" si="0"/>
        <v>8.9285714285714281E-3</v>
      </c>
      <c r="I3" s="1">
        <f>1</f>
        <v>1</v>
      </c>
      <c r="J3" s="1">
        <f>227-115</f>
        <v>112</v>
      </c>
    </row>
    <row r="4" spans="1:14" x14ac:dyDescent="0.35">
      <c r="A4" s="2" t="s">
        <v>74</v>
      </c>
      <c r="B4" s="2">
        <v>8</v>
      </c>
      <c r="C4" s="78" t="s">
        <v>92</v>
      </c>
      <c r="D4" s="80">
        <f>sheet1!D18</f>
        <v>8.4999999999999995E-4</v>
      </c>
      <c r="E4" s="78">
        <f t="shared" si="1"/>
        <v>0.85</v>
      </c>
      <c r="F4" s="80">
        <f>D4*H4+(1-H4)*sheet1!E18</f>
        <v>7.2785714285714278E-5</v>
      </c>
      <c r="G4" s="78">
        <f t="shared" si="2"/>
        <v>7.2785714285714273E-2</v>
      </c>
      <c r="H4" s="78">
        <f t="shared" si="0"/>
        <v>7.1428571428571425E-2</v>
      </c>
      <c r="I4" s="1">
        <f>126-118</f>
        <v>8</v>
      </c>
      <c r="J4" s="1">
        <f>227-115</f>
        <v>112</v>
      </c>
    </row>
    <row r="5" spans="1:14" x14ac:dyDescent="0.35">
      <c r="A5" s="2" t="s">
        <v>44</v>
      </c>
      <c r="B5" s="2">
        <v>32</v>
      </c>
      <c r="C5" s="1" t="s">
        <v>11</v>
      </c>
      <c r="D5" s="79">
        <f>sheet1!D25</f>
        <v>3.4000000000000002E-2</v>
      </c>
      <c r="E5" s="78">
        <f t="shared" si="1"/>
        <v>34</v>
      </c>
      <c r="F5" s="80">
        <f>D5*H5+(1-H5)*sheet1!E25</f>
        <v>4.5728000000000001E-3</v>
      </c>
      <c r="G5" s="78">
        <f t="shared" si="2"/>
        <v>4.5728</v>
      </c>
      <c r="H5" s="78">
        <f t="shared" si="0"/>
        <v>0.12</v>
      </c>
      <c r="I5" s="1">
        <f>256*1+32*1</f>
        <v>288</v>
      </c>
      <c r="J5" s="1">
        <v>2400</v>
      </c>
    </row>
    <row r="6" spans="1:14" x14ac:dyDescent="0.35">
      <c r="A6" s="2" t="s">
        <v>75</v>
      </c>
      <c r="B6" s="82" t="s">
        <v>7</v>
      </c>
      <c r="C6" s="78" t="s">
        <v>131</v>
      </c>
      <c r="D6" s="80">
        <f>sheet1!D42</f>
        <v>1.2999999999999999E-3</v>
      </c>
      <c r="E6" s="78">
        <f t="shared" si="1"/>
        <v>1.3</v>
      </c>
      <c r="F6" s="80">
        <f>D6*H6+(1-H6)*sheet1!E42</f>
        <v>5.3159999999999999E-5</v>
      </c>
      <c r="G6" s="78">
        <f t="shared" si="2"/>
        <v>5.3159999999999999E-2</v>
      </c>
      <c r="H6" s="78">
        <f t="shared" si="0"/>
        <v>2.6666666666666668E-2</v>
      </c>
      <c r="I6" s="1">
        <f>32*2*1</f>
        <v>64</v>
      </c>
      <c r="J6" s="1">
        <v>2400</v>
      </c>
      <c r="K6" s="129" t="s">
        <v>89</v>
      </c>
      <c r="L6" s="129"/>
      <c r="M6" s="129"/>
      <c r="N6" s="129"/>
    </row>
    <row r="7" spans="1:14" x14ac:dyDescent="0.35">
      <c r="A7" s="2" t="s">
        <v>79</v>
      </c>
      <c r="B7" s="2" t="s">
        <v>80</v>
      </c>
      <c r="C7" s="1" t="s">
        <v>18</v>
      </c>
      <c r="D7" s="79">
        <f>sheet1!D49</f>
        <v>6.0000000000000001E-3</v>
      </c>
      <c r="E7" s="78">
        <f t="shared" si="1"/>
        <v>6</v>
      </c>
      <c r="F7" s="80">
        <f>D7*H7+(1-H7)*sheet1!E74</f>
        <v>4.8346666666666659E-3</v>
      </c>
      <c r="G7" s="78">
        <f t="shared" si="2"/>
        <v>4.8346666666666662</v>
      </c>
      <c r="H7" s="78">
        <f t="shared" si="0"/>
        <v>0.49333333333333335</v>
      </c>
      <c r="I7" s="1">
        <f>(32+5)*32</f>
        <v>1184</v>
      </c>
      <c r="J7" s="1">
        <v>2400</v>
      </c>
    </row>
    <row r="8" spans="1:14" x14ac:dyDescent="0.35">
      <c r="A8" s="2"/>
      <c r="B8" s="2"/>
      <c r="C8" s="78" t="s">
        <v>70</v>
      </c>
      <c r="D8" s="80">
        <f>sheet1!D83</f>
        <v>3.8999999999999999E-4</v>
      </c>
      <c r="E8" s="78">
        <f t="shared" si="1"/>
        <v>0.39</v>
      </c>
      <c r="F8" s="80">
        <f>D8*H8+(1-H8)*sheet1!E75</f>
        <v>3.8999999999999999E-4</v>
      </c>
      <c r="G8" s="78">
        <f t="shared" si="2"/>
        <v>0.39</v>
      </c>
      <c r="H8" s="78">
        <v>1</v>
      </c>
    </row>
    <row r="10" spans="1:14" ht="15" thickBot="1" x14ac:dyDescent="0.4"/>
    <row r="11" spans="1:14" x14ac:dyDescent="0.35">
      <c r="A11" s="45" t="s">
        <v>48</v>
      </c>
      <c r="B11" s="46" t="s">
        <v>90</v>
      </c>
      <c r="C11" s="47" t="s">
        <v>91</v>
      </c>
    </row>
    <row r="12" spans="1:14" ht="15" thickBot="1" x14ac:dyDescent="0.4">
      <c r="A12" s="51" t="s">
        <v>52</v>
      </c>
      <c r="B12" s="52">
        <f>(((0.2^2)/5000)*256+0.000004)*256</f>
        <v>0.52531200000000011</v>
      </c>
      <c r="C12" s="53">
        <f>((((0.2^2)/5000)+((0.2^2)/1000000))/2*256+0.000004)*256</f>
        <v>0.26447872000000006</v>
      </c>
    </row>
    <row r="25" spans="1:10" s="81" customFormat="1" x14ac:dyDescent="0.35"/>
    <row r="29" spans="1:10" x14ac:dyDescent="0.35">
      <c r="A29" s="35" t="s">
        <v>71</v>
      </c>
      <c r="B29" s="35"/>
      <c r="D29" s="1" t="s">
        <v>76</v>
      </c>
      <c r="F29" s="1" t="s">
        <v>77</v>
      </c>
      <c r="H29" s="1" t="s">
        <v>78</v>
      </c>
      <c r="I29" s="1" t="s">
        <v>81</v>
      </c>
      <c r="J29" s="1" t="s">
        <v>82</v>
      </c>
    </row>
    <row r="30" spans="1:10" x14ac:dyDescent="0.35">
      <c r="A30" s="2" t="s">
        <v>72</v>
      </c>
      <c r="B30" s="2" t="s">
        <v>52</v>
      </c>
      <c r="C30" s="78" t="s">
        <v>0</v>
      </c>
      <c r="D30" s="78">
        <f>sheet1!K4</f>
        <v>3.5E-4</v>
      </c>
      <c r="E30" s="78">
        <f>D30*1000</f>
        <v>0.35</v>
      </c>
      <c r="F30" s="78">
        <f>D30*H30+(1-H30)*sheet1!L4</f>
        <v>9.3774193548387102E-5</v>
      </c>
      <c r="G30" s="78">
        <f>F30*1000</f>
        <v>9.3774193548387105E-2</v>
      </c>
      <c r="H30" s="78">
        <f t="shared" ref="H30:H35" si="3">I30/J30</f>
        <v>0.24193548387096775</v>
      </c>
      <c r="I30" s="1">
        <f>30</f>
        <v>30</v>
      </c>
      <c r="J30" s="1">
        <f>254-130</f>
        <v>124</v>
      </c>
    </row>
    <row r="31" spans="1:10" x14ac:dyDescent="0.35">
      <c r="A31" s="2" t="s">
        <v>73</v>
      </c>
      <c r="B31" s="2">
        <v>32</v>
      </c>
      <c r="C31" s="1" t="s">
        <v>6</v>
      </c>
      <c r="D31" s="79">
        <f>sheet1!K11</f>
        <v>6.4000000000000005E-4</v>
      </c>
      <c r="E31" s="78">
        <f t="shared" ref="E31:E36" si="4">D31*1000</f>
        <v>0.64</v>
      </c>
      <c r="F31" s="80">
        <f>D31*H31+(1-H31)*sheet1!L11</f>
        <v>2.9016129032258065E-5</v>
      </c>
      <c r="G31" s="78">
        <f t="shared" ref="G31:G36" si="5">F31*1000</f>
        <v>2.9016129032258066E-2</v>
      </c>
      <c r="H31" s="78">
        <f t="shared" si="3"/>
        <v>1.6129032258064516E-2</v>
      </c>
      <c r="I31" s="1">
        <f>1*2</f>
        <v>2</v>
      </c>
      <c r="J31" s="1">
        <f t="shared" ref="J31:J32" si="6">254-130</f>
        <v>124</v>
      </c>
    </row>
    <row r="32" spans="1:10" x14ac:dyDescent="0.35">
      <c r="A32" s="2" t="s">
        <v>74</v>
      </c>
      <c r="B32" s="2">
        <v>8</v>
      </c>
      <c r="C32" s="78" t="s">
        <v>68</v>
      </c>
      <c r="D32" s="80">
        <f>sheet1!K18</f>
        <v>4.2999999999999999E-4</v>
      </c>
      <c r="E32" s="78">
        <f t="shared" si="4"/>
        <v>0.43</v>
      </c>
      <c r="F32" s="80">
        <f>D32*H32+(1-H32)*sheet1!L18</f>
        <v>6.7677419354838706E-5</v>
      </c>
      <c r="G32" s="78">
        <f t="shared" si="5"/>
        <v>6.7677419354838703E-2</v>
      </c>
      <c r="H32" s="78">
        <f t="shared" si="3"/>
        <v>0.12903225806451613</v>
      </c>
      <c r="I32" s="1">
        <f>8*2</f>
        <v>16</v>
      </c>
      <c r="J32" s="1">
        <f t="shared" si="6"/>
        <v>124</v>
      </c>
    </row>
    <row r="33" spans="1:14" x14ac:dyDescent="0.35">
      <c r="A33" s="2" t="s">
        <v>44</v>
      </c>
      <c r="B33" s="2">
        <v>32</v>
      </c>
      <c r="C33" s="1" t="s">
        <v>11</v>
      </c>
      <c r="D33" s="79">
        <f>sheet1!K25</f>
        <v>1.7000000000000001E-2</v>
      </c>
      <c r="E33" s="78">
        <f t="shared" si="4"/>
        <v>17</v>
      </c>
      <c r="F33" s="80">
        <f>D33*H33+(1-H33)*sheet1!L25</f>
        <v>3.8594564459930314E-3</v>
      </c>
      <c r="G33" s="78">
        <f t="shared" si="5"/>
        <v>3.8594564459930316</v>
      </c>
      <c r="H33" s="78">
        <f t="shared" si="3"/>
        <v>0.20069686411149826</v>
      </c>
      <c r="I33" s="1">
        <f>256*2+32*2</f>
        <v>576</v>
      </c>
      <c r="J33" s="1">
        <v>2870</v>
      </c>
    </row>
    <row r="34" spans="1:14" x14ac:dyDescent="0.35">
      <c r="A34" s="2" t="s">
        <v>75</v>
      </c>
      <c r="B34" s="82" t="s">
        <v>8</v>
      </c>
      <c r="C34" s="78" t="s">
        <v>69</v>
      </c>
      <c r="D34" s="80">
        <f>sheet1!K42</f>
        <v>6.8999999999999997E-4</v>
      </c>
      <c r="E34" s="78">
        <f t="shared" si="4"/>
        <v>0.69</v>
      </c>
      <c r="F34" s="80">
        <f>D34*H34+(1-H34)*sheet1!L42</f>
        <v>4.8926132404181185E-5</v>
      </c>
      <c r="G34" s="78">
        <f t="shared" si="5"/>
        <v>4.8926132404181186E-2</v>
      </c>
      <c r="H34" s="78">
        <f t="shared" si="3"/>
        <v>4.4599303135888502E-2</v>
      </c>
      <c r="I34" s="1">
        <f>32*2*2</f>
        <v>128</v>
      </c>
      <c r="J34" s="1">
        <v>2870</v>
      </c>
      <c r="K34" s="129" t="s">
        <v>89</v>
      </c>
      <c r="L34" s="129"/>
      <c r="M34" s="129"/>
      <c r="N34" s="129"/>
    </row>
    <row r="35" spans="1:14" x14ac:dyDescent="0.35">
      <c r="A35" s="2" t="s">
        <v>79</v>
      </c>
      <c r="B35" s="2" t="s">
        <v>80</v>
      </c>
      <c r="C35" s="1" t="s">
        <v>18</v>
      </c>
      <c r="D35" s="79">
        <f>sheet1!K49</f>
        <v>3.1199999999999999E-3</v>
      </c>
      <c r="E35" s="78">
        <f t="shared" si="4"/>
        <v>3.12</v>
      </c>
      <c r="F35" s="80">
        <f>D35*H35+(1-H35)*sheet1!L49</f>
        <v>2.4227087108013939E-3</v>
      </c>
      <c r="G35" s="78">
        <f t="shared" si="5"/>
        <v>2.4227087108013938</v>
      </c>
      <c r="H35" s="78">
        <f t="shared" si="3"/>
        <v>0.76933797909407664</v>
      </c>
      <c r="I35" s="1">
        <f>(32*2+5)*32</f>
        <v>2208</v>
      </c>
      <c r="J35" s="1">
        <v>2870</v>
      </c>
      <c r="K35" s="1">
        <f>35140-32270</f>
        <v>2870</v>
      </c>
    </row>
    <row r="36" spans="1:14" x14ac:dyDescent="0.35">
      <c r="A36" s="2"/>
      <c r="B36" s="2"/>
      <c r="C36" s="78" t="s">
        <v>70</v>
      </c>
      <c r="D36" s="80">
        <f>sheet1!K83</f>
        <v>2.0000000000000001E-4</v>
      </c>
      <c r="E36" s="78">
        <f t="shared" si="4"/>
        <v>0.2</v>
      </c>
      <c r="F36" s="80">
        <f>D36*H36+(1-H36)*sheet1!L83</f>
        <v>2.0000000000000001E-4</v>
      </c>
      <c r="G36" s="78">
        <f t="shared" si="5"/>
        <v>0.2</v>
      </c>
      <c r="H36" s="78">
        <v>1</v>
      </c>
    </row>
    <row r="37" spans="1:14" ht="15" thickBot="1" x14ac:dyDescent="0.4"/>
    <row r="38" spans="1:14" x14ac:dyDescent="0.35">
      <c r="A38" s="45"/>
      <c r="B38" s="46"/>
      <c r="C38" s="47"/>
    </row>
    <row r="39" spans="1:14" ht="15" thickBot="1" x14ac:dyDescent="0.4">
      <c r="A39" s="51"/>
      <c r="B39" s="52"/>
      <c r="C39" s="53"/>
    </row>
    <row r="41" spans="1:14" s="81" customFormat="1" x14ac:dyDescent="0.35"/>
    <row r="44" spans="1:14" x14ac:dyDescent="0.35">
      <c r="A44" s="35" t="s">
        <v>71</v>
      </c>
      <c r="B44" s="35"/>
      <c r="D44" s="1" t="s">
        <v>76</v>
      </c>
      <c r="F44" s="1" t="s">
        <v>77</v>
      </c>
      <c r="H44" s="1" t="s">
        <v>78</v>
      </c>
      <c r="I44" s="1" t="s">
        <v>81</v>
      </c>
      <c r="J44" s="1" t="s">
        <v>82</v>
      </c>
    </row>
    <row r="45" spans="1:14" x14ac:dyDescent="0.35">
      <c r="A45" s="2" t="s">
        <v>72</v>
      </c>
      <c r="B45" s="2" t="s">
        <v>52</v>
      </c>
      <c r="C45" s="78" t="s">
        <v>0</v>
      </c>
      <c r="D45" s="80">
        <f>sheet1!R4</f>
        <v>1.8000000000000001E-4</v>
      </c>
      <c r="E45" s="78">
        <f>D45*1000</f>
        <v>0.18000000000000002</v>
      </c>
      <c r="F45" s="78">
        <f>D45*H45+(1-H45)*sheet1!S4</f>
        <v>8.0108108108108118E-5</v>
      </c>
      <c r="G45" s="78">
        <f>F45*1000</f>
        <v>8.0108108108108117E-2</v>
      </c>
      <c r="H45" s="78">
        <f t="shared" ref="H45:H50" si="7">I45/J45</f>
        <v>0.40540540540540543</v>
      </c>
      <c r="I45" s="1">
        <f>60</f>
        <v>60</v>
      </c>
      <c r="J45" s="1">
        <f>148</f>
        <v>148</v>
      </c>
    </row>
    <row r="46" spans="1:14" x14ac:dyDescent="0.35">
      <c r="A46" s="2" t="s">
        <v>73</v>
      </c>
      <c r="B46" s="2">
        <v>32</v>
      </c>
      <c r="C46" s="1" t="s">
        <v>6</v>
      </c>
      <c r="D46" s="79">
        <f>sheet1!R11</f>
        <v>3.2000000000000003E-4</v>
      </c>
      <c r="E46" s="78">
        <f t="shared" ref="E46:E51" si="8">D46*1000</f>
        <v>0.32</v>
      </c>
      <c r="F46" s="80">
        <f>D46*H46+(1-H46)*sheet1!S11</f>
        <v>2.7135135135135134E-5</v>
      </c>
      <c r="G46" s="78">
        <f t="shared" ref="G46:G51" si="9">F46*1000</f>
        <v>2.7135135135135133E-2</v>
      </c>
      <c r="H46" s="78">
        <f t="shared" si="7"/>
        <v>2.7027027027027029E-2</v>
      </c>
      <c r="I46" s="1">
        <f>1*4</f>
        <v>4</v>
      </c>
      <c r="J46" s="1">
        <f>148</f>
        <v>148</v>
      </c>
    </row>
    <row r="47" spans="1:14" x14ac:dyDescent="0.35">
      <c r="A47" s="2" t="s">
        <v>74</v>
      </c>
      <c r="B47" s="2">
        <v>8</v>
      </c>
      <c r="C47" s="78" t="s">
        <v>68</v>
      </c>
      <c r="D47" s="80">
        <f>sheet1!R18</f>
        <v>2.24E-4</v>
      </c>
      <c r="E47" s="78">
        <f t="shared" si="8"/>
        <v>0.224</v>
      </c>
      <c r="F47" s="80">
        <f>D47*H47+(1-H47)*sheet1!S18</f>
        <v>5.9405405405405404E-5</v>
      </c>
      <c r="G47" s="78">
        <f t="shared" si="9"/>
        <v>5.9405405405405405E-2</v>
      </c>
      <c r="H47" s="78">
        <f t="shared" si="7"/>
        <v>0.21621621621621623</v>
      </c>
      <c r="I47" s="1">
        <f>8*4</f>
        <v>32</v>
      </c>
      <c r="J47" s="1">
        <f>148</f>
        <v>148</v>
      </c>
    </row>
    <row r="48" spans="1:14" x14ac:dyDescent="0.35">
      <c r="A48" s="2" t="s">
        <v>44</v>
      </c>
      <c r="B48" s="2">
        <v>32</v>
      </c>
      <c r="C48" s="1" t="s">
        <v>11</v>
      </c>
      <c r="D48" s="79">
        <f>sheet1!R25</f>
        <v>8.9999999999999993E-3</v>
      </c>
      <c r="E48" s="78">
        <f t="shared" si="8"/>
        <v>9</v>
      </c>
      <c r="F48" s="80">
        <f>D48*H48+(1-H48)*sheet1!S25</f>
        <v>1.8069493844049245E-3</v>
      </c>
      <c r="G48" s="78">
        <f t="shared" si="9"/>
        <v>1.8069493844049245</v>
      </c>
      <c r="H48" s="78">
        <f t="shared" si="7"/>
        <v>0.14774281805745554</v>
      </c>
      <c r="I48" s="1">
        <f>(256*4+32*4)*3/4</f>
        <v>864</v>
      </c>
      <c r="J48" s="1">
        <v>5848</v>
      </c>
      <c r="K48" s="1">
        <f>44788-38940</f>
        <v>5848</v>
      </c>
      <c r="L48" s="94" t="s">
        <v>111</v>
      </c>
    </row>
    <row r="49" spans="1:14" x14ac:dyDescent="0.35">
      <c r="A49" s="2" t="s">
        <v>75</v>
      </c>
      <c r="B49" s="82" t="s">
        <v>9</v>
      </c>
      <c r="C49" s="78" t="s">
        <v>69</v>
      </c>
      <c r="D49" s="80">
        <f>sheet1!R42</f>
        <v>3.5E-4</v>
      </c>
      <c r="E49" s="78">
        <f t="shared" si="8"/>
        <v>0.35</v>
      </c>
      <c r="F49" s="80">
        <f>D49*H49+(1-H49)*sheet1!S42</f>
        <v>1.5321477428180575E-5</v>
      </c>
      <c r="G49" s="78">
        <f t="shared" si="9"/>
        <v>1.5321477428180574E-2</v>
      </c>
      <c r="H49" s="78">
        <f t="shared" si="7"/>
        <v>4.3775649794801641E-2</v>
      </c>
      <c r="I49" s="1">
        <f>32*2*4</f>
        <v>256</v>
      </c>
      <c r="J49" s="1">
        <v>5848</v>
      </c>
      <c r="K49" s="129" t="s">
        <v>89</v>
      </c>
      <c r="L49" s="129"/>
      <c r="M49" s="129"/>
      <c r="N49" s="129"/>
    </row>
    <row r="50" spans="1:14" x14ac:dyDescent="0.35">
      <c r="A50" s="2" t="s">
        <v>79</v>
      </c>
      <c r="B50" s="2" t="s">
        <v>80</v>
      </c>
      <c r="C50" s="1" t="s">
        <v>18</v>
      </c>
      <c r="D50" s="79">
        <f>sheet1!R49</f>
        <v>1.6000000000000001E-3</v>
      </c>
      <c r="E50" s="78">
        <f t="shared" si="8"/>
        <v>1.6</v>
      </c>
      <c r="F50" s="80">
        <f>D50*H50+(1-H50)*sheet1!S49</f>
        <v>9.1737893296853625E-4</v>
      </c>
      <c r="G50" s="78">
        <f t="shared" si="9"/>
        <v>0.91737893296853623</v>
      </c>
      <c r="H50" s="78">
        <f t="shared" si="7"/>
        <v>0.54582763337893292</v>
      </c>
      <c r="I50" s="1">
        <f>((32*4+5)*32)*3/4</f>
        <v>3192</v>
      </c>
      <c r="J50" s="1">
        <v>5848</v>
      </c>
    </row>
    <row r="51" spans="1:14" x14ac:dyDescent="0.35">
      <c r="A51" s="2"/>
      <c r="B51" s="2"/>
      <c r="C51" s="78" t="s">
        <v>70</v>
      </c>
      <c r="D51" s="80">
        <f>sheet1!R83</f>
        <v>1E-4</v>
      </c>
      <c r="E51" s="78">
        <f t="shared" si="8"/>
        <v>0.1</v>
      </c>
      <c r="F51" s="80">
        <f>D51*H51+(1-H51)*sheet1!S83</f>
        <v>1E-4</v>
      </c>
      <c r="G51" s="78">
        <f t="shared" si="9"/>
        <v>0.1</v>
      </c>
      <c r="H51" s="78">
        <v>1</v>
      </c>
    </row>
    <row r="53" spans="1:14" x14ac:dyDescent="0.35">
      <c r="A53" s="77"/>
      <c r="B53" s="77"/>
      <c r="C53" s="77"/>
    </row>
    <row r="54" spans="1:14" x14ac:dyDescent="0.35">
      <c r="A54" s="77"/>
      <c r="B54" s="77"/>
      <c r="C54" s="77"/>
    </row>
    <row r="56" spans="1:14" s="81" customFormat="1" x14ac:dyDescent="0.35"/>
    <row r="60" spans="1:14" x14ac:dyDescent="0.35">
      <c r="C60" s="136" t="s">
        <v>80</v>
      </c>
      <c r="D60" s="137"/>
      <c r="E60" s="136" t="s">
        <v>97</v>
      </c>
      <c r="F60" s="137"/>
    </row>
    <row r="61" spans="1:14" x14ac:dyDescent="0.35">
      <c r="B61" s="1" t="s">
        <v>93</v>
      </c>
      <c r="C61" s="83" t="s">
        <v>127</v>
      </c>
      <c r="D61" s="84" t="s">
        <v>101</v>
      </c>
      <c r="E61" s="83" t="s">
        <v>128</v>
      </c>
      <c r="F61" s="84" t="s">
        <v>99</v>
      </c>
    </row>
    <row r="62" spans="1:14" x14ac:dyDescent="0.35">
      <c r="B62" s="1" t="s">
        <v>95</v>
      </c>
      <c r="C62" s="85">
        <f>C12*1000</f>
        <v>264.47872000000007</v>
      </c>
      <c r="D62" s="84">
        <f>E70+C75</f>
        <v>17.273801367989059</v>
      </c>
      <c r="E62" s="83">
        <f>E48+E50</f>
        <v>10.6</v>
      </c>
      <c r="F62" s="84">
        <f>SUM(G45:G51)</f>
        <v>3.0062984434502904</v>
      </c>
    </row>
    <row r="63" spans="1:14" x14ac:dyDescent="0.35">
      <c r="B63" s="1" t="s">
        <v>94</v>
      </c>
      <c r="C63" s="85">
        <f>C12*1000</f>
        <v>264.47872000000007</v>
      </c>
      <c r="D63" s="84">
        <f>E71+C76</f>
        <v>35.197627317073177</v>
      </c>
      <c r="E63" s="83">
        <f>E33+E35</f>
        <v>20.12</v>
      </c>
      <c r="F63" s="84">
        <f>SUM(G30:G36)</f>
        <v>6.72155903113409</v>
      </c>
    </row>
    <row r="64" spans="1:14" x14ac:dyDescent="0.35">
      <c r="B64" s="1" t="s">
        <v>96</v>
      </c>
      <c r="C64" s="86">
        <f>C12*1000</f>
        <v>264.47872000000007</v>
      </c>
      <c r="D64" s="87">
        <f>E72+C77</f>
        <v>42.090496000000009</v>
      </c>
      <c r="E64" s="88">
        <f>E5+E7</f>
        <v>40</v>
      </c>
      <c r="F64" s="87">
        <f>SUM(G2:G8)</f>
        <v>10.056296309523809</v>
      </c>
    </row>
    <row r="67" spans="1:6" x14ac:dyDescent="0.35">
      <c r="A67" s="77"/>
      <c r="B67" s="129" t="s">
        <v>106</v>
      </c>
      <c r="C67" s="129"/>
      <c r="D67" s="129"/>
      <c r="E67" s="129"/>
      <c r="F67" s="129"/>
    </row>
    <row r="68" spans="1:6" x14ac:dyDescent="0.35">
      <c r="A68" s="77"/>
      <c r="B68" s="77"/>
      <c r="C68" s="77"/>
    </row>
    <row r="69" spans="1:6" x14ac:dyDescent="0.35">
      <c r="B69" s="1" t="s">
        <v>93</v>
      </c>
      <c r="C69" s="1" t="s">
        <v>80</v>
      </c>
      <c r="D69" s="1" t="s">
        <v>102</v>
      </c>
      <c r="E69" s="1" t="s">
        <v>103</v>
      </c>
    </row>
    <row r="70" spans="1:6" x14ac:dyDescent="0.35">
      <c r="B70" s="1" t="s">
        <v>95</v>
      </c>
      <c r="C70" s="1" t="s">
        <v>52</v>
      </c>
      <c r="D70" s="1">
        <f>C12*1000</f>
        <v>264.47872000000007</v>
      </c>
      <c r="E70" s="1">
        <f>(10/J48)*D70*32</f>
        <v>14.472159781121755</v>
      </c>
    </row>
    <row r="71" spans="1:6" x14ac:dyDescent="0.35">
      <c r="B71" s="1" t="s">
        <v>94</v>
      </c>
      <c r="C71" s="1" t="s">
        <v>104</v>
      </c>
      <c r="D71" s="1">
        <f>C12*1000</f>
        <v>264.47872000000007</v>
      </c>
      <c r="E71" s="1">
        <f>10/J33*D71*32</f>
        <v>29.488916515679449</v>
      </c>
    </row>
    <row r="72" spans="1:6" x14ac:dyDescent="0.35">
      <c r="B72" s="1" t="s">
        <v>96</v>
      </c>
      <c r="C72" s="1" t="s">
        <v>105</v>
      </c>
      <c r="D72" s="89">
        <f>C12*1000</f>
        <v>264.47872000000007</v>
      </c>
      <c r="E72" s="1">
        <f>10/J5*D72*32</f>
        <v>35.263829333333341</v>
      </c>
      <c r="F72" s="1">
        <f>66*32+256*4/32</f>
        <v>2144</v>
      </c>
    </row>
    <row r="74" spans="1:6" x14ac:dyDescent="0.35">
      <c r="B74" s="1" t="s">
        <v>93</v>
      </c>
      <c r="C74" s="1" t="s">
        <v>107</v>
      </c>
      <c r="D74" s="1" t="s">
        <v>110</v>
      </c>
    </row>
    <row r="75" spans="1:6" x14ac:dyDescent="0.35">
      <c r="B75" s="1" t="s">
        <v>95</v>
      </c>
      <c r="C75" s="1">
        <f>((2*8)*1)*32*32/J48</f>
        <v>2.801641586867305</v>
      </c>
      <c r="D75" s="1">
        <f>((2*8)*1)</f>
        <v>16</v>
      </c>
    </row>
    <row r="76" spans="1:6" x14ac:dyDescent="0.35">
      <c r="B76" s="1" t="s">
        <v>94</v>
      </c>
      <c r="C76" s="1">
        <f>((2*8)*1)*32*32/J33</f>
        <v>5.7087108013937282</v>
      </c>
      <c r="D76" s="1">
        <f>((2*8)*1)</f>
        <v>16</v>
      </c>
      <c r="F76" s="1">
        <f>D70*10</f>
        <v>2644.7872000000007</v>
      </c>
    </row>
    <row r="77" spans="1:6" x14ac:dyDescent="0.35">
      <c r="B77" s="1" t="s">
        <v>96</v>
      </c>
      <c r="C77" s="1">
        <f>((2*8)*1)*32*32/J5</f>
        <v>6.8266666666666671</v>
      </c>
      <c r="D77" s="1">
        <f>((2*8)*1)</f>
        <v>16</v>
      </c>
      <c r="F77" s="1">
        <f>2*256*1</f>
        <v>512</v>
      </c>
    </row>
  </sheetData>
  <mergeCells count="7">
    <mergeCell ref="B67:F67"/>
    <mergeCell ref="A1:B1"/>
    <mergeCell ref="K6:N6"/>
    <mergeCell ref="K34:N34"/>
    <mergeCell ref="K49:N49"/>
    <mergeCell ref="C60:D60"/>
    <mergeCell ref="E60:F60"/>
  </mergeCells>
  <pageMargins left="0.7" right="0.7" top="0.75" bottom="0.75" header="0.3" footer="0.3"/>
  <pageSetup paperSize="9" scale="95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9"/>
  <sheetViews>
    <sheetView tabSelected="1" topLeftCell="A36" zoomScale="70" zoomScaleNormal="70" workbookViewId="0">
      <selection activeCell="H82" sqref="H82"/>
    </sheetView>
  </sheetViews>
  <sheetFormatPr defaultColWidth="8.7265625" defaultRowHeight="14.5" x14ac:dyDescent="0.35"/>
  <cols>
    <col min="1" max="1" width="10.54296875" style="62" customWidth="1"/>
    <col min="2" max="2" width="13.81640625" style="62" customWidth="1"/>
    <col min="3" max="3" width="16.1796875" style="62" customWidth="1"/>
    <col min="4" max="4" width="15" style="62" customWidth="1"/>
    <col min="5" max="5" width="14.81640625" style="62" customWidth="1"/>
    <col min="6" max="6" width="16.7265625" style="62" customWidth="1"/>
    <col min="7" max="7" width="15.54296875" style="62" customWidth="1"/>
    <col min="8" max="8" width="16.54296875" style="62" customWidth="1"/>
    <col min="9" max="9" width="12.453125" style="62" customWidth="1"/>
    <col min="10" max="10" width="14.1796875" style="62" customWidth="1"/>
    <col min="11" max="11" width="16.453125" style="62" customWidth="1"/>
    <col min="12" max="12" width="15.54296875" style="62" customWidth="1"/>
    <col min="13" max="13" width="17.453125" style="62" customWidth="1"/>
    <col min="14" max="14" width="17.81640625" style="62" customWidth="1"/>
    <col min="15" max="16384" width="8.7265625" style="62"/>
  </cols>
  <sheetData>
    <row r="1" spans="1:15" x14ac:dyDescent="0.35">
      <c r="A1" s="129" t="s">
        <v>71</v>
      </c>
      <c r="B1" s="129"/>
      <c r="C1" s="1"/>
      <c r="D1" s="1" t="s">
        <v>108</v>
      </c>
      <c r="E1" s="1"/>
      <c r="F1" s="1" t="s">
        <v>109</v>
      </c>
      <c r="G1" s="1"/>
      <c r="H1" s="1" t="s">
        <v>78</v>
      </c>
      <c r="I1" s="1" t="s">
        <v>81</v>
      </c>
      <c r="J1" s="1" t="s">
        <v>82</v>
      </c>
      <c r="K1" s="1"/>
      <c r="L1" s="1"/>
      <c r="M1" s="1"/>
      <c r="N1" s="1"/>
      <c r="O1" s="1"/>
    </row>
    <row r="2" spans="1:15" x14ac:dyDescent="0.35">
      <c r="A2" s="2" t="s">
        <v>72</v>
      </c>
      <c r="B2" s="2" t="s">
        <v>52</v>
      </c>
      <c r="C2" s="78" t="s">
        <v>0</v>
      </c>
      <c r="D2" s="78">
        <f>sheet1!D4</f>
        <v>6.8999999999999997E-4</v>
      </c>
      <c r="E2" s="78">
        <f>D2*1000</f>
        <v>0.69</v>
      </c>
      <c r="F2" s="78">
        <f>D2*H2+(1-H2)*sheet1!E4</f>
        <v>1.0280357142857142E-4</v>
      </c>
      <c r="G2" s="78">
        <f>F2*1000</f>
        <v>0.10280357142857142</v>
      </c>
      <c r="H2" s="78">
        <f t="shared" ref="H2:H7" si="0">I2/J2</f>
        <v>0.13392857142857142</v>
      </c>
      <c r="I2" s="1">
        <f>133-118</f>
        <v>15</v>
      </c>
      <c r="J2" s="1">
        <f>227-115</f>
        <v>112</v>
      </c>
      <c r="K2" s="1"/>
      <c r="L2" s="1"/>
      <c r="M2" s="1"/>
      <c r="N2" s="1"/>
      <c r="O2" s="1"/>
    </row>
    <row r="3" spans="1:15" x14ac:dyDescent="0.35">
      <c r="A3" s="2" t="s">
        <v>73</v>
      </c>
      <c r="B3" s="2">
        <v>32</v>
      </c>
      <c r="C3" s="1" t="s">
        <v>6</v>
      </c>
      <c r="D3" s="79">
        <f>sheet1!D11</f>
        <v>1.2600000000000001E-3</v>
      </c>
      <c r="E3" s="78">
        <f t="shared" ref="E3:E8" si="1">D3*1000</f>
        <v>1.26</v>
      </c>
      <c r="F3" s="80">
        <f>D3*H3+(1-H3)*sheet1!E11</f>
        <v>3.0080357142857145E-5</v>
      </c>
      <c r="G3" s="78">
        <f t="shared" ref="G3:G8" si="2">F3*1000</f>
        <v>3.0080357142857145E-2</v>
      </c>
      <c r="H3" s="78">
        <f t="shared" si="0"/>
        <v>8.9285714285714281E-3</v>
      </c>
      <c r="I3" s="1">
        <f>1</f>
        <v>1</v>
      </c>
      <c r="J3" s="1">
        <f>227-115</f>
        <v>112</v>
      </c>
      <c r="K3" s="1"/>
      <c r="L3" s="1"/>
      <c r="M3" s="1"/>
      <c r="N3" s="1"/>
      <c r="O3" s="1"/>
    </row>
    <row r="4" spans="1:15" x14ac:dyDescent="0.35">
      <c r="A4" s="2" t="s">
        <v>74</v>
      </c>
      <c r="B4" s="61">
        <v>8</v>
      </c>
      <c r="C4" s="78" t="s">
        <v>92</v>
      </c>
      <c r="D4" s="80">
        <f>sheet1!D18</f>
        <v>8.4999999999999995E-4</v>
      </c>
      <c r="E4" s="78">
        <f t="shared" si="1"/>
        <v>0.85</v>
      </c>
      <c r="F4" s="80">
        <f>D4*H4+(1-H4)*sheet1!E18</f>
        <v>7.2785714285714278E-5</v>
      </c>
      <c r="G4" s="78">
        <f t="shared" si="2"/>
        <v>7.2785714285714273E-2</v>
      </c>
      <c r="H4" s="78">
        <f t="shared" si="0"/>
        <v>7.1428571428571425E-2</v>
      </c>
      <c r="I4" s="1">
        <f>126-118</f>
        <v>8</v>
      </c>
      <c r="J4" s="1">
        <f>227-115</f>
        <v>112</v>
      </c>
      <c r="K4" s="1"/>
      <c r="L4" s="1"/>
      <c r="M4" s="1"/>
      <c r="N4" s="1"/>
      <c r="O4" s="1"/>
    </row>
    <row r="5" spans="1:15" x14ac:dyDescent="0.35">
      <c r="A5" s="2" t="s">
        <v>44</v>
      </c>
      <c r="B5" s="61">
        <v>32</v>
      </c>
      <c r="C5" s="1" t="s">
        <v>11</v>
      </c>
      <c r="D5" s="79">
        <f>sheet1!D25</f>
        <v>3.4000000000000002E-2</v>
      </c>
      <c r="E5" s="78">
        <f t="shared" si="1"/>
        <v>34</v>
      </c>
      <c r="F5" s="80">
        <f>D5*H5+(1-H5)*sheet1!E25</f>
        <v>4.5728000000000001E-3</v>
      </c>
      <c r="G5" s="78">
        <f t="shared" si="2"/>
        <v>4.5728</v>
      </c>
      <c r="H5" s="78">
        <f t="shared" si="0"/>
        <v>0.12</v>
      </c>
      <c r="I5" s="1">
        <f>256*1+32*1</f>
        <v>288</v>
      </c>
      <c r="J5" s="1">
        <v>2400</v>
      </c>
      <c r="K5" s="1">
        <f>I5/J5</f>
        <v>0.12</v>
      </c>
      <c r="L5" s="1"/>
      <c r="M5" s="1"/>
      <c r="N5" s="1"/>
      <c r="O5" s="1"/>
    </row>
    <row r="6" spans="1:15" x14ac:dyDescent="0.35">
      <c r="A6" s="2" t="s">
        <v>75</v>
      </c>
      <c r="B6" s="93" t="s">
        <v>7</v>
      </c>
      <c r="C6" s="78" t="s">
        <v>67</v>
      </c>
      <c r="D6" s="80">
        <f>sheet1!D42</f>
        <v>1.2999999999999999E-3</v>
      </c>
      <c r="E6" s="78">
        <f t="shared" si="1"/>
        <v>1.3</v>
      </c>
      <c r="F6" s="80">
        <f>D6*H6+(1-H6)*sheet1!E42</f>
        <v>5.3159999999999999E-5</v>
      </c>
      <c r="G6" s="78">
        <f t="shared" si="2"/>
        <v>5.3159999999999999E-2</v>
      </c>
      <c r="H6" s="78">
        <f t="shared" si="0"/>
        <v>2.6666666666666668E-2</v>
      </c>
      <c r="I6" s="1">
        <f>32*2*1</f>
        <v>64</v>
      </c>
      <c r="J6" s="1">
        <v>2400</v>
      </c>
      <c r="K6" s="129" t="s">
        <v>89</v>
      </c>
      <c r="L6" s="129"/>
      <c r="M6" s="129"/>
      <c r="N6" s="129"/>
      <c r="O6" s="1"/>
    </row>
    <row r="7" spans="1:15" x14ac:dyDescent="0.35">
      <c r="A7" s="2" t="s">
        <v>79</v>
      </c>
      <c r="B7" s="2" t="s">
        <v>80</v>
      </c>
      <c r="C7" s="1" t="s">
        <v>18</v>
      </c>
      <c r="D7" s="79">
        <f>sheet1!D49</f>
        <v>6.0000000000000001E-3</v>
      </c>
      <c r="E7" s="78">
        <f t="shared" si="1"/>
        <v>6</v>
      </c>
      <c r="F7" s="80">
        <f>D7*H7+(1-H7)*sheet1!E74</f>
        <v>4.8346666666666659E-3</v>
      </c>
      <c r="G7" s="78">
        <f t="shared" si="2"/>
        <v>4.8346666666666662</v>
      </c>
      <c r="H7" s="78">
        <f t="shared" si="0"/>
        <v>0.49333333333333335</v>
      </c>
      <c r="I7" s="1">
        <f>(32+5)*32</f>
        <v>1184</v>
      </c>
      <c r="J7" s="1">
        <v>2400</v>
      </c>
      <c r="K7" s="1">
        <f>31335-28935</f>
        <v>2400</v>
      </c>
      <c r="L7" s="1"/>
      <c r="M7" s="1"/>
      <c r="N7" s="1"/>
      <c r="O7" s="1"/>
    </row>
    <row r="8" spans="1:15" x14ac:dyDescent="0.35">
      <c r="A8" s="2"/>
      <c r="B8" s="2"/>
      <c r="C8" s="78" t="s">
        <v>70</v>
      </c>
      <c r="D8" s="80">
        <f>sheet1!D83</f>
        <v>3.8999999999999999E-4</v>
      </c>
      <c r="E8" s="78">
        <f t="shared" si="1"/>
        <v>0.39</v>
      </c>
      <c r="F8" s="80">
        <f>D8*H8+(1-H8)*sheet1!E75</f>
        <v>3.8999999999999999E-4</v>
      </c>
      <c r="G8" s="78">
        <f t="shared" si="2"/>
        <v>0.39</v>
      </c>
      <c r="H8" s="78">
        <v>1</v>
      </c>
      <c r="I8" s="1"/>
      <c r="J8" s="1"/>
      <c r="K8" s="1"/>
      <c r="L8" s="1"/>
      <c r="M8" s="1"/>
      <c r="N8" s="1"/>
      <c r="O8" s="1"/>
    </row>
    <row r="9" spans="1:15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</row>
    <row r="10" spans="1:15" ht="15" thickBot="1" x14ac:dyDescent="0.4">
      <c r="A10" s="1"/>
      <c r="B10" s="1"/>
      <c r="C10" s="1"/>
      <c r="D10" s="1"/>
      <c r="E10" s="1" t="s">
        <v>93</v>
      </c>
      <c r="F10" s="1" t="s">
        <v>80</v>
      </c>
      <c r="G10" s="1" t="s">
        <v>102</v>
      </c>
      <c r="H10" s="1" t="s">
        <v>103</v>
      </c>
      <c r="I10" s="1"/>
      <c r="J10" s="90"/>
      <c r="K10" s="138" t="s">
        <v>80</v>
      </c>
      <c r="L10" s="138"/>
      <c r="M10" s="138" t="s">
        <v>97</v>
      </c>
      <c r="N10" s="137"/>
      <c r="O10" s="1"/>
    </row>
    <row r="11" spans="1:15" x14ac:dyDescent="0.35">
      <c r="A11" s="45" t="s">
        <v>48</v>
      </c>
      <c r="B11" s="46" t="s">
        <v>90</v>
      </c>
      <c r="C11" s="47" t="s">
        <v>91</v>
      </c>
      <c r="D11" s="1"/>
      <c r="E11" s="1" t="s">
        <v>96</v>
      </c>
      <c r="F11" s="1" t="s">
        <v>105</v>
      </c>
      <c r="G11" s="89">
        <f>C12*1000</f>
        <v>132.23936000000003</v>
      </c>
      <c r="H11" s="1">
        <f>10/J5*G11*32</f>
        <v>17.63191466666667</v>
      </c>
      <c r="I11" s="1"/>
      <c r="J11" s="83" t="s">
        <v>93</v>
      </c>
      <c r="K11" s="9" t="s">
        <v>100</v>
      </c>
      <c r="L11" s="9" t="s">
        <v>101</v>
      </c>
      <c r="M11" s="9" t="s">
        <v>98</v>
      </c>
      <c r="N11" s="84" t="s">
        <v>99</v>
      </c>
      <c r="O11" s="1"/>
    </row>
    <row r="12" spans="1:15" ht="15" thickBot="1" x14ac:dyDescent="0.4">
      <c r="A12" s="51" t="s">
        <v>52</v>
      </c>
      <c r="B12" s="52">
        <f>(((0.2^2)/5000)*256+0.000004)*256</f>
        <v>0.52531200000000011</v>
      </c>
      <c r="C12" s="53">
        <f>(((((0.2^2)/5000)+((0.2^2)/1000000))/2*256+0.000004)*256)/2</f>
        <v>0.13223936000000003</v>
      </c>
      <c r="D12" s="1"/>
      <c r="E12" s="1"/>
      <c r="F12" s="1"/>
      <c r="G12" s="1"/>
      <c r="H12" s="1"/>
      <c r="I12" s="1"/>
      <c r="J12" s="88" t="s">
        <v>96</v>
      </c>
      <c r="K12" s="92">
        <f>C12*1000</f>
        <v>132.23936000000003</v>
      </c>
      <c r="L12" s="91">
        <f>H11+F14</f>
        <v>24.458581333333338</v>
      </c>
      <c r="M12" s="91">
        <f>E5+E7</f>
        <v>40</v>
      </c>
      <c r="N12" s="87">
        <f>SUM(G2:G8)</f>
        <v>10.056296309523809</v>
      </c>
      <c r="O12" s="1"/>
    </row>
    <row r="13" spans="1:15" x14ac:dyDescent="0.35">
      <c r="A13" s="1"/>
      <c r="B13" s="1"/>
      <c r="C13" s="1"/>
      <c r="D13" s="1"/>
      <c r="E13" s="1" t="s">
        <v>93</v>
      </c>
      <c r="F13" s="1" t="s">
        <v>107</v>
      </c>
      <c r="G13" s="1" t="s">
        <v>110</v>
      </c>
      <c r="H13" s="1"/>
      <c r="I13" s="1"/>
      <c r="J13" s="1"/>
      <c r="K13" s="77"/>
      <c r="L13" s="77"/>
      <c r="M13" s="77"/>
      <c r="N13" s="77"/>
      <c r="O13" s="1"/>
    </row>
    <row r="14" spans="1:15" x14ac:dyDescent="0.35">
      <c r="A14" s="1"/>
      <c r="B14" s="1"/>
      <c r="C14" s="1"/>
      <c r="D14" s="1"/>
      <c r="E14" s="1" t="s">
        <v>96</v>
      </c>
      <c r="F14" s="1">
        <f>((2*8)*1)*32*32/J5</f>
        <v>6.8266666666666671</v>
      </c>
      <c r="G14" s="1">
        <f>((2*8)*1)</f>
        <v>16</v>
      </c>
      <c r="H14" s="1"/>
      <c r="I14" s="1"/>
      <c r="O14" s="1"/>
    </row>
    <row r="15" spans="1:15" x14ac:dyDescent="0.35">
      <c r="A15" s="1"/>
      <c r="B15" s="9"/>
      <c r="C15" s="9"/>
      <c r="D15" s="9"/>
      <c r="O15" s="1"/>
    </row>
    <row r="16" spans="1:15" x14ac:dyDescent="0.35">
      <c r="A16" s="1"/>
      <c r="B16" s="9"/>
      <c r="C16" s="9"/>
      <c r="D16" s="9"/>
    </row>
    <row r="17" spans="1:14" x14ac:dyDescent="0.35">
      <c r="A17" s="1"/>
      <c r="B17" s="9"/>
      <c r="C17" s="77"/>
      <c r="D17" s="9"/>
      <c r="E17" s="1"/>
      <c r="F17" s="1"/>
      <c r="G17" s="1"/>
      <c r="H17" s="1"/>
      <c r="I17" s="1"/>
    </row>
    <row r="18" spans="1:14" x14ac:dyDescent="0.35">
      <c r="A18" s="1"/>
      <c r="B18" s="1"/>
      <c r="C18" s="77"/>
      <c r="D18" s="9"/>
    </row>
    <row r="19" spans="1:14" s="81" customFormat="1" x14ac:dyDescent="0.35"/>
    <row r="20" spans="1:14" x14ac:dyDescent="0.35">
      <c r="A20" s="1"/>
      <c r="B20" s="1"/>
      <c r="C20" s="1"/>
      <c r="D20" s="1"/>
      <c r="E20" s="1"/>
      <c r="F20" s="1"/>
    </row>
    <row r="21" spans="1:14" x14ac:dyDescent="0.35">
      <c r="A21" s="129" t="s">
        <v>71</v>
      </c>
      <c r="B21" s="129"/>
      <c r="C21" s="1"/>
      <c r="D21" s="1" t="s">
        <v>108</v>
      </c>
      <c r="E21" s="1"/>
      <c r="F21" s="1" t="s">
        <v>109</v>
      </c>
      <c r="G21" s="1"/>
      <c r="H21" s="1" t="s">
        <v>78</v>
      </c>
      <c r="I21" s="1" t="s">
        <v>81</v>
      </c>
      <c r="J21" s="1" t="s">
        <v>82</v>
      </c>
      <c r="K21" s="1"/>
      <c r="L21" s="1"/>
      <c r="M21" s="1"/>
      <c r="N21" s="1"/>
    </row>
    <row r="22" spans="1:14" x14ac:dyDescent="0.35">
      <c r="A22" s="2" t="s">
        <v>72</v>
      </c>
      <c r="B22" s="2" t="s">
        <v>52</v>
      </c>
      <c r="C22" s="78" t="s">
        <v>0</v>
      </c>
      <c r="D22" s="78">
        <f>sheet1!D4</f>
        <v>6.8999999999999997E-4</v>
      </c>
      <c r="E22" s="78">
        <f>D22*1000</f>
        <v>0.69</v>
      </c>
      <c r="F22" s="78">
        <f>D22*H22+(1-H22)*sheet1!E24</f>
        <v>9.241071428571428E-5</v>
      </c>
      <c r="G22" s="78">
        <f>F22*1000</f>
        <v>9.2410714285714277E-2</v>
      </c>
      <c r="H22" s="78">
        <f t="shared" ref="H22:H27" si="3">I22/J22</f>
        <v>0.13392857142857142</v>
      </c>
      <c r="I22" s="1">
        <f>133-118</f>
        <v>15</v>
      </c>
      <c r="J22" s="1">
        <f>227-115</f>
        <v>112</v>
      </c>
      <c r="K22" s="1"/>
      <c r="L22" s="1"/>
      <c r="M22" s="1"/>
      <c r="N22" s="1"/>
    </row>
    <row r="23" spans="1:14" x14ac:dyDescent="0.35">
      <c r="A23" s="2" t="s">
        <v>73</v>
      </c>
      <c r="B23" s="2">
        <v>16</v>
      </c>
      <c r="C23" s="1" t="s">
        <v>6</v>
      </c>
      <c r="D23" s="79">
        <f>sheet1!D11</f>
        <v>1.2600000000000001E-3</v>
      </c>
      <c r="E23" s="78">
        <f t="shared" ref="E23:E28" si="4">D23*1000</f>
        <v>1.26</v>
      </c>
      <c r="F23" s="80">
        <f>D23*H23+(1-H23)*sheet1!E31</f>
        <v>1.1249999999999999E-5</v>
      </c>
      <c r="G23" s="78">
        <f t="shared" ref="G23:G28" si="5">F23*1000</f>
        <v>1.125E-2</v>
      </c>
      <c r="H23" s="78">
        <f t="shared" si="3"/>
        <v>8.9285714285714281E-3</v>
      </c>
      <c r="I23" s="1">
        <f>1</f>
        <v>1</v>
      </c>
      <c r="J23" s="1">
        <f>227-115</f>
        <v>112</v>
      </c>
      <c r="K23" s="1"/>
      <c r="L23" s="1"/>
      <c r="M23" s="1"/>
      <c r="N23" s="1"/>
    </row>
    <row r="24" spans="1:14" x14ac:dyDescent="0.35">
      <c r="A24" s="2" t="s">
        <v>74</v>
      </c>
      <c r="B24" s="61">
        <v>16</v>
      </c>
      <c r="C24" s="78" t="s">
        <v>92</v>
      </c>
      <c r="D24" s="80">
        <f>sheet1!D18</f>
        <v>8.4999999999999995E-4</v>
      </c>
      <c r="E24" s="78">
        <f t="shared" si="4"/>
        <v>0.85</v>
      </c>
      <c r="F24" s="80">
        <f>D24*H24+(1-H24)*sheet1!E38</f>
        <v>6.0714285714285708E-5</v>
      </c>
      <c r="G24" s="78">
        <f t="shared" si="5"/>
        <v>6.0714285714285707E-2</v>
      </c>
      <c r="H24" s="78">
        <f t="shared" si="3"/>
        <v>7.1428571428571425E-2</v>
      </c>
      <c r="I24" s="1">
        <f>126-118</f>
        <v>8</v>
      </c>
      <c r="J24" s="1">
        <f>227-115</f>
        <v>112</v>
      </c>
      <c r="K24" s="1"/>
      <c r="L24" s="1"/>
      <c r="M24" s="1"/>
      <c r="N24" s="1"/>
    </row>
    <row r="25" spans="1:14" x14ac:dyDescent="0.35">
      <c r="A25" s="2" t="s">
        <v>44</v>
      </c>
      <c r="B25" s="61">
        <v>16</v>
      </c>
      <c r="C25" s="1" t="s">
        <v>11</v>
      </c>
      <c r="D25" s="79">
        <f>sheet1!D30</f>
        <v>1.4999999999999999E-2</v>
      </c>
      <c r="E25" s="78">
        <f t="shared" si="4"/>
        <v>15</v>
      </c>
      <c r="F25" s="80">
        <f>D25*H25+(1-H25)*sheet1!E30</f>
        <v>4.9999999999999992E-3</v>
      </c>
      <c r="G25" s="78">
        <f t="shared" si="5"/>
        <v>4.9999999999999991</v>
      </c>
      <c r="H25" s="78">
        <f t="shared" si="3"/>
        <v>0.33333333333333331</v>
      </c>
      <c r="I25" s="1">
        <f>256*1+16*1</f>
        <v>272</v>
      </c>
      <c r="J25" s="1">
        <v>816</v>
      </c>
      <c r="K25" s="1">
        <f>I25/J25</f>
        <v>0.33333333333333331</v>
      </c>
      <c r="L25" s="1"/>
      <c r="M25" s="1"/>
      <c r="N25" s="1"/>
    </row>
    <row r="26" spans="1:14" x14ac:dyDescent="0.35">
      <c r="A26" s="2" t="s">
        <v>75</v>
      </c>
      <c r="B26" s="93" t="s">
        <v>7</v>
      </c>
      <c r="C26" s="78" t="s">
        <v>67</v>
      </c>
      <c r="D26" s="80">
        <f>sheet1!D42</f>
        <v>1.2999999999999999E-3</v>
      </c>
      <c r="E26" s="78">
        <f t="shared" si="4"/>
        <v>1.3</v>
      </c>
      <c r="F26" s="80">
        <f>D26*H26+(1-H26)*sheet1!E62</f>
        <v>5.0980392156862745E-5</v>
      </c>
      <c r="G26" s="78">
        <f t="shared" si="5"/>
        <v>5.0980392156862744E-2</v>
      </c>
      <c r="H26" s="78">
        <f t="shared" si="3"/>
        <v>3.9215686274509803E-2</v>
      </c>
      <c r="I26" s="1">
        <f>16*2*1</f>
        <v>32</v>
      </c>
      <c r="J26" s="1">
        <v>816</v>
      </c>
      <c r="K26" s="129" t="s">
        <v>89</v>
      </c>
      <c r="L26" s="129"/>
      <c r="M26" s="129"/>
      <c r="N26" s="129"/>
    </row>
    <row r="27" spans="1:14" x14ac:dyDescent="0.35">
      <c r="A27" s="2" t="s">
        <v>79</v>
      </c>
      <c r="B27" s="2" t="s">
        <v>80</v>
      </c>
      <c r="C27" s="1" t="s">
        <v>18</v>
      </c>
      <c r="D27" s="79">
        <f>sheet1!D54</f>
        <v>6.7999999999999996E-3</v>
      </c>
      <c r="E27" s="78">
        <f t="shared" si="4"/>
        <v>6.8</v>
      </c>
      <c r="F27" s="80">
        <f>D27*H27+(1-H27)*sheet1!E54</f>
        <v>2.6036078431372549E-3</v>
      </c>
      <c r="G27" s="78">
        <f t="shared" si="5"/>
        <v>2.6036078431372549</v>
      </c>
      <c r="H27" s="78">
        <f t="shared" si="3"/>
        <v>0.37254901960784315</v>
      </c>
      <c r="I27" s="1">
        <f>(16+3)*16</f>
        <v>304</v>
      </c>
      <c r="J27" s="1">
        <v>816</v>
      </c>
      <c r="K27" s="1">
        <f>29751-28935</f>
        <v>816</v>
      </c>
      <c r="L27" s="1"/>
      <c r="M27" s="1"/>
      <c r="N27" s="1"/>
    </row>
    <row r="28" spans="1:14" x14ac:dyDescent="0.35">
      <c r="A28" s="2"/>
      <c r="B28" s="2"/>
      <c r="C28" s="78" t="s">
        <v>70</v>
      </c>
      <c r="D28" s="80">
        <f>sheet1!D88</f>
        <v>3.8999999999999999E-4</v>
      </c>
      <c r="E28" s="78">
        <f t="shared" si="4"/>
        <v>0.39</v>
      </c>
      <c r="F28" s="80">
        <f>D28*H28+(1-H28)*sheet1!E88</f>
        <v>3.8999999999999999E-4</v>
      </c>
      <c r="G28" s="78">
        <f t="shared" si="5"/>
        <v>0.39</v>
      </c>
      <c r="H28" s="78">
        <v>1</v>
      </c>
      <c r="I28" s="1"/>
      <c r="J28" s="1"/>
      <c r="K28" s="1"/>
      <c r="L28" s="1"/>
      <c r="M28" s="1"/>
      <c r="N28" s="1"/>
    </row>
    <row r="29" spans="1:14" x14ac:dyDescent="0.3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ht="15" thickBot="1" x14ac:dyDescent="0.4">
      <c r="A30" s="1"/>
      <c r="B30" s="1"/>
      <c r="C30" s="1"/>
      <c r="D30" s="1"/>
      <c r="E30" s="1" t="s">
        <v>93</v>
      </c>
      <c r="F30" s="1" t="s">
        <v>80</v>
      </c>
      <c r="G30" s="1" t="s">
        <v>102</v>
      </c>
      <c r="H30" s="1" t="s">
        <v>103</v>
      </c>
      <c r="I30" s="1"/>
      <c r="J30" s="90"/>
      <c r="K30" s="138" t="s">
        <v>80</v>
      </c>
      <c r="L30" s="138"/>
      <c r="M30" s="138" t="s">
        <v>97</v>
      </c>
      <c r="N30" s="137"/>
    </row>
    <row r="31" spans="1:14" x14ac:dyDescent="0.35">
      <c r="A31" s="45" t="s">
        <v>48</v>
      </c>
      <c r="B31" s="46" t="s">
        <v>90</v>
      </c>
      <c r="C31" s="47" t="s">
        <v>91</v>
      </c>
      <c r="D31" s="1"/>
      <c r="E31" s="1" t="s">
        <v>96</v>
      </c>
      <c r="F31" s="1" t="s">
        <v>105</v>
      </c>
      <c r="G31" s="89">
        <f>C32*1000</f>
        <v>132.23936000000003</v>
      </c>
      <c r="H31" s="1">
        <f>10/J25*G31*16</f>
        <v>25.92928627450981</v>
      </c>
      <c r="I31" s="1"/>
      <c r="J31" s="83" t="s">
        <v>93</v>
      </c>
      <c r="K31" s="9" t="s">
        <v>100</v>
      </c>
      <c r="L31" s="9" t="s">
        <v>101</v>
      </c>
      <c r="M31" s="9" t="s">
        <v>98</v>
      </c>
      <c r="N31" s="84" t="s">
        <v>99</v>
      </c>
    </row>
    <row r="32" spans="1:14" ht="15" thickBot="1" x14ac:dyDescent="0.4">
      <c r="A32" s="51" t="s">
        <v>52</v>
      </c>
      <c r="B32" s="52">
        <f>(((0.2^2)/5000)*256+0.000004)*256</f>
        <v>0.52531200000000011</v>
      </c>
      <c r="C32" s="53">
        <f>((((0.2^2)/5000)+((0.2^2)/1000000))/2*256+0.000004)*256/2</f>
        <v>0.13223936000000003</v>
      </c>
      <c r="D32" s="1"/>
      <c r="E32" s="1"/>
      <c r="F32" s="1"/>
      <c r="G32" s="1"/>
      <c r="H32" s="1"/>
      <c r="I32" s="1"/>
      <c r="J32" s="88" t="s">
        <v>96</v>
      </c>
      <c r="K32" s="92">
        <f>C32*1000</f>
        <v>132.23936000000003</v>
      </c>
      <c r="L32" s="91">
        <f>H31+F34</f>
        <v>35.968501960784323</v>
      </c>
      <c r="M32" s="91">
        <f>E25+E27</f>
        <v>21.8</v>
      </c>
      <c r="N32" s="87">
        <f>SUM(G22:G28)</f>
        <v>8.2089632352941173</v>
      </c>
    </row>
    <row r="33" spans="1:14" x14ac:dyDescent="0.35">
      <c r="A33" s="1"/>
      <c r="B33" s="1"/>
      <c r="C33" s="1"/>
      <c r="D33" s="1"/>
      <c r="E33" s="1" t="s">
        <v>93</v>
      </c>
      <c r="F33" s="1" t="s">
        <v>107</v>
      </c>
      <c r="G33" s="1" t="s">
        <v>110</v>
      </c>
      <c r="H33" s="1"/>
      <c r="I33" s="1"/>
      <c r="J33" s="1"/>
      <c r="K33" s="77"/>
      <c r="L33" s="77"/>
      <c r="M33" s="77"/>
      <c r="N33" s="77"/>
    </row>
    <row r="34" spans="1:14" x14ac:dyDescent="0.35">
      <c r="A34" s="1"/>
      <c r="B34" s="1"/>
      <c r="C34" s="1"/>
      <c r="D34" s="1"/>
      <c r="E34" s="1" t="s">
        <v>96</v>
      </c>
      <c r="F34" s="1">
        <f>((2*16)*1)*16*16/J25</f>
        <v>10.03921568627451</v>
      </c>
      <c r="G34" s="1">
        <f>((2*16)*1)</f>
        <v>32</v>
      </c>
      <c r="H34" s="1"/>
      <c r="I34" s="1"/>
    </row>
    <row r="35" spans="1:14" x14ac:dyDescent="0.35">
      <c r="A35" s="1"/>
      <c r="B35" s="9"/>
      <c r="C35" s="9"/>
      <c r="D35" s="9"/>
    </row>
    <row r="36" spans="1:14" x14ac:dyDescent="0.35">
      <c r="A36" s="1"/>
      <c r="B36" s="9"/>
      <c r="C36" s="9"/>
      <c r="D36" s="9"/>
    </row>
    <row r="37" spans="1:14" x14ac:dyDescent="0.35">
      <c r="A37" s="1"/>
      <c r="B37" s="9"/>
      <c r="C37" s="77"/>
      <c r="D37" s="9"/>
      <c r="E37" s="1"/>
      <c r="F37" s="1"/>
      <c r="G37" s="1"/>
      <c r="H37" s="1"/>
      <c r="I37" s="1"/>
    </row>
    <row r="38" spans="1:14" x14ac:dyDescent="0.35">
      <c r="A38" s="1"/>
      <c r="B38" s="1"/>
      <c r="C38" s="77"/>
      <c r="D38" s="9"/>
    </row>
    <row r="39" spans="1:14" s="81" customFormat="1" x14ac:dyDescent="0.35"/>
    <row r="41" spans="1:14" x14ac:dyDescent="0.35">
      <c r="A41" s="1"/>
      <c r="B41" s="1"/>
      <c r="C41" s="1"/>
      <c r="D41" s="1"/>
      <c r="E41" s="1"/>
      <c r="F41" s="1"/>
    </row>
    <row r="42" spans="1:14" x14ac:dyDescent="0.35">
      <c r="A42" s="129" t="s">
        <v>71</v>
      </c>
      <c r="B42" s="129"/>
      <c r="C42" s="1"/>
      <c r="D42" s="1" t="s">
        <v>108</v>
      </c>
      <c r="E42" s="1"/>
      <c r="F42" s="1" t="s">
        <v>109</v>
      </c>
      <c r="G42" s="1"/>
      <c r="H42" s="1" t="s">
        <v>78</v>
      </c>
      <c r="I42" s="1" t="s">
        <v>81</v>
      </c>
      <c r="J42" s="1" t="s">
        <v>82</v>
      </c>
      <c r="K42" s="1"/>
      <c r="L42" s="1"/>
      <c r="M42" s="1"/>
      <c r="N42" s="1"/>
    </row>
    <row r="43" spans="1:14" x14ac:dyDescent="0.35">
      <c r="A43" s="2" t="s">
        <v>72</v>
      </c>
      <c r="B43" s="2" t="s">
        <v>52</v>
      </c>
      <c r="C43" s="78" t="s">
        <v>0</v>
      </c>
      <c r="D43" s="78">
        <f>sheet1!D4</f>
        <v>6.8999999999999997E-4</v>
      </c>
      <c r="E43" s="78">
        <f>D43*1000</f>
        <v>0.69</v>
      </c>
      <c r="F43" s="78">
        <f>D43*H43+(1-H43)*sheet1!E45</f>
        <v>9.241071428571428E-5</v>
      </c>
      <c r="G43" s="78">
        <f>F43*1000</f>
        <v>9.2410714285714277E-2</v>
      </c>
      <c r="H43" s="78">
        <f t="shared" ref="H43:H48" si="6">I43/J43</f>
        <v>0.13392857142857142</v>
      </c>
      <c r="I43" s="1">
        <f>133-118</f>
        <v>15</v>
      </c>
      <c r="J43" s="1">
        <f>227-115</f>
        <v>112</v>
      </c>
      <c r="K43" s="1"/>
      <c r="L43" s="1"/>
      <c r="M43" s="1"/>
      <c r="N43" s="1"/>
    </row>
    <row r="44" spans="1:14" x14ac:dyDescent="0.35">
      <c r="A44" s="2" t="s">
        <v>73</v>
      </c>
      <c r="B44" s="2">
        <v>8</v>
      </c>
      <c r="C44" s="1" t="s">
        <v>6</v>
      </c>
      <c r="D44" s="79">
        <f>sheet1!D11</f>
        <v>1.2600000000000001E-3</v>
      </c>
      <c r="E44" s="78">
        <f t="shared" ref="E44:E49" si="7">D44*1000</f>
        <v>1.26</v>
      </c>
      <c r="F44" s="80">
        <f>D44*H44+(1-H44)*sheet1!E52</f>
        <v>1.1249999999999999E-5</v>
      </c>
      <c r="G44" s="78">
        <f t="shared" ref="G44:G49" si="8">F44*1000</f>
        <v>1.125E-2</v>
      </c>
      <c r="H44" s="78">
        <f t="shared" si="6"/>
        <v>8.9285714285714281E-3</v>
      </c>
      <c r="I44" s="1">
        <f>1</f>
        <v>1</v>
      </c>
      <c r="J44" s="1">
        <f>227-115</f>
        <v>112</v>
      </c>
      <c r="K44" s="1"/>
      <c r="L44" s="1"/>
      <c r="M44" s="1"/>
      <c r="N44" s="1"/>
    </row>
    <row r="45" spans="1:14" x14ac:dyDescent="0.35">
      <c r="A45" s="2" t="s">
        <v>74</v>
      </c>
      <c r="B45" s="61">
        <v>32</v>
      </c>
      <c r="C45" s="78" t="s">
        <v>92</v>
      </c>
      <c r="D45" s="80">
        <f>sheet1!D18</f>
        <v>8.4999999999999995E-4</v>
      </c>
      <c r="E45" s="78">
        <f t="shared" si="7"/>
        <v>0.85</v>
      </c>
      <c r="F45" s="80">
        <f>D45*H45+(1-H45)*sheet1!E59</f>
        <v>1.9999999999999998E-4</v>
      </c>
      <c r="G45" s="78">
        <f t="shared" si="8"/>
        <v>0.19999999999999998</v>
      </c>
      <c r="H45" s="78">
        <f t="shared" si="6"/>
        <v>7.1428571428571425E-2</v>
      </c>
      <c r="I45" s="1">
        <f>126-118</f>
        <v>8</v>
      </c>
      <c r="J45" s="1">
        <f>227-115</f>
        <v>112</v>
      </c>
      <c r="K45" s="1"/>
      <c r="L45" s="1"/>
      <c r="M45" s="1"/>
      <c r="N45" s="1"/>
    </row>
    <row r="46" spans="1:14" x14ac:dyDescent="0.35">
      <c r="A46" s="2" t="s">
        <v>44</v>
      </c>
      <c r="B46" s="61">
        <v>8</v>
      </c>
      <c r="C46" s="1" t="s">
        <v>11</v>
      </c>
      <c r="D46" s="79">
        <f>sheet1!D35</f>
        <v>8.8000000000000005E-3</v>
      </c>
      <c r="E46" s="78">
        <f t="shared" si="7"/>
        <v>8.8000000000000007</v>
      </c>
      <c r="F46" s="80">
        <f>D46*H46+(1-H46)*sheet1!E51</f>
        <v>5.6941176470588243E-3</v>
      </c>
      <c r="G46" s="78">
        <f t="shared" si="8"/>
        <v>5.6941176470588246</v>
      </c>
      <c r="H46" s="78">
        <f t="shared" si="6"/>
        <v>0.6470588235294118</v>
      </c>
      <c r="I46" s="1">
        <f>256*1+8*1</f>
        <v>264</v>
      </c>
      <c r="J46" s="1">
        <v>408</v>
      </c>
      <c r="K46" s="1">
        <f>29307-28935</f>
        <v>372</v>
      </c>
      <c r="L46" s="1"/>
      <c r="M46" s="1"/>
      <c r="N46" s="1"/>
    </row>
    <row r="47" spans="1:14" x14ac:dyDescent="0.35">
      <c r="A47" s="2" t="s">
        <v>75</v>
      </c>
      <c r="B47" s="93" t="s">
        <v>7</v>
      </c>
      <c r="C47" s="78" t="s">
        <v>67</v>
      </c>
      <c r="D47" s="80">
        <f>sheet1!D42</f>
        <v>1.2999999999999999E-3</v>
      </c>
      <c r="E47" s="78">
        <f t="shared" si="7"/>
        <v>1.3</v>
      </c>
      <c r="F47" s="80">
        <f>D47*H47+(1-H47)*sheet1!E83</f>
        <v>5.8474509803921567E-5</v>
      </c>
      <c r="G47" s="78">
        <f t="shared" si="8"/>
        <v>5.8474509803921569E-2</v>
      </c>
      <c r="H47" s="78">
        <f t="shared" si="6"/>
        <v>3.9215686274509803E-2</v>
      </c>
      <c r="I47" s="1">
        <f>8*2*1</f>
        <v>16</v>
      </c>
      <c r="J47" s="1">
        <v>408</v>
      </c>
      <c r="K47" s="129" t="s">
        <v>89</v>
      </c>
      <c r="L47" s="129"/>
      <c r="M47" s="129"/>
      <c r="N47" s="129"/>
    </row>
    <row r="48" spans="1:14" x14ac:dyDescent="0.35">
      <c r="A48" s="2" t="s">
        <v>79</v>
      </c>
      <c r="B48" s="2" t="s">
        <v>80</v>
      </c>
      <c r="C48" s="1" t="s">
        <v>18</v>
      </c>
      <c r="D48" s="79">
        <f>sheet1!D59</f>
        <v>8.8000000000000005E-3</v>
      </c>
      <c r="E48" s="78">
        <f t="shared" si="7"/>
        <v>8.8000000000000007</v>
      </c>
      <c r="F48" s="80">
        <f>D48*H48+(1-H48)*sheet1!E75</f>
        <v>1.7254901960784314E-3</v>
      </c>
      <c r="G48" s="78">
        <f t="shared" si="8"/>
        <v>1.7254901960784315</v>
      </c>
      <c r="H48" s="78">
        <f t="shared" si="6"/>
        <v>0.19607843137254902</v>
      </c>
      <c r="I48" s="1">
        <f>(8+2)*8</f>
        <v>80</v>
      </c>
      <c r="J48" s="1">
        <v>408</v>
      </c>
      <c r="K48" s="1">
        <f>29343-28935</f>
        <v>408</v>
      </c>
      <c r="L48" s="1"/>
      <c r="M48" s="1"/>
      <c r="N48" s="1"/>
    </row>
    <row r="49" spans="1:14" x14ac:dyDescent="0.35">
      <c r="A49" s="2"/>
      <c r="B49" s="2"/>
      <c r="C49" s="78" t="s">
        <v>70</v>
      </c>
      <c r="D49" s="80">
        <f>sheet1!D93</f>
        <v>3.8999999999999999E-4</v>
      </c>
      <c r="E49" s="78">
        <f t="shared" si="7"/>
        <v>0.39</v>
      </c>
      <c r="F49" s="80">
        <f>D49*H49+(1-H49)*sheet1!E109</f>
        <v>3.8999999999999999E-4</v>
      </c>
      <c r="G49" s="78">
        <f t="shared" si="8"/>
        <v>0.39</v>
      </c>
      <c r="H49" s="78">
        <v>1</v>
      </c>
      <c r="I49" s="1"/>
      <c r="J49" s="1"/>
      <c r="K49" s="1"/>
      <c r="L49" s="1"/>
      <c r="M49" s="1"/>
      <c r="N49" s="1"/>
    </row>
    <row r="50" spans="1:14" x14ac:dyDescent="0.3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</row>
    <row r="51" spans="1:14" ht="15" thickBot="1" x14ac:dyDescent="0.4">
      <c r="A51" s="1"/>
      <c r="B51" s="1"/>
      <c r="C51" s="1"/>
      <c r="D51" s="1"/>
      <c r="E51" s="1" t="s">
        <v>93</v>
      </c>
      <c r="F51" s="1" t="s">
        <v>80</v>
      </c>
      <c r="G51" s="1" t="s">
        <v>102</v>
      </c>
      <c r="H51" s="1" t="s">
        <v>103</v>
      </c>
      <c r="I51" s="1"/>
      <c r="J51" s="90"/>
      <c r="K51" s="138" t="s">
        <v>80</v>
      </c>
      <c r="L51" s="138"/>
      <c r="M51" s="138" t="s">
        <v>97</v>
      </c>
      <c r="N51" s="137"/>
    </row>
    <row r="52" spans="1:14" x14ac:dyDescent="0.35">
      <c r="A52" s="45" t="s">
        <v>48</v>
      </c>
      <c r="B52" s="46" t="s">
        <v>90</v>
      </c>
      <c r="C52" s="47" t="s">
        <v>91</v>
      </c>
      <c r="D52" s="1"/>
      <c r="E52" s="1" t="s">
        <v>96</v>
      </c>
      <c r="F52" s="1" t="s">
        <v>52</v>
      </c>
      <c r="G52" s="89">
        <f>C53*1000</f>
        <v>132.23936000000003</v>
      </c>
      <c r="H52" s="1">
        <f>10/J46*G52*8</f>
        <v>25.92928627450981</v>
      </c>
      <c r="I52" s="1"/>
      <c r="J52" s="83" t="s">
        <v>93</v>
      </c>
      <c r="K52" s="9" t="s">
        <v>127</v>
      </c>
      <c r="L52" s="9" t="s">
        <v>101</v>
      </c>
      <c r="M52" s="9" t="s">
        <v>128</v>
      </c>
      <c r="N52" s="84" t="s">
        <v>99</v>
      </c>
    </row>
    <row r="53" spans="1:14" ht="15" thickBot="1" x14ac:dyDescent="0.4">
      <c r="A53" s="51" t="s">
        <v>52</v>
      </c>
      <c r="B53" s="52">
        <f>(((0.2^2)/5000)*256+0.000004)*256</f>
        <v>0.52531200000000011</v>
      </c>
      <c r="C53" s="53">
        <f>((((0.2^2)/5000)+((0.2^2)/1000000))/2*256+0.000004)*256/2</f>
        <v>0.13223936000000003</v>
      </c>
      <c r="D53" s="1"/>
      <c r="E53" s="1"/>
      <c r="F53" s="1"/>
      <c r="G53" s="1"/>
      <c r="H53" s="1"/>
      <c r="I53" s="1"/>
      <c r="J53" s="88" t="s">
        <v>96</v>
      </c>
      <c r="K53" s="92">
        <f>C53*1000</f>
        <v>132.23936000000003</v>
      </c>
      <c r="L53" s="91">
        <f>H52+F55</f>
        <v>35.968501960784323</v>
      </c>
      <c r="M53" s="91">
        <f>E48+E46</f>
        <v>17.600000000000001</v>
      </c>
      <c r="N53" s="87">
        <f>SUM(G43:G49)</f>
        <v>8.1717430672268918</v>
      </c>
    </row>
    <row r="54" spans="1:14" x14ac:dyDescent="0.35">
      <c r="A54" s="1"/>
      <c r="B54" s="1"/>
      <c r="C54" s="1"/>
      <c r="D54" s="1"/>
      <c r="E54" s="1" t="s">
        <v>93</v>
      </c>
      <c r="F54" s="1" t="s">
        <v>107</v>
      </c>
      <c r="G54" s="1" t="s">
        <v>110</v>
      </c>
      <c r="H54" s="1"/>
      <c r="I54" s="1"/>
      <c r="J54" s="1"/>
      <c r="K54" s="77"/>
      <c r="L54" s="77"/>
      <c r="M54" s="77"/>
      <c r="N54" s="77"/>
    </row>
    <row r="55" spans="1:14" x14ac:dyDescent="0.35">
      <c r="A55" s="1"/>
      <c r="B55" s="1"/>
      <c r="C55" s="1"/>
      <c r="D55" s="1"/>
      <c r="E55" s="1" t="s">
        <v>96</v>
      </c>
      <c r="F55" s="1">
        <f>((2*32)*1)*8*8/J46</f>
        <v>10.03921568627451</v>
      </c>
      <c r="G55" s="1">
        <f>((2*16)*1)</f>
        <v>32</v>
      </c>
      <c r="H55" s="1"/>
      <c r="I55" s="1"/>
    </row>
    <row r="56" spans="1:14" x14ac:dyDescent="0.35">
      <c r="A56" s="1"/>
      <c r="B56" s="9"/>
      <c r="C56" s="9"/>
      <c r="D56" s="9"/>
    </row>
    <row r="57" spans="1:14" x14ac:dyDescent="0.35">
      <c r="A57" s="1"/>
      <c r="B57" s="9"/>
      <c r="C57" s="9">
        <f>(((0.2^2)/20000)+((0.2^2)/1000000))/2</f>
        <v>1.0200000000000002E-6</v>
      </c>
      <c r="D57" s="9">
        <f>C57*256*256</f>
        <v>6.6846720000000012E-2</v>
      </c>
    </row>
    <row r="58" spans="1:14" x14ac:dyDescent="0.35">
      <c r="A58" s="1"/>
      <c r="B58" s="9"/>
      <c r="C58" s="77"/>
      <c r="D58" s="9"/>
      <c r="E58" s="1"/>
      <c r="F58" s="1"/>
      <c r="G58" s="1"/>
      <c r="H58" s="1"/>
      <c r="I58" s="1"/>
    </row>
    <row r="59" spans="1:14" x14ac:dyDescent="0.35">
      <c r="F59" s="62">
        <f>H52*J47*256</f>
        <v>2708262.0928000007</v>
      </c>
    </row>
  </sheetData>
  <mergeCells count="12">
    <mergeCell ref="A1:B1"/>
    <mergeCell ref="K6:N6"/>
    <mergeCell ref="A42:B42"/>
    <mergeCell ref="K47:N47"/>
    <mergeCell ref="K51:L51"/>
    <mergeCell ref="M51:N51"/>
    <mergeCell ref="K10:L10"/>
    <mergeCell ref="M10:N10"/>
    <mergeCell ref="K30:L30"/>
    <mergeCell ref="M30:N30"/>
    <mergeCell ref="A21:B21"/>
    <mergeCell ref="K26:N26"/>
  </mergeCells>
  <pageMargins left="0.7" right="0.7" top="0.75" bottom="0.75" header="0.3" footer="0.3"/>
  <pageSetup paperSize="9" scale="95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0"/>
  <sheetViews>
    <sheetView topLeftCell="A52" zoomScale="55" zoomScaleNormal="55" workbookViewId="0">
      <selection activeCell="H50" sqref="H50"/>
    </sheetView>
  </sheetViews>
  <sheetFormatPr defaultColWidth="8.7265625" defaultRowHeight="14.5" x14ac:dyDescent="0.35"/>
  <cols>
    <col min="1" max="1" width="12.1796875" style="62" customWidth="1"/>
    <col min="2" max="2" width="13.81640625" style="62" customWidth="1"/>
    <col min="3" max="3" width="16.1796875" style="62" customWidth="1"/>
    <col min="4" max="4" width="15" style="62" customWidth="1"/>
    <col min="5" max="5" width="14.81640625" style="62" customWidth="1"/>
    <col min="6" max="6" width="16.7265625" style="62" customWidth="1"/>
    <col min="7" max="7" width="20.81640625" style="62" customWidth="1"/>
    <col min="8" max="8" width="19.1796875" style="62" customWidth="1"/>
    <col min="9" max="9" width="16.54296875" style="62" customWidth="1"/>
    <col min="10" max="10" width="14.26953125" style="62" customWidth="1"/>
    <col min="11" max="11" width="14.1796875" style="62" customWidth="1"/>
    <col min="12" max="12" width="16.453125" style="62" customWidth="1"/>
    <col min="13" max="13" width="15.54296875" style="62" customWidth="1"/>
    <col min="14" max="14" width="17.453125" style="62" customWidth="1"/>
    <col min="15" max="15" width="17.81640625" style="62" customWidth="1"/>
    <col min="16" max="16384" width="8.7265625" style="62"/>
  </cols>
  <sheetData>
    <row r="1" spans="1:17" x14ac:dyDescent="0.35">
      <c r="A1" s="129" t="s">
        <v>71</v>
      </c>
      <c r="B1" s="129"/>
      <c r="C1" s="1"/>
      <c r="D1" s="1" t="s">
        <v>108</v>
      </c>
      <c r="E1" s="1"/>
      <c r="F1" s="1" t="s">
        <v>109</v>
      </c>
      <c r="G1" s="1"/>
      <c r="H1" s="1" t="s">
        <v>112</v>
      </c>
      <c r="I1" s="1" t="s">
        <v>78</v>
      </c>
      <c r="J1" s="1" t="s">
        <v>81</v>
      </c>
      <c r="K1" s="1" t="s">
        <v>82</v>
      </c>
      <c r="L1" s="1"/>
      <c r="M1" s="1"/>
      <c r="N1" s="1"/>
      <c r="O1" s="1"/>
      <c r="P1" s="1"/>
    </row>
    <row r="2" spans="1:17" x14ac:dyDescent="0.35">
      <c r="A2" s="2" t="s">
        <v>72</v>
      </c>
      <c r="B2" s="2" t="s">
        <v>52</v>
      </c>
      <c r="C2" s="78" t="s">
        <v>0</v>
      </c>
      <c r="D2" s="78">
        <f>sheet1!D4</f>
        <v>6.8999999999999997E-4</v>
      </c>
      <c r="E2" s="78">
        <f>D2*1000</f>
        <v>0.69</v>
      </c>
      <c r="F2" s="78">
        <f>D2*I2+(1-I2)*sheet1!E4</f>
        <v>1.0280357142857142E-4</v>
      </c>
      <c r="G2" s="78">
        <f>F2*1000</f>
        <v>0.10280357142857142</v>
      </c>
      <c r="H2" s="78">
        <f>F2*K2*256</f>
        <v>2.947584</v>
      </c>
      <c r="I2" s="78">
        <f t="shared" ref="I2:I7" si="0">J2/K2</f>
        <v>0.13392857142857142</v>
      </c>
      <c r="J2" s="1">
        <f>133-118</f>
        <v>15</v>
      </c>
      <c r="K2" s="1">
        <f>227-115</f>
        <v>112</v>
      </c>
      <c r="L2" s="1"/>
      <c r="M2" s="1"/>
      <c r="N2" s="1"/>
      <c r="O2" s="1"/>
      <c r="P2" s="1"/>
    </row>
    <row r="3" spans="1:17" x14ac:dyDescent="0.35">
      <c r="A3" s="2" t="s">
        <v>73</v>
      </c>
      <c r="B3" s="2">
        <v>32</v>
      </c>
      <c r="C3" s="1" t="s">
        <v>6</v>
      </c>
      <c r="D3" s="79">
        <f>sheet1!D11</f>
        <v>1.2600000000000001E-3</v>
      </c>
      <c r="E3" s="78">
        <f t="shared" ref="E3:E8" si="1">D3*1000</f>
        <v>1.26</v>
      </c>
      <c r="F3" s="80">
        <f>D3*I3+(1-I3)*sheet1!E11</f>
        <v>3.0080357142857145E-5</v>
      </c>
      <c r="G3" s="78">
        <f t="shared" ref="G3:G8" si="2">F3*1000</f>
        <v>3.0080357142857145E-2</v>
      </c>
      <c r="H3" s="78">
        <f>F3*K3*256</f>
        <v>0.86246400000000001</v>
      </c>
      <c r="I3" s="78">
        <f t="shared" si="0"/>
        <v>8.9285714285714281E-3</v>
      </c>
      <c r="J3" s="1">
        <f>1</f>
        <v>1</v>
      </c>
      <c r="K3" s="1">
        <f>227-115</f>
        <v>112</v>
      </c>
      <c r="L3" s="1"/>
      <c r="M3" s="1"/>
      <c r="N3" s="1"/>
      <c r="O3" s="1"/>
      <c r="P3" s="1"/>
    </row>
    <row r="4" spans="1:17" x14ac:dyDescent="0.35">
      <c r="A4" s="2" t="s">
        <v>74</v>
      </c>
      <c r="B4" s="61">
        <v>8</v>
      </c>
      <c r="C4" s="78" t="s">
        <v>92</v>
      </c>
      <c r="D4" s="80">
        <f>sheet1!D18</f>
        <v>8.4999999999999995E-4</v>
      </c>
      <c r="E4" s="78">
        <f t="shared" si="1"/>
        <v>0.85</v>
      </c>
      <c r="F4" s="80">
        <f>D4*I4+(1-I4)*sheet1!E18</f>
        <v>7.2785714285714278E-5</v>
      </c>
      <c r="G4" s="78">
        <f t="shared" si="2"/>
        <v>7.2785714285714273E-2</v>
      </c>
      <c r="H4" s="78">
        <f>F4*K4*256</f>
        <v>2.0869119999999999</v>
      </c>
      <c r="I4" s="78">
        <f t="shared" si="0"/>
        <v>7.1428571428571425E-2</v>
      </c>
      <c r="J4" s="1">
        <f>126-118</f>
        <v>8</v>
      </c>
      <c r="K4" s="1">
        <f>227-115</f>
        <v>112</v>
      </c>
      <c r="L4" s="1"/>
      <c r="M4" s="1"/>
      <c r="N4" s="1"/>
      <c r="O4" s="1"/>
      <c r="P4" s="1"/>
    </row>
    <row r="5" spans="1:17" x14ac:dyDescent="0.35">
      <c r="A5" s="2" t="s">
        <v>44</v>
      </c>
      <c r="B5" s="61">
        <v>32</v>
      </c>
      <c r="C5" s="1" t="s">
        <v>11</v>
      </c>
      <c r="D5" s="79">
        <f>sheet1!D25</f>
        <v>3.4000000000000002E-2</v>
      </c>
      <c r="E5" s="78">
        <f t="shared" si="1"/>
        <v>34</v>
      </c>
      <c r="F5" s="80">
        <f>D5*I5+(1-I5)*sheet1!E25</f>
        <v>4.5728000000000001E-3</v>
      </c>
      <c r="G5" s="78">
        <f t="shared" si="2"/>
        <v>4.5728</v>
      </c>
      <c r="H5" s="78">
        <f>F5*K5*256</f>
        <v>2809.5283199999999</v>
      </c>
      <c r="I5" s="78">
        <f t="shared" si="0"/>
        <v>0.12</v>
      </c>
      <c r="J5" s="1">
        <f>256*1+32*1</f>
        <v>288</v>
      </c>
      <c r="K5" s="1">
        <v>2400</v>
      </c>
      <c r="L5" s="1">
        <f>30435-28935</f>
        <v>1500</v>
      </c>
      <c r="M5" s="1"/>
      <c r="N5" s="1"/>
      <c r="O5" s="1"/>
      <c r="P5" s="1"/>
    </row>
    <row r="6" spans="1:17" x14ac:dyDescent="0.35">
      <c r="A6" s="2" t="s">
        <v>75</v>
      </c>
      <c r="B6" s="93" t="s">
        <v>7</v>
      </c>
      <c r="C6" s="78" t="s">
        <v>67</v>
      </c>
      <c r="D6" s="80">
        <f>sheet1!D42</f>
        <v>1.2999999999999999E-3</v>
      </c>
      <c r="E6" s="78">
        <f t="shared" si="1"/>
        <v>1.3</v>
      </c>
      <c r="F6" s="80">
        <f>D6*I6+(1-I6)*sheet1!E42</f>
        <v>5.3159999999999999E-5</v>
      </c>
      <c r="G6" s="78">
        <f t="shared" si="2"/>
        <v>5.3159999999999999E-2</v>
      </c>
      <c r="H6" s="35">
        <v>0</v>
      </c>
      <c r="I6" s="78">
        <f t="shared" si="0"/>
        <v>2.6666666666666668E-2</v>
      </c>
      <c r="J6" s="1">
        <f>32*2*1</f>
        <v>64</v>
      </c>
      <c r="K6" s="1">
        <v>2400</v>
      </c>
      <c r="L6" s="129" t="s">
        <v>89</v>
      </c>
      <c r="M6" s="129"/>
      <c r="N6" s="129"/>
      <c r="O6" s="129"/>
      <c r="P6" s="1"/>
    </row>
    <row r="7" spans="1:17" x14ac:dyDescent="0.35">
      <c r="A7" s="2" t="s">
        <v>79</v>
      </c>
      <c r="B7" s="2" t="s">
        <v>80</v>
      </c>
      <c r="C7" s="1" t="s">
        <v>18</v>
      </c>
      <c r="D7" s="79">
        <f>sheet1!D49</f>
        <v>6.0000000000000001E-3</v>
      </c>
      <c r="E7" s="78">
        <f t="shared" si="1"/>
        <v>6</v>
      </c>
      <c r="F7" s="80">
        <f>D7*I7+(1-I7)*sheet1!E74</f>
        <v>4.8346666666666659E-3</v>
      </c>
      <c r="G7" s="78">
        <f t="shared" si="2"/>
        <v>4.8346666666666662</v>
      </c>
      <c r="H7" s="78">
        <f>F7*K7*256</f>
        <v>2970.4191999999994</v>
      </c>
      <c r="I7" s="78">
        <f t="shared" si="0"/>
        <v>0.49333333333333335</v>
      </c>
      <c r="J7" s="1">
        <f>(32+5)*32</f>
        <v>1184</v>
      </c>
      <c r="K7" s="1">
        <v>2400</v>
      </c>
      <c r="L7" s="1">
        <f>31335-28935</f>
        <v>2400</v>
      </c>
      <c r="M7" s="1"/>
      <c r="N7" s="1"/>
      <c r="O7" s="1"/>
      <c r="P7" s="1"/>
    </row>
    <row r="8" spans="1:17" x14ac:dyDescent="0.35">
      <c r="A8" s="2"/>
      <c r="B8" s="2"/>
      <c r="C8" s="78" t="s">
        <v>70</v>
      </c>
      <c r="D8" s="80">
        <f>sheet1!D83</f>
        <v>3.8999999999999999E-4</v>
      </c>
      <c r="E8" s="78">
        <f t="shared" si="1"/>
        <v>0.39</v>
      </c>
      <c r="F8" s="80">
        <f>D8*I8+(1-I8)*sheet1!E75</f>
        <v>3.8999999999999999E-4</v>
      </c>
      <c r="G8" s="78">
        <f t="shared" si="2"/>
        <v>0.39</v>
      </c>
      <c r="H8" s="78">
        <f>F8*K8*256</f>
        <v>239.61599999999999</v>
      </c>
      <c r="I8" s="78">
        <v>1</v>
      </c>
      <c r="J8" s="1">
        <v>2400</v>
      </c>
      <c r="K8" s="1">
        <v>2400</v>
      </c>
      <c r="L8" s="1"/>
      <c r="M8" s="1"/>
      <c r="N8" s="1"/>
      <c r="O8" s="1"/>
      <c r="P8" s="1"/>
    </row>
    <row r="9" spans="1:17" x14ac:dyDescent="0.35">
      <c r="A9" s="1"/>
      <c r="B9" s="1"/>
      <c r="C9" s="1"/>
      <c r="D9" s="1"/>
      <c r="E9" s="1"/>
      <c r="F9" s="1"/>
      <c r="G9" s="1"/>
      <c r="H9" s="95">
        <f>SUM(H2:H8)</f>
        <v>6025.4604799999997</v>
      </c>
      <c r="I9" s="1"/>
      <c r="J9" s="1"/>
      <c r="K9" s="1"/>
      <c r="L9" s="1"/>
      <c r="M9" s="1"/>
      <c r="N9" s="1"/>
      <c r="O9" s="1"/>
      <c r="P9" s="1"/>
    </row>
    <row r="10" spans="1:17" ht="15" thickBot="1" x14ac:dyDescent="0.4">
      <c r="A10" s="1"/>
      <c r="B10" s="1"/>
      <c r="C10" s="1"/>
      <c r="D10" s="1"/>
      <c r="E10" s="1"/>
      <c r="F10" s="1"/>
      <c r="G10" s="1"/>
      <c r="H10" s="1"/>
      <c r="I10" s="1"/>
      <c r="J10" s="9"/>
      <c r="K10" s="9"/>
      <c r="L10" s="140"/>
      <c r="M10" s="140"/>
      <c r="N10" s="140"/>
      <c r="O10" s="140"/>
      <c r="P10" s="9"/>
      <c r="Q10" s="65"/>
    </row>
    <row r="11" spans="1:17" x14ac:dyDescent="0.35">
      <c r="A11" s="45" t="s">
        <v>48</v>
      </c>
      <c r="B11" s="46" t="s">
        <v>90</v>
      </c>
      <c r="C11" s="47" t="s">
        <v>91</v>
      </c>
      <c r="D11" s="1"/>
      <c r="E11" s="1"/>
      <c r="F11" s="1"/>
      <c r="G11" s="89"/>
      <c r="H11" s="89"/>
      <c r="I11" s="1"/>
      <c r="J11" s="9"/>
      <c r="K11" s="9"/>
      <c r="L11" s="9"/>
      <c r="M11" s="9"/>
      <c r="N11" s="9"/>
      <c r="O11" s="9"/>
      <c r="P11" s="9"/>
      <c r="Q11" s="65"/>
    </row>
    <row r="12" spans="1:17" ht="15" thickBot="1" x14ac:dyDescent="0.4">
      <c r="A12" s="51" t="s">
        <v>52</v>
      </c>
      <c r="B12" s="52">
        <f>(((0.2^2)/5000)*256+0.000004)*256</f>
        <v>0.52531200000000011</v>
      </c>
      <c r="C12" s="53">
        <f>((((0.2^2)/5000)+((0.2^2)/1000000))/2*256+0.000004)*256</f>
        <v>0.26447872000000006</v>
      </c>
      <c r="D12" s="1"/>
      <c r="E12" s="1"/>
      <c r="F12" s="1"/>
      <c r="G12" s="1"/>
      <c r="H12" s="1"/>
      <c r="I12" s="1"/>
      <c r="J12" s="9"/>
      <c r="K12" s="9"/>
      <c r="L12" s="77"/>
      <c r="M12" s="9"/>
      <c r="N12" s="9"/>
      <c r="O12" s="9"/>
      <c r="P12" s="9"/>
      <c r="Q12" s="65"/>
    </row>
    <row r="13" spans="1:17" x14ac:dyDescent="0.35">
      <c r="A13" s="1"/>
      <c r="B13" s="1"/>
      <c r="C13" s="1"/>
      <c r="D13" s="1"/>
      <c r="E13" s="1"/>
      <c r="F13" s="1"/>
      <c r="G13" s="1"/>
      <c r="H13" s="1"/>
      <c r="I13" s="1"/>
      <c r="J13" s="9"/>
      <c r="K13" s="9"/>
      <c r="L13" s="77"/>
      <c r="M13" s="77"/>
      <c r="N13" s="77"/>
      <c r="O13" s="77"/>
      <c r="P13" s="9"/>
      <c r="Q13" s="65"/>
    </row>
    <row r="14" spans="1:17" x14ac:dyDescent="0.35">
      <c r="A14" s="1"/>
      <c r="B14" s="1"/>
      <c r="C14" s="1"/>
      <c r="D14" s="1"/>
      <c r="E14" s="1"/>
      <c r="F14" s="1"/>
      <c r="G14" s="1"/>
      <c r="H14" s="1"/>
      <c r="I14" s="1"/>
      <c r="J14" s="9"/>
      <c r="K14" s="65"/>
      <c r="L14" s="65"/>
      <c r="M14" s="65"/>
      <c r="N14" s="65"/>
      <c r="O14" s="65"/>
      <c r="P14" s="9"/>
      <c r="Q14" s="65"/>
    </row>
    <row r="15" spans="1:17" x14ac:dyDescent="0.35">
      <c r="A15" s="1"/>
      <c r="B15" s="9"/>
      <c r="C15" s="9"/>
      <c r="D15" s="9"/>
      <c r="J15" s="65"/>
      <c r="K15" s="65"/>
      <c r="L15" s="65"/>
      <c r="M15" s="65"/>
      <c r="N15" s="65"/>
      <c r="O15" s="65"/>
      <c r="P15" s="9"/>
      <c r="Q15" s="65"/>
    </row>
    <row r="16" spans="1:17" x14ac:dyDescent="0.35">
      <c r="A16" s="1"/>
      <c r="B16" s="9"/>
      <c r="C16" s="9"/>
      <c r="D16" s="9"/>
      <c r="J16" s="65"/>
      <c r="K16" s="65"/>
      <c r="L16" s="65"/>
      <c r="M16" s="65"/>
      <c r="N16" s="65"/>
      <c r="O16" s="65"/>
      <c r="P16" s="65"/>
      <c r="Q16" s="65"/>
    </row>
    <row r="17" spans="1:17" x14ac:dyDescent="0.35">
      <c r="A17" s="1"/>
      <c r="B17" s="9"/>
      <c r="C17" s="77"/>
      <c r="D17" s="9"/>
      <c r="E17" s="1"/>
      <c r="F17" s="1"/>
      <c r="G17" s="1"/>
      <c r="H17" s="1"/>
      <c r="I17" s="1"/>
      <c r="J17" s="1"/>
    </row>
    <row r="18" spans="1:17" x14ac:dyDescent="0.35">
      <c r="A18" s="1"/>
      <c r="B18" s="1"/>
      <c r="C18" s="77"/>
      <c r="D18" s="9"/>
    </row>
    <row r="19" spans="1:17" s="81" customFormat="1" x14ac:dyDescent="0.35"/>
    <row r="20" spans="1:17" x14ac:dyDescent="0.35">
      <c r="A20" s="1"/>
      <c r="B20" s="1"/>
      <c r="C20" s="1"/>
      <c r="D20" s="1"/>
      <c r="E20" s="1"/>
      <c r="F20" s="1"/>
    </row>
    <row r="21" spans="1:17" x14ac:dyDescent="0.35">
      <c r="A21" s="129" t="s">
        <v>71</v>
      </c>
      <c r="B21" s="129"/>
      <c r="C21" s="1"/>
      <c r="D21" s="1" t="s">
        <v>108</v>
      </c>
      <c r="E21" s="1"/>
      <c r="F21" s="1" t="s">
        <v>109</v>
      </c>
      <c r="G21" s="1"/>
      <c r="H21" s="1" t="s">
        <v>112</v>
      </c>
      <c r="I21" s="1" t="s">
        <v>78</v>
      </c>
      <c r="J21" s="1" t="s">
        <v>81</v>
      </c>
      <c r="K21" s="1" t="s">
        <v>82</v>
      </c>
      <c r="L21" s="1"/>
      <c r="M21" s="1"/>
      <c r="N21" s="1"/>
      <c r="O21" s="1"/>
    </row>
    <row r="22" spans="1:17" x14ac:dyDescent="0.35">
      <c r="A22" s="2" t="s">
        <v>72</v>
      </c>
      <c r="B22" s="2" t="s">
        <v>52</v>
      </c>
      <c r="C22" s="78" t="s">
        <v>0</v>
      </c>
      <c r="D22" s="78">
        <f>sheet1!D4</f>
        <v>6.8999999999999997E-4</v>
      </c>
      <c r="E22" s="78">
        <f>D22*1000</f>
        <v>0.69</v>
      </c>
      <c r="F22" s="78">
        <f>D22*I22+(1-I22)*sheet1!E24</f>
        <v>9.241071428571428E-5</v>
      </c>
      <c r="G22" s="78">
        <f>F22*1000</f>
        <v>9.2410714285714277E-2</v>
      </c>
      <c r="H22" s="78">
        <f>F22*K22*256</f>
        <v>2.6496</v>
      </c>
      <c r="I22" s="78">
        <f t="shared" ref="I22:I27" si="3">J22/K22</f>
        <v>0.13392857142857142</v>
      </c>
      <c r="J22" s="1">
        <f>133-118</f>
        <v>15</v>
      </c>
      <c r="K22" s="1">
        <f>227-115</f>
        <v>112</v>
      </c>
      <c r="L22" s="1"/>
      <c r="M22" s="1"/>
      <c r="N22" s="1"/>
      <c r="O22" s="1"/>
    </row>
    <row r="23" spans="1:17" x14ac:dyDescent="0.35">
      <c r="A23" s="2" t="s">
        <v>73</v>
      </c>
      <c r="B23" s="2">
        <v>16</v>
      </c>
      <c r="C23" s="1" t="s">
        <v>6</v>
      </c>
      <c r="D23" s="79">
        <f>sheet1!D11</f>
        <v>1.2600000000000001E-3</v>
      </c>
      <c r="E23" s="78">
        <f t="shared" ref="E23:E28" si="4">D23*1000</f>
        <v>1.26</v>
      </c>
      <c r="F23" s="80">
        <f>D23*I23+(1-I23)*sheet1!E31</f>
        <v>1.1249999999999999E-5</v>
      </c>
      <c r="G23" s="78">
        <f t="shared" ref="G23:G28" si="5">F23*1000</f>
        <v>1.125E-2</v>
      </c>
      <c r="H23" s="78">
        <f>F23*K23*256</f>
        <v>0.32255999999999996</v>
      </c>
      <c r="I23" s="78">
        <f t="shared" si="3"/>
        <v>8.9285714285714281E-3</v>
      </c>
      <c r="J23" s="1">
        <f>1</f>
        <v>1</v>
      </c>
      <c r="K23" s="1">
        <f>227-115</f>
        <v>112</v>
      </c>
      <c r="L23" s="1"/>
      <c r="M23" s="1"/>
      <c r="N23" s="1"/>
      <c r="O23" s="1"/>
    </row>
    <row r="24" spans="1:17" x14ac:dyDescent="0.35">
      <c r="A24" s="2" t="s">
        <v>74</v>
      </c>
      <c r="B24" s="61">
        <v>16</v>
      </c>
      <c r="C24" s="78" t="s">
        <v>92</v>
      </c>
      <c r="D24" s="80">
        <f>sheet1!D18</f>
        <v>8.4999999999999995E-4</v>
      </c>
      <c r="E24" s="78">
        <f t="shared" si="4"/>
        <v>0.85</v>
      </c>
      <c r="F24" s="80">
        <f>D24*I24+(1-I24)*sheet1!E38</f>
        <v>6.0714285714285708E-5</v>
      </c>
      <c r="G24" s="78">
        <f t="shared" si="5"/>
        <v>6.0714285714285707E-2</v>
      </c>
      <c r="H24" s="78">
        <f>F24*K24*256</f>
        <v>1.7407999999999999</v>
      </c>
      <c r="I24" s="78">
        <f t="shared" si="3"/>
        <v>7.1428571428571425E-2</v>
      </c>
      <c r="J24" s="1">
        <f>126-118</f>
        <v>8</v>
      </c>
      <c r="K24" s="1">
        <f>227-115</f>
        <v>112</v>
      </c>
      <c r="L24" s="1"/>
      <c r="M24" s="1"/>
      <c r="N24" s="1"/>
      <c r="O24" s="1"/>
    </row>
    <row r="25" spans="1:17" x14ac:dyDescent="0.35">
      <c r="A25" s="2" t="s">
        <v>44</v>
      </c>
      <c r="B25" s="61">
        <v>16</v>
      </c>
      <c r="C25" s="1" t="s">
        <v>11</v>
      </c>
      <c r="D25" s="79">
        <f>sheet1!D30</f>
        <v>1.4999999999999999E-2</v>
      </c>
      <c r="E25" s="78">
        <f t="shared" si="4"/>
        <v>15</v>
      </c>
      <c r="F25" s="80">
        <f>D25*I25+(1-I25)*sheet1!E30</f>
        <v>4.9999999999999992E-3</v>
      </c>
      <c r="G25" s="78">
        <f t="shared" si="5"/>
        <v>4.9999999999999991</v>
      </c>
      <c r="H25" s="78">
        <f>F25*K25*256</f>
        <v>1044.4799999999998</v>
      </c>
      <c r="I25" s="78">
        <f t="shared" si="3"/>
        <v>0.33333333333333331</v>
      </c>
      <c r="J25" s="1">
        <f>256*1+16*1</f>
        <v>272</v>
      </c>
      <c r="K25" s="1">
        <v>816</v>
      </c>
      <c r="L25" s="1">
        <f>29555-28935</f>
        <v>620</v>
      </c>
      <c r="M25" s="1"/>
      <c r="N25" s="1"/>
      <c r="O25" s="1"/>
    </row>
    <row r="26" spans="1:17" x14ac:dyDescent="0.35">
      <c r="A26" s="2" t="s">
        <v>75</v>
      </c>
      <c r="B26" s="93" t="s">
        <v>7</v>
      </c>
      <c r="C26" s="78" t="s">
        <v>67</v>
      </c>
      <c r="D26" s="80">
        <f>sheet1!D42</f>
        <v>1.2999999999999999E-3</v>
      </c>
      <c r="E26" s="78">
        <f t="shared" si="4"/>
        <v>1.3</v>
      </c>
      <c r="F26" s="80">
        <f>D26*I26+(1-I26)*sheet1!E62</f>
        <v>5.0980392156862745E-5</v>
      </c>
      <c r="G26" s="78">
        <f t="shared" si="5"/>
        <v>5.0980392156862744E-2</v>
      </c>
      <c r="H26" s="35">
        <v>0</v>
      </c>
      <c r="I26" s="78">
        <f t="shared" si="3"/>
        <v>3.9215686274509803E-2</v>
      </c>
      <c r="J26" s="1">
        <f>16*2*1</f>
        <v>32</v>
      </c>
      <c r="K26" s="1">
        <v>816</v>
      </c>
      <c r="L26" s="129" t="s">
        <v>89</v>
      </c>
      <c r="M26" s="129"/>
      <c r="N26" s="129"/>
      <c r="O26" s="129"/>
    </row>
    <row r="27" spans="1:17" x14ac:dyDescent="0.35">
      <c r="A27" s="2" t="s">
        <v>79</v>
      </c>
      <c r="B27" s="2" t="s">
        <v>80</v>
      </c>
      <c r="C27" s="1" t="s">
        <v>18</v>
      </c>
      <c r="D27" s="79">
        <f>sheet1!D54</f>
        <v>6.7999999999999996E-3</v>
      </c>
      <c r="E27" s="78">
        <f t="shared" si="4"/>
        <v>6.8</v>
      </c>
      <c r="F27" s="80">
        <f>D27*I27+(1-I27)*sheet1!E54</f>
        <v>2.6036078431372549E-3</v>
      </c>
      <c r="G27" s="78">
        <f t="shared" si="5"/>
        <v>2.6036078431372549</v>
      </c>
      <c r="H27" s="78">
        <f>F27*K27*256</f>
        <v>543.88326399999994</v>
      </c>
      <c r="I27" s="78">
        <f t="shared" si="3"/>
        <v>0.37254901960784315</v>
      </c>
      <c r="J27" s="1">
        <f>(16+3)*16</f>
        <v>304</v>
      </c>
      <c r="K27" s="1">
        <v>816</v>
      </c>
      <c r="L27" s="1">
        <f>29751-28935</f>
        <v>816</v>
      </c>
      <c r="M27" s="1"/>
      <c r="N27" s="1"/>
      <c r="O27" s="1"/>
    </row>
    <row r="28" spans="1:17" x14ac:dyDescent="0.35">
      <c r="A28" s="2"/>
      <c r="B28" s="2"/>
      <c r="C28" s="78" t="s">
        <v>70</v>
      </c>
      <c r="D28" s="80">
        <f>sheet1!D88</f>
        <v>3.8999999999999999E-4</v>
      </c>
      <c r="E28" s="78">
        <f t="shared" si="4"/>
        <v>0.39</v>
      </c>
      <c r="F28" s="80">
        <f>D28*I28+(1-I28)*sheet1!E88</f>
        <v>3.8999999999999999E-4</v>
      </c>
      <c r="G28" s="78">
        <f t="shared" si="5"/>
        <v>0.39</v>
      </c>
      <c r="H28" s="78">
        <f>F28*K28*256</f>
        <v>81.469439999999992</v>
      </c>
      <c r="I28" s="78">
        <v>1</v>
      </c>
      <c r="J28" s="1">
        <v>816</v>
      </c>
      <c r="K28" s="1">
        <v>816</v>
      </c>
      <c r="L28" s="1"/>
      <c r="M28" s="1"/>
      <c r="N28" s="1"/>
      <c r="O28" s="1"/>
    </row>
    <row r="29" spans="1:17" x14ac:dyDescent="0.35">
      <c r="A29" s="1"/>
      <c r="B29" s="1"/>
      <c r="C29" s="1"/>
      <c r="D29" s="1"/>
      <c r="E29" s="1"/>
      <c r="F29" s="1"/>
      <c r="G29" s="1"/>
      <c r="H29" s="95">
        <f>SUM(H22:H28)</f>
        <v>1674.545664</v>
      </c>
      <c r="I29" s="1"/>
      <c r="J29" s="1"/>
      <c r="K29" s="1"/>
      <c r="L29" s="1"/>
      <c r="M29" s="1"/>
      <c r="N29" s="1"/>
      <c r="O29" s="1"/>
    </row>
    <row r="30" spans="1:17" ht="15" thickBot="1" x14ac:dyDescent="0.4">
      <c r="A30" s="1"/>
      <c r="B30" s="1"/>
      <c r="C30" s="1"/>
      <c r="D30" s="1"/>
      <c r="E30" s="1"/>
      <c r="F30" s="1"/>
      <c r="G30" s="1"/>
      <c r="H30" s="1"/>
      <c r="I30" s="1"/>
      <c r="J30" s="1"/>
      <c r="K30" s="9"/>
      <c r="L30" s="140"/>
      <c r="M30" s="140"/>
      <c r="N30" s="140"/>
      <c r="O30" s="140"/>
      <c r="P30" s="65"/>
      <c r="Q30" s="65"/>
    </row>
    <row r="31" spans="1:17" x14ac:dyDescent="0.35">
      <c r="A31" s="45" t="s">
        <v>48</v>
      </c>
      <c r="B31" s="46" t="s">
        <v>90</v>
      </c>
      <c r="C31" s="47" t="s">
        <v>91</v>
      </c>
      <c r="D31" s="1"/>
      <c r="E31" s="1"/>
      <c r="F31" s="1"/>
      <c r="G31" s="89"/>
      <c r="H31" s="89"/>
      <c r="I31" s="1"/>
      <c r="J31" s="1"/>
      <c r="K31" s="9"/>
      <c r="L31" s="9"/>
      <c r="M31" s="9"/>
      <c r="N31" s="9"/>
      <c r="O31" s="9"/>
      <c r="P31" s="65"/>
      <c r="Q31" s="65"/>
    </row>
    <row r="32" spans="1:17" ht="15" thickBot="1" x14ac:dyDescent="0.4">
      <c r="A32" s="51" t="s">
        <v>52</v>
      </c>
      <c r="B32" s="52">
        <f>(((0.2^2)/5000)*256+0.000004)*256</f>
        <v>0.52531200000000011</v>
      </c>
      <c r="C32" s="53">
        <f>((((0.2^2)/5000)+((0.2^2)/1000000))/2*256+0.000004)*256</f>
        <v>0.26447872000000006</v>
      </c>
      <c r="D32" s="1"/>
      <c r="E32" s="1"/>
      <c r="F32" s="1"/>
      <c r="G32" s="1"/>
      <c r="H32" s="1"/>
      <c r="I32" s="1"/>
      <c r="J32" s="1"/>
      <c r="K32" s="9"/>
      <c r="L32" s="77"/>
      <c r="M32" s="9"/>
      <c r="N32" s="9"/>
      <c r="O32" s="9"/>
      <c r="P32" s="65"/>
      <c r="Q32" s="65"/>
    </row>
    <row r="33" spans="1:17" x14ac:dyDescent="0.35">
      <c r="A33" s="1"/>
      <c r="B33" s="1"/>
      <c r="C33" s="1"/>
      <c r="D33" s="1"/>
      <c r="E33" s="1"/>
      <c r="F33" s="1"/>
      <c r="G33" s="1"/>
      <c r="H33" s="1"/>
      <c r="I33" s="1"/>
      <c r="J33" s="1"/>
      <c r="K33" s="9"/>
      <c r="L33" s="77"/>
      <c r="M33" s="77"/>
      <c r="N33" s="77"/>
      <c r="O33" s="77"/>
      <c r="P33" s="65"/>
      <c r="Q33" s="65"/>
    </row>
    <row r="34" spans="1:17" x14ac:dyDescent="0.35">
      <c r="A34" s="1"/>
      <c r="B34" s="1"/>
      <c r="C34" s="1"/>
      <c r="D34" s="1"/>
      <c r="E34" s="1"/>
      <c r="F34" s="1"/>
      <c r="G34" s="1"/>
      <c r="H34" s="1"/>
      <c r="I34" s="1"/>
      <c r="J34" s="1"/>
      <c r="K34" s="65"/>
      <c r="L34" s="65"/>
      <c r="M34" s="65"/>
      <c r="N34" s="65"/>
      <c r="O34" s="65"/>
      <c r="P34" s="65"/>
      <c r="Q34" s="65"/>
    </row>
    <row r="35" spans="1:17" x14ac:dyDescent="0.35">
      <c r="A35" s="1"/>
      <c r="B35" s="9"/>
      <c r="C35" s="9"/>
      <c r="D35" s="9"/>
      <c r="K35" s="65"/>
      <c r="L35" s="65"/>
      <c r="M35" s="65"/>
      <c r="N35" s="65"/>
      <c r="O35" s="65"/>
      <c r="P35" s="65"/>
      <c r="Q35" s="65"/>
    </row>
    <row r="36" spans="1:17" x14ac:dyDescent="0.35">
      <c r="A36" s="1"/>
      <c r="B36" s="9"/>
      <c r="C36" s="9"/>
      <c r="D36" s="9"/>
      <c r="K36" s="65"/>
      <c r="L36" s="65"/>
      <c r="M36" s="65"/>
      <c r="N36" s="65"/>
      <c r="O36" s="65"/>
      <c r="P36" s="65"/>
      <c r="Q36" s="65"/>
    </row>
    <row r="37" spans="1:17" x14ac:dyDescent="0.35">
      <c r="A37" s="1"/>
      <c r="B37" s="9"/>
      <c r="C37" s="77"/>
      <c r="D37" s="9"/>
      <c r="E37" s="1"/>
      <c r="F37" s="1"/>
      <c r="G37" s="1"/>
      <c r="H37" s="1"/>
      <c r="I37" s="1"/>
      <c r="J37" s="1"/>
      <c r="K37" s="65"/>
      <c r="L37" s="65"/>
      <c r="M37" s="65"/>
      <c r="N37" s="65"/>
      <c r="O37" s="65"/>
      <c r="P37" s="65"/>
      <c r="Q37" s="65"/>
    </row>
    <row r="38" spans="1:17" x14ac:dyDescent="0.35">
      <c r="A38" s="1"/>
      <c r="B38" s="1"/>
      <c r="C38" s="77"/>
      <c r="D38" s="9"/>
    </row>
    <row r="39" spans="1:17" s="81" customFormat="1" x14ac:dyDescent="0.35"/>
    <row r="41" spans="1:17" x14ac:dyDescent="0.35">
      <c r="A41" s="1"/>
      <c r="B41" s="1"/>
      <c r="C41" s="1"/>
      <c r="D41" s="1"/>
      <c r="E41" s="1"/>
      <c r="F41" s="1"/>
    </row>
    <row r="42" spans="1:17" x14ac:dyDescent="0.35">
      <c r="A42" s="129" t="s">
        <v>71</v>
      </c>
      <c r="B42" s="129"/>
      <c r="C42" s="1"/>
      <c r="D42" s="1" t="s">
        <v>108</v>
      </c>
      <c r="E42" s="1"/>
      <c r="F42" s="1" t="s">
        <v>109</v>
      </c>
      <c r="G42" s="1"/>
      <c r="H42" s="1" t="s">
        <v>112</v>
      </c>
      <c r="I42" s="1" t="s">
        <v>78</v>
      </c>
      <c r="J42" s="1" t="s">
        <v>81</v>
      </c>
      <c r="K42" s="1" t="s">
        <v>82</v>
      </c>
      <c r="L42" s="1"/>
      <c r="M42" s="1"/>
      <c r="N42" s="1"/>
      <c r="O42" s="1"/>
    </row>
    <row r="43" spans="1:17" x14ac:dyDescent="0.35">
      <c r="A43" s="2" t="s">
        <v>72</v>
      </c>
      <c r="B43" s="2" t="s">
        <v>52</v>
      </c>
      <c r="C43" s="78" t="s">
        <v>0</v>
      </c>
      <c r="D43" s="78">
        <f>sheet1!D4</f>
        <v>6.8999999999999997E-4</v>
      </c>
      <c r="E43" s="78">
        <f>D43*1000</f>
        <v>0.69</v>
      </c>
      <c r="F43" s="78">
        <f>D43*I43+(1-I43)*sheet1!E45</f>
        <v>9.241071428571428E-5</v>
      </c>
      <c r="G43" s="78">
        <f>F43*1000</f>
        <v>9.2410714285714277E-2</v>
      </c>
      <c r="H43" s="78">
        <f>F43*K43*256</f>
        <v>2.6496</v>
      </c>
      <c r="I43" s="78">
        <f t="shared" ref="I43:I48" si="6">J43/K43</f>
        <v>0.13392857142857142</v>
      </c>
      <c r="J43" s="1">
        <f>133-118</f>
        <v>15</v>
      </c>
      <c r="K43" s="1">
        <f>227-115</f>
        <v>112</v>
      </c>
      <c r="L43" s="1"/>
      <c r="M43" s="1"/>
      <c r="N43" s="1"/>
      <c r="O43" s="1"/>
    </row>
    <row r="44" spans="1:17" x14ac:dyDescent="0.35">
      <c r="A44" s="2" t="s">
        <v>73</v>
      </c>
      <c r="B44" s="2">
        <v>8</v>
      </c>
      <c r="C44" s="1" t="s">
        <v>6</v>
      </c>
      <c r="D44" s="79">
        <f>sheet1!D11</f>
        <v>1.2600000000000001E-3</v>
      </c>
      <c r="E44" s="78">
        <f t="shared" ref="E44:E49" si="7">D44*1000</f>
        <v>1.26</v>
      </c>
      <c r="F44" s="80">
        <f>D44*I44+(1-I44)*sheet1!E52</f>
        <v>1.1249999999999999E-5</v>
      </c>
      <c r="G44" s="78">
        <f t="shared" ref="G44:G49" si="8">F44*1000</f>
        <v>1.125E-2</v>
      </c>
      <c r="H44" s="78">
        <f>F44*K44*256</f>
        <v>0.32255999999999996</v>
      </c>
      <c r="I44" s="78">
        <f t="shared" si="6"/>
        <v>8.9285714285714281E-3</v>
      </c>
      <c r="J44" s="1">
        <f>1</f>
        <v>1</v>
      </c>
      <c r="K44" s="1">
        <f>227-115</f>
        <v>112</v>
      </c>
      <c r="L44" s="1"/>
      <c r="M44" s="1"/>
      <c r="N44" s="1"/>
      <c r="O44" s="1"/>
    </row>
    <row r="45" spans="1:17" x14ac:dyDescent="0.35">
      <c r="A45" s="2" t="s">
        <v>74</v>
      </c>
      <c r="B45" s="61">
        <v>32</v>
      </c>
      <c r="C45" s="78" t="s">
        <v>92</v>
      </c>
      <c r="D45" s="80">
        <f>sheet1!D18</f>
        <v>8.4999999999999995E-4</v>
      </c>
      <c r="E45" s="78">
        <f t="shared" si="7"/>
        <v>0.85</v>
      </c>
      <c r="F45" s="80">
        <f>D45*I45+(1-I45)*sheet1!E59</f>
        <v>1.9999999999999998E-4</v>
      </c>
      <c r="G45" s="78">
        <f t="shared" si="8"/>
        <v>0.19999999999999998</v>
      </c>
      <c r="H45" s="78">
        <f>F45*K45*256</f>
        <v>5.7343999999999991</v>
      </c>
      <c r="I45" s="78">
        <f t="shared" si="6"/>
        <v>7.1428571428571425E-2</v>
      </c>
      <c r="J45" s="1">
        <f>126-118</f>
        <v>8</v>
      </c>
      <c r="K45" s="1">
        <f>227-115</f>
        <v>112</v>
      </c>
      <c r="L45" s="1"/>
      <c r="M45" s="1"/>
      <c r="N45" s="1"/>
      <c r="O45" s="1"/>
    </row>
    <row r="46" spans="1:17" x14ac:dyDescent="0.35">
      <c r="A46" s="2" t="s">
        <v>44</v>
      </c>
      <c r="B46" s="61">
        <v>8</v>
      </c>
      <c r="C46" s="1" t="s">
        <v>11</v>
      </c>
      <c r="D46" s="79">
        <f>sheet1!D35</f>
        <v>8.8000000000000005E-3</v>
      </c>
      <c r="E46" s="78">
        <f t="shared" si="7"/>
        <v>8.8000000000000007</v>
      </c>
      <c r="F46" s="80">
        <f>D46*I46+(1-I46)*sheet1!E51</f>
        <v>5.6941176470588243E-3</v>
      </c>
      <c r="G46" s="78">
        <f t="shared" si="8"/>
        <v>5.6941176470588246</v>
      </c>
      <c r="H46" s="78">
        <f>F46*K46*256</f>
        <v>594.7392000000001</v>
      </c>
      <c r="I46" s="78">
        <f t="shared" si="6"/>
        <v>0.6470588235294118</v>
      </c>
      <c r="J46" s="1">
        <f>256*1+8*1</f>
        <v>264</v>
      </c>
      <c r="K46" s="1">
        <v>408</v>
      </c>
      <c r="L46" s="1">
        <f>29307-28935</f>
        <v>372</v>
      </c>
      <c r="M46" s="1"/>
      <c r="N46" s="1"/>
      <c r="O46" s="1"/>
    </row>
    <row r="47" spans="1:17" x14ac:dyDescent="0.35">
      <c r="A47" s="2" t="s">
        <v>75</v>
      </c>
      <c r="B47" s="93" t="s">
        <v>7</v>
      </c>
      <c r="C47" s="78" t="s">
        <v>67</v>
      </c>
      <c r="D47" s="80">
        <f>sheet1!D42</f>
        <v>1.2999999999999999E-3</v>
      </c>
      <c r="E47" s="78">
        <f t="shared" si="7"/>
        <v>1.3</v>
      </c>
      <c r="F47" s="80">
        <f>D47*I47+(1-I47)*sheet1!E83</f>
        <v>5.8474509803921567E-5</v>
      </c>
      <c r="G47" s="78">
        <f t="shared" si="8"/>
        <v>5.8474509803921569E-2</v>
      </c>
      <c r="H47" s="35">
        <v>0</v>
      </c>
      <c r="I47" s="78">
        <f t="shared" si="6"/>
        <v>3.9215686274509803E-2</v>
      </c>
      <c r="J47" s="1">
        <f>8*2*1</f>
        <v>16</v>
      </c>
      <c r="K47" s="1">
        <v>408</v>
      </c>
      <c r="L47" s="129" t="s">
        <v>89</v>
      </c>
      <c r="M47" s="129"/>
      <c r="N47" s="129"/>
      <c r="O47" s="129"/>
    </row>
    <row r="48" spans="1:17" x14ac:dyDescent="0.35">
      <c r="A48" s="2" t="s">
        <v>79</v>
      </c>
      <c r="B48" s="2" t="s">
        <v>80</v>
      </c>
      <c r="C48" s="1" t="s">
        <v>18</v>
      </c>
      <c r="D48" s="79">
        <f>sheet1!D59</f>
        <v>8.8000000000000005E-3</v>
      </c>
      <c r="E48" s="78">
        <f t="shared" si="7"/>
        <v>8.8000000000000007</v>
      </c>
      <c r="F48" s="80">
        <f>D48*I48+(1-I48)*sheet1!E75</f>
        <v>1.7254901960784314E-3</v>
      </c>
      <c r="G48" s="78">
        <f t="shared" si="8"/>
        <v>1.7254901960784315</v>
      </c>
      <c r="H48" s="78">
        <f>F48*K48*256</f>
        <v>180.22399999999999</v>
      </c>
      <c r="I48" s="78">
        <f t="shared" si="6"/>
        <v>0.19607843137254902</v>
      </c>
      <c r="J48" s="1">
        <f>(8+2)*8</f>
        <v>80</v>
      </c>
      <c r="K48" s="1">
        <v>408</v>
      </c>
      <c r="L48" s="1">
        <f>29343-28935</f>
        <v>408</v>
      </c>
      <c r="M48" s="1"/>
      <c r="N48" s="1"/>
      <c r="O48" s="1"/>
    </row>
    <row r="49" spans="1:16" x14ac:dyDescent="0.35">
      <c r="A49" s="2"/>
      <c r="B49" s="2"/>
      <c r="C49" s="78" t="s">
        <v>70</v>
      </c>
      <c r="D49" s="80">
        <f>sheet1!D93</f>
        <v>3.8999999999999999E-4</v>
      </c>
      <c r="E49" s="78">
        <f t="shared" si="7"/>
        <v>0.39</v>
      </c>
      <c r="F49" s="80">
        <f>D49*I49+(1-I49)*sheet1!E109</f>
        <v>3.8999999999999999E-4</v>
      </c>
      <c r="G49" s="78">
        <f t="shared" si="8"/>
        <v>0.39</v>
      </c>
      <c r="H49" s="78">
        <f>F49*K49*256</f>
        <v>40.734719999999996</v>
      </c>
      <c r="I49" s="78">
        <v>1</v>
      </c>
      <c r="J49" s="1">
        <v>408</v>
      </c>
      <c r="K49" s="1">
        <v>408</v>
      </c>
      <c r="L49" s="1"/>
      <c r="M49" s="1"/>
      <c r="N49" s="1"/>
      <c r="O49" s="1"/>
    </row>
    <row r="50" spans="1:16" x14ac:dyDescent="0.35">
      <c r="A50" s="1"/>
      <c r="B50" s="1"/>
      <c r="C50" s="1"/>
      <c r="D50" s="1"/>
      <c r="E50" s="1"/>
      <c r="F50" s="1"/>
      <c r="G50" s="1"/>
      <c r="H50" s="95">
        <f>SUM(H43:H49)</f>
        <v>824.40448000000004</v>
      </c>
      <c r="I50" s="1"/>
      <c r="J50" s="1"/>
      <c r="K50" s="1"/>
      <c r="L50" s="1"/>
      <c r="M50" s="1"/>
      <c r="N50" s="1"/>
      <c r="O50" s="1"/>
    </row>
    <row r="51" spans="1:16" ht="15" thickBot="1" x14ac:dyDescent="0.4">
      <c r="A51" s="1"/>
      <c r="B51" s="1"/>
      <c r="C51" s="1"/>
      <c r="D51" s="1"/>
      <c r="E51" s="1"/>
      <c r="F51" s="1"/>
      <c r="G51" s="1"/>
      <c r="H51" s="1"/>
      <c r="I51" s="1"/>
      <c r="J51" s="1"/>
      <c r="K51" s="9"/>
      <c r="L51" s="140"/>
      <c r="M51" s="140"/>
      <c r="N51" s="140"/>
      <c r="O51" s="140"/>
      <c r="P51" s="65"/>
    </row>
    <row r="52" spans="1:16" x14ac:dyDescent="0.35">
      <c r="A52" s="45" t="s">
        <v>48</v>
      </c>
      <c r="B52" s="46" t="s">
        <v>90</v>
      </c>
      <c r="C52" s="47" t="s">
        <v>91</v>
      </c>
      <c r="D52" s="1"/>
      <c r="E52" s="1"/>
      <c r="F52" s="1"/>
      <c r="G52" s="89"/>
      <c r="H52" s="89"/>
      <c r="I52" s="1"/>
      <c r="J52" s="1"/>
      <c r="K52" s="9"/>
      <c r="L52" s="9"/>
      <c r="M52" s="9"/>
      <c r="N52" s="9"/>
      <c r="O52" s="9"/>
      <c r="P52" s="65"/>
    </row>
    <row r="53" spans="1:16" ht="15" thickBot="1" x14ac:dyDescent="0.4">
      <c r="A53" s="51" t="s">
        <v>52</v>
      </c>
      <c r="B53" s="52">
        <f>(((0.2^2)/5000)*256+0.000004)*256</f>
        <v>0.52531200000000011</v>
      </c>
      <c r="C53" s="53">
        <f>((((0.2^2)/5000)+((0.2^2)/1000000))/2*256+0.000004)*256</f>
        <v>0.26447872000000006</v>
      </c>
      <c r="D53" s="1"/>
      <c r="E53" s="1"/>
      <c r="F53" s="1"/>
      <c r="G53" s="1"/>
      <c r="H53" s="1"/>
      <c r="I53" s="1"/>
      <c r="J53" s="1"/>
      <c r="K53" s="9"/>
      <c r="L53" s="77"/>
      <c r="M53" s="9"/>
      <c r="N53" s="9"/>
      <c r="O53" s="9"/>
      <c r="P53" s="65"/>
    </row>
    <row r="54" spans="1:16" x14ac:dyDescent="0.35">
      <c r="A54" s="1"/>
      <c r="B54" s="1"/>
      <c r="C54" s="1"/>
      <c r="D54" s="1"/>
      <c r="E54" s="1"/>
      <c r="F54" s="1"/>
      <c r="G54" s="1"/>
      <c r="H54" s="1"/>
      <c r="I54" s="1"/>
      <c r="J54" s="1"/>
      <c r="K54" s="9"/>
      <c r="L54" s="77"/>
      <c r="M54" s="77"/>
      <c r="N54" s="77"/>
      <c r="O54" s="77"/>
      <c r="P54" s="65"/>
    </row>
    <row r="55" spans="1:16" s="81" customFormat="1" x14ac:dyDescent="0.35"/>
    <row r="56" spans="1:16" x14ac:dyDescent="0.35">
      <c r="A56" s="1"/>
      <c r="B56" s="9"/>
      <c r="C56" s="9"/>
      <c r="D56" s="9"/>
    </row>
    <row r="57" spans="1:16" x14ac:dyDescent="0.35">
      <c r="A57" s="129" t="s">
        <v>122</v>
      </c>
      <c r="B57" s="129"/>
      <c r="C57" s="129"/>
      <c r="D57" s="9"/>
    </row>
    <row r="58" spans="1:16" x14ac:dyDescent="0.35">
      <c r="A58" s="139" t="s">
        <v>116</v>
      </c>
      <c r="B58" s="139"/>
      <c r="C58" s="139"/>
      <c r="D58" s="139"/>
      <c r="E58" s="1"/>
      <c r="F58" s="139" t="s">
        <v>117</v>
      </c>
      <c r="G58" s="139"/>
      <c r="H58" s="139"/>
      <c r="I58" s="139"/>
      <c r="J58" s="1"/>
    </row>
    <row r="59" spans="1:16" x14ac:dyDescent="0.35">
      <c r="A59" s="62" t="s">
        <v>113</v>
      </c>
      <c r="B59" s="62" t="s">
        <v>48</v>
      </c>
      <c r="C59" s="62" t="s">
        <v>16</v>
      </c>
      <c r="D59" s="62" t="s">
        <v>114</v>
      </c>
      <c r="F59" s="62" t="s">
        <v>113</v>
      </c>
      <c r="G59" s="62" t="s">
        <v>48</v>
      </c>
      <c r="H59" s="62" t="s">
        <v>16</v>
      </c>
      <c r="I59" s="62" t="s">
        <v>114</v>
      </c>
    </row>
    <row r="60" spans="1:16" x14ac:dyDescent="0.35">
      <c r="A60" s="62" t="s">
        <v>52</v>
      </c>
      <c r="B60" s="62" t="s">
        <v>14</v>
      </c>
      <c r="C60" s="62">
        <f>((((0.2^2)/5000)+((0.2^2)/1000000))/2*256+0.000004)*256</f>
        <v>0.26447872000000006</v>
      </c>
      <c r="D60" s="105">
        <f t="shared" ref="D60:D61" si="9">E60/2</f>
        <v>2708.2620928000006</v>
      </c>
      <c r="E60" s="62">
        <f>C60*10*256*8</f>
        <v>5416.5241856000011</v>
      </c>
      <c r="F60" s="62" t="s">
        <v>52</v>
      </c>
      <c r="G60" s="62" t="s">
        <v>14</v>
      </c>
      <c r="H60" s="62">
        <f>2*0.0001*256</f>
        <v>5.1200000000000002E-2</v>
      </c>
      <c r="I60" s="105">
        <f>H60*100*256</f>
        <v>1310.72</v>
      </c>
    </row>
    <row r="61" spans="1:16" x14ac:dyDescent="0.35">
      <c r="A61" s="62" t="s">
        <v>115</v>
      </c>
      <c r="B61" s="62" t="s">
        <v>13</v>
      </c>
      <c r="C61" s="62">
        <f t="shared" ref="C61:C62" si="10">((((0.2^2)/5000)+((0.2^2)/1000000))/2*256+0.000004)*256</f>
        <v>0.26447872000000006</v>
      </c>
      <c r="D61" s="105">
        <f t="shared" si="9"/>
        <v>5416.5241856000011</v>
      </c>
      <c r="E61" s="62">
        <f>C61*10*256*16</f>
        <v>10833.048371200002</v>
      </c>
      <c r="F61" s="62" t="s">
        <v>115</v>
      </c>
      <c r="G61" s="62" t="s">
        <v>13</v>
      </c>
      <c r="H61" s="62">
        <f t="shared" ref="H61:H62" si="11">2*0.0001*256</f>
        <v>5.1200000000000002E-2</v>
      </c>
      <c r="I61" s="105">
        <f t="shared" ref="I61:I62" si="12">H61*100*256</f>
        <v>1310.72</v>
      </c>
    </row>
    <row r="62" spans="1:16" x14ac:dyDescent="0.35">
      <c r="B62" s="62" t="s">
        <v>12</v>
      </c>
      <c r="C62" s="62">
        <f t="shared" si="10"/>
        <v>0.26447872000000006</v>
      </c>
      <c r="D62" s="105">
        <f>E62/2</f>
        <v>10833.048371200002</v>
      </c>
      <c r="E62" s="62">
        <f>C62*10*256*32</f>
        <v>21666.096742400005</v>
      </c>
      <c r="G62" s="62" t="s">
        <v>12</v>
      </c>
      <c r="H62" s="62">
        <f t="shared" si="11"/>
        <v>5.1200000000000002E-2</v>
      </c>
      <c r="I62" s="105">
        <f t="shared" si="12"/>
        <v>1310.72</v>
      </c>
    </row>
    <row r="64" spans="1:16" x14ac:dyDescent="0.35">
      <c r="A64" s="62" t="s">
        <v>45</v>
      </c>
      <c r="B64" s="62" t="s">
        <v>14</v>
      </c>
      <c r="C64" s="62">
        <v>2.5999999999999999E-3</v>
      </c>
      <c r="D64" s="105">
        <f>C64*1*256*8*256</f>
        <v>1363.1487999999999</v>
      </c>
      <c r="E64" s="96"/>
      <c r="F64" s="97" t="s">
        <v>118</v>
      </c>
      <c r="G64" s="97" t="s">
        <v>132</v>
      </c>
      <c r="H64" s="97" t="s">
        <v>119</v>
      </c>
      <c r="I64" s="97" t="s">
        <v>120</v>
      </c>
      <c r="J64" s="98" t="s">
        <v>121</v>
      </c>
    </row>
    <row r="65" spans="1:10" x14ac:dyDescent="0.35">
      <c r="B65" s="62" t="s">
        <v>13</v>
      </c>
      <c r="C65" s="62">
        <v>2.5999999999999999E-3</v>
      </c>
      <c r="D65" s="105">
        <f>C65*1*256*16*256</f>
        <v>2726.2975999999999</v>
      </c>
      <c r="E65" s="99">
        <v>8</v>
      </c>
      <c r="F65" s="100">
        <f>(D60+I60+D64)/1000</f>
        <v>5.3821308928000011</v>
      </c>
      <c r="G65" s="100">
        <f>(D60+D64)/1000</f>
        <v>4.0714108928000003</v>
      </c>
      <c r="H65" s="100">
        <f>H50/1000</f>
        <v>0.82440448</v>
      </c>
      <c r="I65" s="100">
        <f>G65+H65</f>
        <v>4.8958153728000005</v>
      </c>
      <c r="J65" s="101">
        <f>(I65/256/8)*1000</f>
        <v>2.3905348500000003</v>
      </c>
    </row>
    <row r="66" spans="1:10" x14ac:dyDescent="0.35">
      <c r="B66" s="62" t="s">
        <v>12</v>
      </c>
      <c r="C66" s="62">
        <v>2.5999999999999999E-3</v>
      </c>
      <c r="D66" s="105">
        <f>C66*1*256*32*256</f>
        <v>5452.5951999999997</v>
      </c>
      <c r="E66" s="99">
        <v>16</v>
      </c>
      <c r="F66" s="100">
        <f>(D61+I61+D65)/1000</f>
        <v>9.4535417856000024</v>
      </c>
      <c r="G66" s="100">
        <f t="shared" ref="G66:G67" si="13">(D61+D65)/1000</f>
        <v>8.1428217856000007</v>
      </c>
      <c r="H66" s="100">
        <f>H29/1000</f>
        <v>1.674545664</v>
      </c>
      <c r="I66" s="100">
        <f t="shared" ref="I66:I67" si="14">G66+H66</f>
        <v>9.8173674496000007</v>
      </c>
      <c r="J66" s="101">
        <f>(I66/256/16)*1000</f>
        <v>2.3968182250000001</v>
      </c>
    </row>
    <row r="67" spans="1:10" x14ac:dyDescent="0.35">
      <c r="E67" s="102">
        <v>32</v>
      </c>
      <c r="F67" s="103">
        <f>(D62+I62+D66)/1000</f>
        <v>17.596363571200005</v>
      </c>
      <c r="G67" s="100">
        <f t="shared" si="13"/>
        <v>16.285643571200001</v>
      </c>
      <c r="H67" s="103">
        <f>H9/1000</f>
        <v>6.0254604799999996</v>
      </c>
      <c r="I67" s="100">
        <f t="shared" si="14"/>
        <v>22.311104051200001</v>
      </c>
      <c r="J67" s="104">
        <f>(I67/256/32)*1000</f>
        <v>2.72352344375</v>
      </c>
    </row>
    <row r="71" spans="1:10" x14ac:dyDescent="0.35">
      <c r="A71" s="139" t="s">
        <v>116</v>
      </c>
      <c r="B71" s="139"/>
      <c r="C71" s="139"/>
      <c r="D71" s="139"/>
      <c r="E71" s="1"/>
      <c r="F71" s="139" t="s">
        <v>117</v>
      </c>
      <c r="G71" s="139"/>
      <c r="H71" s="139"/>
      <c r="I71" s="139"/>
      <c r="J71" s="1"/>
    </row>
    <row r="72" spans="1:10" x14ac:dyDescent="0.35">
      <c r="A72" s="62" t="s">
        <v>123</v>
      </c>
      <c r="B72" s="62" t="s">
        <v>48</v>
      </c>
      <c r="C72" s="62" t="s">
        <v>16</v>
      </c>
      <c r="D72" s="62" t="s">
        <v>114</v>
      </c>
      <c r="F72" s="62" t="s">
        <v>113</v>
      </c>
      <c r="G72" s="62" t="s">
        <v>48</v>
      </c>
      <c r="H72" s="62" t="s">
        <v>16</v>
      </c>
      <c r="I72" s="62" t="s">
        <v>114</v>
      </c>
    </row>
    <row r="73" spans="1:10" x14ac:dyDescent="0.35">
      <c r="A73" s="62" t="s">
        <v>52</v>
      </c>
      <c r="B73" s="62" t="s">
        <v>14</v>
      </c>
      <c r="C73" s="62">
        <f>((((0.2^2)/20000)+((0.2^2)/10000000))/2*256+0.000004)*256</f>
        <v>6.6691072000000004E-2</v>
      </c>
      <c r="D73" s="62">
        <f>C73*10*256*8/2</f>
        <v>682.91657728000007</v>
      </c>
      <c r="F73" s="62" t="s">
        <v>52</v>
      </c>
      <c r="G73" s="62" t="s">
        <v>14</v>
      </c>
      <c r="H73" s="62">
        <f>1*0.0003*256</f>
        <v>7.6799999999999993E-2</v>
      </c>
      <c r="I73" s="62">
        <f>H73*100*256</f>
        <v>1966.08</v>
      </c>
    </row>
    <row r="74" spans="1:10" x14ac:dyDescent="0.35">
      <c r="A74" s="62" t="s">
        <v>115</v>
      </c>
      <c r="B74" s="62" t="s">
        <v>13</v>
      </c>
      <c r="C74" s="62">
        <f t="shared" ref="C74:C75" si="15">((((0.2^2)/20000)+((0.2^2)/10000000))/2*256+0.000004)*256</f>
        <v>6.6691072000000004E-2</v>
      </c>
      <c r="D74" s="62">
        <f>C74*10*256*16/2</f>
        <v>1365.8331545600001</v>
      </c>
      <c r="F74" s="62" t="s">
        <v>115</v>
      </c>
      <c r="G74" s="62" t="s">
        <v>13</v>
      </c>
      <c r="H74" s="62">
        <f t="shared" ref="H74:H75" si="16">1*0.0003*256</f>
        <v>7.6799999999999993E-2</v>
      </c>
      <c r="I74" s="62">
        <f t="shared" ref="I74:I75" si="17">H74*100*256</f>
        <v>1966.08</v>
      </c>
    </row>
    <row r="75" spans="1:10" x14ac:dyDescent="0.35">
      <c r="B75" s="62" t="s">
        <v>12</v>
      </c>
      <c r="C75" s="62">
        <f t="shared" si="15"/>
        <v>6.6691072000000004E-2</v>
      </c>
      <c r="D75" s="62">
        <f>C75*10*256*32/2</f>
        <v>2731.6663091200003</v>
      </c>
      <c r="G75" s="62" t="s">
        <v>12</v>
      </c>
      <c r="H75" s="62">
        <f t="shared" si="16"/>
        <v>7.6799999999999993E-2</v>
      </c>
      <c r="I75" s="62">
        <f t="shared" si="17"/>
        <v>1966.08</v>
      </c>
    </row>
    <row r="77" spans="1:10" x14ac:dyDescent="0.35">
      <c r="A77" s="62" t="s">
        <v>45</v>
      </c>
      <c r="B77" s="62" t="s">
        <v>14</v>
      </c>
      <c r="C77" s="62">
        <v>2.5999999999999999E-3</v>
      </c>
      <c r="D77" s="62">
        <f>C77*1*256*8*256</f>
        <v>1363.1487999999999</v>
      </c>
      <c r="E77" s="96"/>
      <c r="F77" s="97" t="s">
        <v>118</v>
      </c>
      <c r="G77" s="97" t="s">
        <v>132</v>
      </c>
      <c r="H77" s="97" t="s">
        <v>119</v>
      </c>
      <c r="I77" s="97" t="s">
        <v>120</v>
      </c>
      <c r="J77" s="98" t="s">
        <v>121</v>
      </c>
    </row>
    <row r="78" spans="1:10" x14ac:dyDescent="0.35">
      <c r="B78" s="62" t="s">
        <v>13</v>
      </c>
      <c r="C78" s="62">
        <v>2.5999999999999999E-3</v>
      </c>
      <c r="D78" s="62">
        <f>C78*1*256*16*256</f>
        <v>2726.2975999999999</v>
      </c>
      <c r="E78" s="99">
        <v>8</v>
      </c>
      <c r="F78" s="100">
        <f>(D73+I73+D77)/1000</f>
        <v>4.0121453772800004</v>
      </c>
      <c r="G78" s="100">
        <f>(D73+D77)/1000</f>
        <v>2.0460653772800002</v>
      </c>
      <c r="H78" s="100">
        <f>H50/1000</f>
        <v>0.82440448</v>
      </c>
      <c r="I78" s="100">
        <f>G78+H78</f>
        <v>2.8704698572800003</v>
      </c>
      <c r="J78" s="101">
        <f>(I78/256/8)*1000</f>
        <v>1.4015966100000001</v>
      </c>
    </row>
    <row r="79" spans="1:10" x14ac:dyDescent="0.35">
      <c r="B79" s="62" t="s">
        <v>12</v>
      </c>
      <c r="C79" s="62">
        <v>2.5999999999999999E-3</v>
      </c>
      <c r="D79" s="62">
        <f>C79*1*256*32*256</f>
        <v>5452.5951999999997</v>
      </c>
      <c r="E79" s="99">
        <v>16</v>
      </c>
      <c r="F79" s="100">
        <f>(D74+I74+D78)/1000</f>
        <v>6.0582107545600001</v>
      </c>
      <c r="G79" s="100">
        <f t="shared" ref="G79:G80" si="18">(D74+D78)/1000</f>
        <v>4.0921307545600003</v>
      </c>
      <c r="H79" s="100">
        <f>H29/1000</f>
        <v>1.674545664</v>
      </c>
      <c r="I79" s="100">
        <f t="shared" ref="I79:I80" si="19">G79+H79</f>
        <v>5.7666764185600004</v>
      </c>
      <c r="J79" s="101">
        <f>(I79/256/16)*1000</f>
        <v>1.4078799850000001</v>
      </c>
    </row>
    <row r="80" spans="1:10" x14ac:dyDescent="0.35">
      <c r="E80" s="102">
        <v>32</v>
      </c>
      <c r="F80" s="103">
        <f>(D75+I75+D79)/1000</f>
        <v>10.15034150912</v>
      </c>
      <c r="G80" s="100">
        <f t="shared" si="18"/>
        <v>8.1842615091200006</v>
      </c>
      <c r="H80" s="103">
        <f>H9/1000</f>
        <v>6.0254604799999996</v>
      </c>
      <c r="I80" s="100">
        <f t="shared" si="19"/>
        <v>14.20972198912</v>
      </c>
      <c r="J80" s="104">
        <f>(I80/256/32)*1000</f>
        <v>1.73458520375</v>
      </c>
    </row>
  </sheetData>
  <mergeCells count="17">
    <mergeCell ref="L26:O26"/>
    <mergeCell ref="A1:B1"/>
    <mergeCell ref="L6:O6"/>
    <mergeCell ref="L10:M10"/>
    <mergeCell ref="N10:O10"/>
    <mergeCell ref="A21:B21"/>
    <mergeCell ref="L30:M30"/>
    <mergeCell ref="N30:O30"/>
    <mergeCell ref="A42:B42"/>
    <mergeCell ref="L47:O47"/>
    <mergeCell ref="L51:M51"/>
    <mergeCell ref="N51:O51"/>
    <mergeCell ref="A58:D58"/>
    <mergeCell ref="F58:I58"/>
    <mergeCell ref="A71:D71"/>
    <mergeCell ref="F71:I71"/>
    <mergeCell ref="A57:C57"/>
  </mergeCells>
  <pageMargins left="0.7" right="0.7" top="0.75" bottom="0.75" header="0.3" footer="0.3"/>
  <pageSetup paperSize="9" scale="95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8"/>
  <sheetViews>
    <sheetView zoomScale="80" zoomScaleNormal="80" workbookViewId="0">
      <selection activeCell="F6" sqref="F6"/>
    </sheetView>
  </sheetViews>
  <sheetFormatPr defaultColWidth="8.7265625" defaultRowHeight="14.5" x14ac:dyDescent="0.35"/>
  <cols>
    <col min="1" max="2" width="8.7265625" style="62"/>
    <col min="3" max="3" width="19.54296875" style="62" customWidth="1"/>
    <col min="4" max="16384" width="8.7265625" style="62"/>
  </cols>
  <sheetData>
    <row r="2" spans="2:7" x14ac:dyDescent="0.35">
      <c r="C2" s="141" t="s">
        <v>126</v>
      </c>
      <c r="D2" s="141"/>
      <c r="E2" s="141"/>
      <c r="F2" s="141"/>
      <c r="G2" s="141"/>
    </row>
    <row r="3" spans="2:7" x14ac:dyDescent="0.35">
      <c r="C3" s="62" t="s">
        <v>124</v>
      </c>
      <c r="D3" s="62" t="s">
        <v>62</v>
      </c>
      <c r="E3" s="62" t="s">
        <v>61</v>
      </c>
      <c r="F3" s="62" t="s">
        <v>52</v>
      </c>
      <c r="G3" s="62" t="s">
        <v>60</v>
      </c>
    </row>
    <row r="4" spans="2:7" x14ac:dyDescent="0.35">
      <c r="C4" s="62" t="s">
        <v>125</v>
      </c>
      <c r="D4" s="62">
        <f>0.0486*64*64</f>
        <v>199.06559999999999</v>
      </c>
      <c r="E4" s="63">
        <f>0.0486*128*128</f>
        <v>796.26239999999996</v>
      </c>
      <c r="F4" s="63">
        <f>0.0486*256*256</f>
        <v>3185.0495999999998</v>
      </c>
      <c r="G4" s="63">
        <f>0.0486*512*512</f>
        <v>12740.198399999999</v>
      </c>
    </row>
    <row r="5" spans="2:7" x14ac:dyDescent="0.35">
      <c r="B5" s="62" t="s">
        <v>133</v>
      </c>
      <c r="C5" s="62" t="s">
        <v>45</v>
      </c>
      <c r="D5" s="110">
        <f>9600</f>
        <v>9600</v>
      </c>
      <c r="E5" s="110">
        <f>9600*2</f>
        <v>19200</v>
      </c>
      <c r="F5" s="110">
        <f>9600*4</f>
        <v>38400</v>
      </c>
      <c r="G5" s="110">
        <f>9600*8</f>
        <v>76800</v>
      </c>
    </row>
    <row r="6" spans="2:7" x14ac:dyDescent="0.35">
      <c r="C6" s="62" t="s">
        <v>129</v>
      </c>
      <c r="D6" s="105">
        <f>SUM(D4:D5)/(1000000)</f>
        <v>9.7990656000000002E-3</v>
      </c>
      <c r="E6" s="105">
        <f>SUM(E4:E5)/(1000000)</f>
        <v>1.9996262399999999E-2</v>
      </c>
      <c r="F6" s="105">
        <f>SUM(F4:F5)/(1000000)</f>
        <v>4.15850496E-2</v>
      </c>
      <c r="G6" s="105">
        <f>SUM(G4:G5)/(1000000)</f>
        <v>8.9540198399999993E-2</v>
      </c>
    </row>
    <row r="7" spans="2:7" x14ac:dyDescent="0.35">
      <c r="C7" s="78" t="s">
        <v>0</v>
      </c>
      <c r="D7" s="62">
        <f>sheet1!C6</f>
        <v>103</v>
      </c>
      <c r="E7" s="62">
        <f>sheet1!C5</f>
        <v>207</v>
      </c>
      <c r="F7" s="62">
        <f>sheet1!C4</f>
        <v>415</v>
      </c>
      <c r="G7" s="62">
        <f>sheet1!C3</f>
        <v>830</v>
      </c>
    </row>
    <row r="8" spans="2:7" x14ac:dyDescent="0.35">
      <c r="C8" s="1" t="s">
        <v>6</v>
      </c>
      <c r="D8" s="62">
        <f>sheet1!C13</f>
        <v>103</v>
      </c>
      <c r="E8" s="62">
        <f>sheet1!C12</f>
        <v>299</v>
      </c>
      <c r="F8" s="62">
        <f>sheet1!C11</f>
        <v>578</v>
      </c>
      <c r="G8" s="62">
        <f>sheet1!C10</f>
        <v>1156</v>
      </c>
    </row>
    <row r="9" spans="2:7" x14ac:dyDescent="0.35">
      <c r="C9" s="78" t="s">
        <v>68</v>
      </c>
      <c r="D9" s="62">
        <f>sheet1!C20</f>
        <v>123</v>
      </c>
      <c r="E9" s="62">
        <f>sheet1!C19</f>
        <v>247</v>
      </c>
      <c r="F9" s="62">
        <f>sheet1!C18</f>
        <v>475</v>
      </c>
      <c r="G9" s="62">
        <f>sheet1!C17</f>
        <v>950</v>
      </c>
    </row>
    <row r="10" spans="2:7" x14ac:dyDescent="0.35">
      <c r="C10" s="1" t="s">
        <v>11</v>
      </c>
      <c r="D10" s="62">
        <f>sheet1!C37</f>
        <v>1140</v>
      </c>
      <c r="E10" s="62">
        <f>sheet1!C36</f>
        <v>2273</v>
      </c>
      <c r="F10" s="62">
        <f>sheet1!C35</f>
        <v>4544</v>
      </c>
      <c r="G10" s="62">
        <f>sheet1!C34</f>
        <v>9088</v>
      </c>
    </row>
    <row r="11" spans="2:7" x14ac:dyDescent="0.35">
      <c r="C11" s="78" t="s">
        <v>69</v>
      </c>
      <c r="D11" s="62">
        <f>sheet1!C44</f>
        <v>159</v>
      </c>
      <c r="E11" s="62">
        <f>sheet1!C43</f>
        <v>318</v>
      </c>
      <c r="F11" s="62">
        <f>sheet1!C42</f>
        <v>617</v>
      </c>
      <c r="G11" s="62">
        <f>sheet1!C41</f>
        <v>1234</v>
      </c>
    </row>
    <row r="12" spans="2:7" x14ac:dyDescent="0.35">
      <c r="C12" s="1" t="s">
        <v>18</v>
      </c>
      <c r="D12" s="62">
        <f>sheet1!C61</f>
        <v>1072</v>
      </c>
      <c r="E12" s="62">
        <f>sheet1!C60</f>
        <v>2310</v>
      </c>
      <c r="F12" s="62">
        <f>sheet1!C59</f>
        <v>4951</v>
      </c>
      <c r="G12" s="62">
        <f>sheet1!C58</f>
        <v>9902</v>
      </c>
    </row>
    <row r="13" spans="2:7" x14ac:dyDescent="0.35">
      <c r="C13" s="78" t="s">
        <v>70</v>
      </c>
      <c r="D13" s="62">
        <f>sheet1!C85</f>
        <v>225</v>
      </c>
      <c r="E13" s="62">
        <f>sheet1!C84</f>
        <v>225</v>
      </c>
      <c r="F13" s="62">
        <f>sheet1!C83</f>
        <v>222</v>
      </c>
      <c r="G13" s="62">
        <f>sheet1!C82</f>
        <v>225</v>
      </c>
    </row>
    <row r="14" spans="2:7" x14ac:dyDescent="0.35">
      <c r="C14" s="62" t="s">
        <v>97</v>
      </c>
      <c r="D14" s="105">
        <f>SUM(D7:D13)/(1000000)</f>
        <v>2.9250000000000001E-3</v>
      </c>
      <c r="E14" s="105">
        <f>SUM(E7:E13)/(1000000)</f>
        <v>5.8789999999999997E-3</v>
      </c>
      <c r="F14" s="105">
        <f>SUM(F7:F13)/(1000000)</f>
        <v>1.1802E-2</v>
      </c>
      <c r="G14" s="105">
        <f>SUM(G7:G13)/(1000000)</f>
        <v>2.3385E-2</v>
      </c>
    </row>
    <row r="18" spans="4:7" x14ac:dyDescent="0.35">
      <c r="D18" s="62">
        <f>D6/D14</f>
        <v>3.3501078974358975</v>
      </c>
      <c r="E18" s="109">
        <f t="shared" ref="E18:G18" si="0">E6/E14</f>
        <v>3.4013033509100188</v>
      </c>
      <c r="F18" s="109">
        <f t="shared" si="0"/>
        <v>3.5235595322826638</v>
      </c>
      <c r="G18" s="109">
        <f t="shared" si="0"/>
        <v>3.8289586658114172</v>
      </c>
    </row>
  </sheetData>
  <mergeCells count="1">
    <mergeCell ref="C2:G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Sheet2</vt:lpstr>
      <vt:lpstr>Sheet3</vt:lpstr>
      <vt:lpstr>Sheet4</vt:lpstr>
      <vt:lpstr>Sheet5</vt:lpstr>
      <vt:lpstr>Sheet9</vt:lpstr>
      <vt:lpstr>Sheet10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2021-06-02T08:43:35Z</dcterms:modified>
</cp:coreProperties>
</file>