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195" windowHeight="6900" firstSheet="4" activeTab="12"/>
  </bookViews>
  <sheets>
    <sheet name="technology" sheetId="2" r:id="rId1"/>
    <sheet name="Sheet1" sheetId="1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parcity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1" l="1"/>
  <c r="J15" i="12"/>
  <c r="J16" i="12"/>
  <c r="J17" i="12"/>
  <c r="J18" i="12"/>
  <c r="J14" i="12"/>
  <c r="J13" i="12"/>
  <c r="K13" i="12" s="1"/>
  <c r="F22" i="12" s="1"/>
  <c r="J12" i="12"/>
  <c r="H16" i="12"/>
  <c r="H18" i="12"/>
  <c r="G18" i="12"/>
  <c r="F18" i="12"/>
  <c r="E18" i="12"/>
  <c r="H17" i="12"/>
  <c r="G17" i="12"/>
  <c r="F17" i="12"/>
  <c r="E17" i="12"/>
  <c r="G16" i="12"/>
  <c r="F16" i="12"/>
  <c r="E16" i="12"/>
  <c r="H15" i="12"/>
  <c r="G15" i="12"/>
  <c r="F15" i="12"/>
  <c r="E15" i="12"/>
  <c r="I14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J17" i="11"/>
  <c r="J16" i="11"/>
  <c r="J15" i="11"/>
  <c r="J14" i="11"/>
  <c r="J13" i="11"/>
  <c r="J12" i="11"/>
  <c r="K12" i="11" s="1"/>
  <c r="F20" i="11" s="1"/>
  <c r="K17" i="11"/>
  <c r="J25" i="11" s="1"/>
  <c r="H17" i="11"/>
  <c r="G17" i="11"/>
  <c r="F17" i="11"/>
  <c r="E17" i="11"/>
  <c r="H16" i="11"/>
  <c r="G16" i="11"/>
  <c r="F16" i="11"/>
  <c r="E16" i="11"/>
  <c r="G15" i="11"/>
  <c r="F15" i="11"/>
  <c r="E15" i="11"/>
  <c r="G14" i="11"/>
  <c r="H14" i="11" s="1"/>
  <c r="F14" i="11"/>
  <c r="E14" i="11"/>
  <c r="K14" i="11" s="1"/>
  <c r="J22" i="11" s="1"/>
  <c r="H13" i="11"/>
  <c r="G13" i="11"/>
  <c r="F13" i="11"/>
  <c r="E13" i="11"/>
  <c r="H12" i="11"/>
  <c r="G12" i="11"/>
  <c r="F12" i="11"/>
  <c r="E12" i="11"/>
  <c r="L7" i="11"/>
  <c r="F18" i="10"/>
  <c r="B18" i="10"/>
  <c r="G17" i="10"/>
  <c r="G18" i="10" s="1"/>
  <c r="F17" i="10"/>
  <c r="E17" i="10"/>
  <c r="E18" i="10" s="1"/>
  <c r="D17" i="10"/>
  <c r="D18" i="10" s="1"/>
  <c r="C17" i="10"/>
  <c r="C18" i="10" s="1"/>
  <c r="B17" i="10"/>
  <c r="D16" i="10"/>
  <c r="D15" i="10"/>
  <c r="D14" i="10"/>
  <c r="D13" i="10"/>
  <c r="D12" i="10"/>
  <c r="D11" i="10"/>
  <c r="D7" i="10"/>
  <c r="D6" i="10"/>
  <c r="D5" i="10"/>
  <c r="D4" i="10"/>
  <c r="D3" i="10"/>
  <c r="D2" i="10"/>
  <c r="K15" i="12" l="1"/>
  <c r="K16" i="12"/>
  <c r="H25" i="12" s="1"/>
  <c r="K18" i="12"/>
  <c r="E27" i="12" s="1"/>
  <c r="K14" i="12"/>
  <c r="J23" i="12" s="1"/>
  <c r="J22" i="12"/>
  <c r="H22" i="12"/>
  <c r="E22" i="12"/>
  <c r="K12" i="12"/>
  <c r="E21" i="12" s="1"/>
  <c r="F27" i="12"/>
  <c r="F24" i="12"/>
  <c r="H27" i="12"/>
  <c r="J27" i="12"/>
  <c r="J24" i="12"/>
  <c r="H24" i="12"/>
  <c r="E25" i="12"/>
  <c r="K17" i="12"/>
  <c r="H26" i="12" s="1"/>
  <c r="E24" i="12"/>
  <c r="F25" i="11"/>
  <c r="E25" i="11"/>
  <c r="H25" i="11"/>
  <c r="K13" i="11"/>
  <c r="J21" i="11" s="1"/>
  <c r="E20" i="11"/>
  <c r="H20" i="11"/>
  <c r="F22" i="11"/>
  <c r="H22" i="11"/>
  <c r="E22" i="11"/>
  <c r="K16" i="11"/>
  <c r="E24" i="11" s="1"/>
  <c r="K15" i="11"/>
  <c r="J23" i="11" s="1"/>
  <c r="J20" i="11"/>
  <c r="J27" i="9"/>
  <c r="H27" i="9"/>
  <c r="F27" i="9"/>
  <c r="K18" i="9"/>
  <c r="E27" i="9" s="1"/>
  <c r="H12" i="9"/>
  <c r="H13" i="9"/>
  <c r="H14" i="9"/>
  <c r="H15" i="9"/>
  <c r="H16" i="9"/>
  <c r="K16" i="9" s="1"/>
  <c r="F25" i="9" s="1"/>
  <c r="H17" i="9"/>
  <c r="H18" i="9"/>
  <c r="J13" i="9"/>
  <c r="J14" i="9"/>
  <c r="J15" i="9"/>
  <c r="J16" i="9"/>
  <c r="J17" i="9"/>
  <c r="J18" i="9"/>
  <c r="J12" i="9"/>
  <c r="G13" i="9"/>
  <c r="G14" i="9"/>
  <c r="G15" i="9"/>
  <c r="G16" i="9"/>
  <c r="G17" i="9"/>
  <c r="G18" i="9"/>
  <c r="G12" i="9"/>
  <c r="F13" i="9"/>
  <c r="F14" i="9"/>
  <c r="F15" i="9"/>
  <c r="F16" i="9"/>
  <c r="F17" i="9"/>
  <c r="F18" i="9"/>
  <c r="F12" i="9"/>
  <c r="E13" i="9"/>
  <c r="E14" i="9"/>
  <c r="E15" i="9"/>
  <c r="E16" i="9"/>
  <c r="E17" i="9"/>
  <c r="E18" i="9"/>
  <c r="E12" i="9"/>
  <c r="I14" i="9"/>
  <c r="J21" i="8"/>
  <c r="J22" i="8"/>
  <c r="J23" i="8"/>
  <c r="J24" i="8"/>
  <c r="J25" i="8"/>
  <c r="J20" i="8"/>
  <c r="H21" i="8"/>
  <c r="H22" i="8"/>
  <c r="H23" i="8"/>
  <c r="H24" i="8"/>
  <c r="H25" i="8"/>
  <c r="H20" i="8"/>
  <c r="F21" i="8"/>
  <c r="F22" i="8"/>
  <c r="F23" i="8"/>
  <c r="F24" i="8"/>
  <c r="F25" i="8"/>
  <c r="F20" i="8"/>
  <c r="E21" i="8"/>
  <c r="E22" i="8"/>
  <c r="E23" i="8"/>
  <c r="E24" i="8"/>
  <c r="E25" i="8"/>
  <c r="E20" i="8"/>
  <c r="H12" i="8"/>
  <c r="H13" i="8"/>
  <c r="H17" i="8"/>
  <c r="H16" i="8"/>
  <c r="H15" i="8"/>
  <c r="J13" i="8"/>
  <c r="J14" i="8"/>
  <c r="J15" i="8"/>
  <c r="J16" i="8"/>
  <c r="J17" i="8"/>
  <c r="J12" i="8"/>
  <c r="E13" i="8"/>
  <c r="E14" i="8"/>
  <c r="E15" i="8"/>
  <c r="E16" i="8"/>
  <c r="E17" i="8"/>
  <c r="E12" i="8"/>
  <c r="F13" i="8"/>
  <c r="F14" i="8"/>
  <c r="F15" i="8"/>
  <c r="F16" i="8"/>
  <c r="F17" i="8"/>
  <c r="F12" i="8"/>
  <c r="G17" i="8"/>
  <c r="G16" i="8"/>
  <c r="G15" i="8"/>
  <c r="G12" i="8"/>
  <c r="G13" i="8"/>
  <c r="H14" i="8"/>
  <c r="I14" i="4"/>
  <c r="I14" i="8"/>
  <c r="G14" i="8"/>
  <c r="L7" i="8"/>
  <c r="F14" i="4"/>
  <c r="J25" i="12" l="1"/>
  <c r="F25" i="12"/>
  <c r="E23" i="12"/>
  <c r="H23" i="12"/>
  <c r="F23" i="12"/>
  <c r="J21" i="12"/>
  <c r="F21" i="12"/>
  <c r="H21" i="12"/>
  <c r="J26" i="12"/>
  <c r="E26" i="12"/>
  <c r="F26" i="12"/>
  <c r="H24" i="11"/>
  <c r="F24" i="11"/>
  <c r="F21" i="11"/>
  <c r="E21" i="11"/>
  <c r="H21" i="11"/>
  <c r="H23" i="11"/>
  <c r="F23" i="11"/>
  <c r="J24" i="11"/>
  <c r="E23" i="11"/>
  <c r="K13" i="9"/>
  <c r="E22" i="9" s="1"/>
  <c r="K17" i="9"/>
  <c r="F26" i="9" s="1"/>
  <c r="E25" i="9"/>
  <c r="K14" i="9"/>
  <c r="H23" i="9" s="1"/>
  <c r="H25" i="9"/>
  <c r="K15" i="9"/>
  <c r="H24" i="9" s="1"/>
  <c r="J25" i="9"/>
  <c r="K12" i="9"/>
  <c r="E21" i="9" s="1"/>
  <c r="K12" i="8"/>
  <c r="K14" i="8"/>
  <c r="K13" i="8"/>
  <c r="K17" i="8"/>
  <c r="K16" i="8"/>
  <c r="K15" i="8"/>
  <c r="E17" i="7"/>
  <c r="C18" i="7"/>
  <c r="D18" i="7"/>
  <c r="E18" i="7"/>
  <c r="F18" i="7"/>
  <c r="G18" i="7"/>
  <c r="B18" i="7"/>
  <c r="F22" i="9" l="1"/>
  <c r="H22" i="9"/>
  <c r="J22" i="9"/>
  <c r="J26" i="9"/>
  <c r="H26" i="9"/>
  <c r="E26" i="9"/>
  <c r="F21" i="9"/>
  <c r="J21" i="9"/>
  <c r="H21" i="9"/>
  <c r="F23" i="9"/>
  <c r="J23" i="9"/>
  <c r="F24" i="9"/>
  <c r="E24" i="9"/>
  <c r="E23" i="9"/>
  <c r="J24" i="9"/>
  <c r="D11" i="7"/>
  <c r="D17" i="7"/>
  <c r="G17" i="7"/>
  <c r="F17" i="7"/>
  <c r="C17" i="7"/>
  <c r="B17" i="7"/>
  <c r="D16" i="7"/>
  <c r="D15" i="7"/>
  <c r="D14" i="7"/>
  <c r="D13" i="7"/>
  <c r="D12" i="7"/>
  <c r="D7" i="7"/>
  <c r="D6" i="7"/>
  <c r="D5" i="7"/>
  <c r="D4" i="7"/>
  <c r="D3" i="7"/>
  <c r="D2" i="7"/>
  <c r="M23" i="6"/>
  <c r="K23" i="6"/>
  <c r="I23" i="6"/>
  <c r="G23" i="6"/>
  <c r="K4" i="6"/>
  <c r="K5" i="6"/>
  <c r="K6" i="6"/>
  <c r="K7" i="6"/>
  <c r="K8" i="6"/>
  <c r="M4" i="6"/>
  <c r="M5" i="6"/>
  <c r="M6" i="6"/>
  <c r="M7" i="6"/>
  <c r="M8" i="6"/>
  <c r="M3" i="6"/>
  <c r="K3" i="6"/>
  <c r="I4" i="6"/>
  <c r="I5" i="6"/>
  <c r="I6" i="6"/>
  <c r="I7" i="6"/>
  <c r="I8" i="6"/>
  <c r="I3" i="6"/>
  <c r="G4" i="6"/>
  <c r="G5" i="6"/>
  <c r="G6" i="6"/>
  <c r="G7" i="6"/>
  <c r="G8" i="6"/>
  <c r="G3" i="6"/>
  <c r="M13" i="6"/>
  <c r="K13" i="6"/>
  <c r="I14" i="6"/>
  <c r="I15" i="6"/>
  <c r="I16" i="6"/>
  <c r="I17" i="6"/>
  <c r="I18" i="6"/>
  <c r="I13" i="6"/>
  <c r="G14" i="6"/>
  <c r="G15" i="6"/>
  <c r="G16" i="6"/>
  <c r="G17" i="6"/>
  <c r="G18" i="6"/>
  <c r="G13" i="6"/>
  <c r="D28" i="6"/>
  <c r="D27" i="6"/>
  <c r="D26" i="6"/>
  <c r="D25" i="6"/>
  <c r="D24" i="6"/>
  <c r="D23" i="6"/>
  <c r="D18" i="6"/>
  <c r="D17" i="6"/>
  <c r="D16" i="6"/>
  <c r="D15" i="6"/>
  <c r="D14" i="6"/>
  <c r="D13" i="6"/>
  <c r="D65" i="3" l="1"/>
  <c r="D64" i="3"/>
  <c r="D63" i="3"/>
  <c r="D62" i="3"/>
  <c r="D61" i="3"/>
  <c r="D60" i="3"/>
  <c r="D17" i="3"/>
  <c r="D16" i="3"/>
  <c r="D15" i="3"/>
  <c r="D14" i="3"/>
  <c r="D13" i="3"/>
  <c r="D12" i="3"/>
  <c r="D11" i="3"/>
  <c r="D8" i="1"/>
  <c r="D7" i="1"/>
  <c r="D6" i="1"/>
  <c r="D5" i="1"/>
  <c r="D4" i="1"/>
  <c r="D3" i="1"/>
  <c r="D14" i="1"/>
  <c r="D16" i="1"/>
  <c r="D15" i="1"/>
  <c r="D13" i="1"/>
  <c r="D12" i="1"/>
  <c r="D11" i="1"/>
  <c r="D19" i="1"/>
  <c r="D20" i="1"/>
  <c r="D21" i="1"/>
  <c r="D22" i="1"/>
  <c r="D23" i="1"/>
  <c r="D24" i="1"/>
  <c r="I58" i="4" l="1"/>
  <c r="I57" i="4"/>
  <c r="I56" i="4"/>
  <c r="I55" i="4"/>
  <c r="I54" i="4"/>
  <c r="I19" i="4"/>
  <c r="I18" i="4"/>
  <c r="I17" i="4"/>
  <c r="I16" i="4"/>
  <c r="I15" i="4"/>
  <c r="K9" i="4"/>
  <c r="H58" i="4"/>
  <c r="H57" i="4"/>
  <c r="H56" i="4"/>
  <c r="H55" i="4"/>
  <c r="H54" i="4"/>
  <c r="G58" i="4"/>
  <c r="G57" i="4"/>
  <c r="G56" i="4"/>
  <c r="G55" i="4"/>
  <c r="G54" i="4"/>
  <c r="F58" i="4"/>
  <c r="F57" i="4"/>
  <c r="F56" i="4"/>
  <c r="F55" i="4"/>
  <c r="F54" i="4"/>
  <c r="E58" i="4"/>
  <c r="E57" i="4"/>
  <c r="E56" i="4"/>
  <c r="E55" i="4"/>
  <c r="E54" i="4"/>
  <c r="D58" i="4"/>
  <c r="D57" i="4"/>
  <c r="D56" i="4"/>
  <c r="D55" i="4"/>
  <c r="D54" i="4"/>
  <c r="G19" i="4"/>
  <c r="G18" i="4"/>
  <c r="G17" i="4"/>
  <c r="G16" i="4"/>
  <c r="G15" i="4"/>
  <c r="G14" i="4"/>
  <c r="H19" i="4"/>
  <c r="H18" i="4"/>
  <c r="H17" i="4"/>
  <c r="H16" i="4"/>
  <c r="H15" i="4"/>
  <c r="H14" i="4"/>
  <c r="F19" i="4"/>
  <c r="F18" i="4"/>
  <c r="F15" i="4"/>
  <c r="F16" i="4"/>
  <c r="F17" i="4"/>
  <c r="E19" i="4"/>
  <c r="E18" i="4"/>
  <c r="E17" i="4"/>
  <c r="E16" i="4"/>
  <c r="E15" i="4"/>
  <c r="E14" i="4"/>
  <c r="D15" i="4"/>
  <c r="D16" i="4"/>
  <c r="D17" i="4"/>
  <c r="D18" i="4"/>
  <c r="D19" i="4"/>
  <c r="D14" i="4"/>
  <c r="J17" i="4" l="1"/>
  <c r="I25" i="4" s="1"/>
  <c r="J56" i="4"/>
  <c r="J58" i="4"/>
  <c r="G66" i="4" s="1"/>
  <c r="G66" i="3"/>
  <c r="F66" i="3"/>
  <c r="E66" i="3"/>
  <c r="D66" i="3"/>
  <c r="C66" i="3"/>
  <c r="B66" i="3"/>
  <c r="J18" i="4" l="1"/>
  <c r="G25" i="4"/>
  <c r="D25" i="4"/>
  <c r="E25" i="4"/>
  <c r="J16" i="4"/>
  <c r="J19" i="4"/>
  <c r="I27" i="4" s="1"/>
  <c r="J14" i="4"/>
  <c r="I22" i="4" s="1"/>
  <c r="J15" i="4"/>
  <c r="J57" i="4"/>
  <c r="D65" i="4" s="1"/>
  <c r="E64" i="4"/>
  <c r="D64" i="4"/>
  <c r="I64" i="4"/>
  <c r="J54" i="4"/>
  <c r="I62" i="4" s="1"/>
  <c r="D66" i="4"/>
  <c r="E66" i="4"/>
  <c r="G64" i="4"/>
  <c r="I66" i="4"/>
  <c r="J55" i="4"/>
  <c r="I63" i="4" s="1"/>
  <c r="D56" i="3"/>
  <c r="D55" i="3"/>
  <c r="D54" i="3"/>
  <c r="D53" i="3"/>
  <c r="D52" i="3"/>
  <c r="D51" i="3"/>
  <c r="D41" i="3"/>
  <c r="D40" i="3"/>
  <c r="D39" i="3"/>
  <c r="D38" i="3"/>
  <c r="D37" i="3"/>
  <c r="D36" i="3"/>
  <c r="D32" i="3"/>
  <c r="D31" i="3"/>
  <c r="D30" i="3"/>
  <c r="D29" i="3"/>
  <c r="D28" i="3"/>
  <c r="D27" i="3"/>
  <c r="D7" i="3"/>
  <c r="D6" i="3"/>
  <c r="D5" i="3"/>
  <c r="D4" i="3"/>
  <c r="D3" i="3"/>
  <c r="D2" i="3"/>
  <c r="G42" i="3"/>
  <c r="F42" i="3"/>
  <c r="E42" i="3"/>
  <c r="D42" i="3"/>
  <c r="C42" i="3"/>
  <c r="B42" i="3"/>
  <c r="B17" i="3"/>
  <c r="G17" i="3"/>
  <c r="F17" i="3"/>
  <c r="E17" i="3"/>
  <c r="C17" i="3"/>
  <c r="E24" i="4" l="1"/>
  <c r="G24" i="4"/>
  <c r="D24" i="4"/>
  <c r="G23" i="4"/>
  <c r="D23" i="4"/>
  <c r="E23" i="4"/>
  <c r="I24" i="4"/>
  <c r="I23" i="4"/>
  <c r="G22" i="4"/>
  <c r="E22" i="4"/>
  <c r="D22" i="4"/>
  <c r="E26" i="4"/>
  <c r="G26" i="4"/>
  <c r="D26" i="4"/>
  <c r="D27" i="4"/>
  <c r="E27" i="4"/>
  <c r="G27" i="4"/>
  <c r="I26" i="4"/>
  <c r="I65" i="4"/>
  <c r="E65" i="4"/>
  <c r="G65" i="4"/>
  <c r="E62" i="4"/>
  <c r="D62" i="4"/>
  <c r="G62" i="4"/>
  <c r="D63" i="4"/>
  <c r="G63" i="4"/>
  <c r="E63" i="4"/>
  <c r="I4" i="1"/>
  <c r="I5" i="1"/>
  <c r="I6" i="1"/>
  <c r="I7" i="1"/>
  <c r="I8" i="1"/>
  <c r="I3" i="1"/>
  <c r="M20" i="1"/>
  <c r="M21" i="1"/>
  <c r="M22" i="1"/>
  <c r="M23" i="1"/>
  <c r="M24" i="1"/>
  <c r="M19" i="1"/>
  <c r="K20" i="1"/>
  <c r="K21" i="1"/>
  <c r="K22" i="1"/>
  <c r="K23" i="1"/>
  <c r="K24" i="1"/>
  <c r="K19" i="1"/>
  <c r="I20" i="1"/>
  <c r="I21" i="1"/>
  <c r="I22" i="1"/>
  <c r="I23" i="1"/>
  <c r="I24" i="1"/>
  <c r="I19" i="1"/>
  <c r="G20" i="1"/>
  <c r="G21" i="1"/>
  <c r="G22" i="1"/>
  <c r="G23" i="1"/>
  <c r="G24" i="1"/>
  <c r="G19" i="1"/>
  <c r="M12" i="1"/>
  <c r="M13" i="1"/>
  <c r="M14" i="1"/>
  <c r="M15" i="1"/>
  <c r="M16" i="1"/>
  <c r="M11" i="1"/>
  <c r="K12" i="1"/>
  <c r="K13" i="1"/>
  <c r="K14" i="1"/>
  <c r="K15" i="1"/>
  <c r="K16" i="1"/>
  <c r="K11" i="1"/>
  <c r="I12" i="1"/>
  <c r="I13" i="1"/>
  <c r="I14" i="1"/>
  <c r="I15" i="1"/>
  <c r="I16" i="1"/>
  <c r="I11" i="1"/>
  <c r="G12" i="1"/>
  <c r="G13" i="1"/>
  <c r="G14" i="1"/>
  <c r="G15" i="1"/>
  <c r="G16" i="1"/>
  <c r="G11" i="1"/>
  <c r="M4" i="1"/>
  <c r="M5" i="1"/>
  <c r="M6" i="1"/>
  <c r="M7" i="1"/>
  <c r="M8" i="1"/>
  <c r="M3" i="1"/>
  <c r="K4" i="1"/>
  <c r="K5" i="1"/>
  <c r="K6" i="1"/>
  <c r="K7" i="1"/>
  <c r="K8" i="1"/>
  <c r="K3" i="1"/>
  <c r="G4" i="1"/>
  <c r="G5" i="1"/>
  <c r="G6" i="1"/>
  <c r="G7" i="1"/>
  <c r="G8" i="1"/>
  <c r="G3" i="1"/>
  <c r="E3" i="1" l="1"/>
  <c r="E4" i="1"/>
  <c r="E5" i="1"/>
  <c r="E6" i="1"/>
  <c r="E7" i="1"/>
  <c r="E8" i="1"/>
  <c r="E19" i="1"/>
  <c r="E20" i="1"/>
  <c r="E21" i="1"/>
  <c r="E22" i="1"/>
  <c r="E23" i="1"/>
  <c r="E24" i="1"/>
  <c r="E12" i="1"/>
  <c r="E13" i="1"/>
  <c r="E14" i="1"/>
  <c r="E15" i="1"/>
  <c r="E16" i="1"/>
  <c r="E11" i="1"/>
</calcChain>
</file>

<file path=xl/sharedStrings.xml><?xml version="1.0" encoding="utf-8"?>
<sst xmlns="http://schemas.openxmlformats.org/spreadsheetml/2006/main" count="983" uniqueCount="171">
  <si>
    <t>Application</t>
  </si>
  <si>
    <t>gemm (medium)</t>
  </si>
  <si>
    <t>simulation time</t>
  </si>
  <si>
    <t>#ADC</t>
  </si>
  <si>
    <t>Datatype size</t>
  </si>
  <si>
    <t>Maximum row select</t>
  </si>
  <si>
    <t>execution time (ns)</t>
  </si>
  <si>
    <t>clock frequency (MHz)</t>
  </si>
  <si>
    <t>crossbar write latency (ns)</t>
  </si>
  <si>
    <t>crossbar read latency (ns)</t>
  </si>
  <si>
    <t>SH delay (ns)</t>
  </si>
  <si>
    <t>ADC delay (ns)</t>
  </si>
  <si>
    <t>RS/WD/WDS latency (cycle)</t>
  </si>
  <si>
    <t>fetch/decode (cycle)</t>
  </si>
  <si>
    <t>latency Adder per ADC (cycle)</t>
  </si>
  <si>
    <t>latency Adder between ADC (cycle)</t>
  </si>
  <si>
    <t>write energy per cell (pj)</t>
  </si>
  <si>
    <t>read energy per cell (pj)</t>
  </si>
  <si>
    <t>0.4</t>
  </si>
  <si>
    <t>ADC energy (pj)</t>
  </si>
  <si>
    <t>SH energy (pj)</t>
  </si>
  <si>
    <t>0.001</t>
  </si>
  <si>
    <t>primary/secondary adder energy (pj)</t>
  </si>
  <si>
    <t>third adder energy (pj)</t>
  </si>
  <si>
    <t>forth adder energy (pj)</t>
  </si>
  <si>
    <t>Total energy (pj)</t>
  </si>
  <si>
    <t>read_latency</t>
  </si>
  <si>
    <t>write_latency</t>
  </si>
  <si>
    <t>read_energy</t>
  </si>
  <si>
    <t>write_energy</t>
  </si>
  <si>
    <t>IBM</t>
  </si>
  <si>
    <t>RWTH</t>
  </si>
  <si>
    <t>Intel</t>
  </si>
  <si>
    <t>0,05 pj</t>
  </si>
  <si>
    <t>2 pj</t>
  </si>
  <si>
    <t>40 pj</t>
  </si>
  <si>
    <t>1pj</t>
  </si>
  <si>
    <t>100pj</t>
  </si>
  <si>
    <t>STT RAM</t>
  </si>
  <si>
    <t>10fj</t>
  </si>
  <si>
    <t>ADC latency</t>
  </si>
  <si>
    <t>ADC energy</t>
  </si>
  <si>
    <t>precision</t>
  </si>
  <si>
    <t>DAC/ driver energy (1bit)</t>
  </si>
  <si>
    <t>DAC/ driver latency</t>
  </si>
  <si>
    <t>V3.1</t>
  </si>
  <si>
    <t>ADC bits</t>
  </si>
  <si>
    <t>0.1 - 0.15</t>
  </si>
  <si>
    <t>0.2</t>
  </si>
  <si>
    <t>0.25</t>
  </si>
  <si>
    <t xml:space="preserve">10 min </t>
  </si>
  <si>
    <t xml:space="preserve">technology </t>
  </si>
  <si>
    <t>PCM IBM</t>
  </si>
  <si>
    <t>ReRAM Intel</t>
  </si>
  <si>
    <t>20 min</t>
  </si>
  <si>
    <t>relative ET</t>
  </si>
  <si>
    <t>ReRAM RWTH</t>
  </si>
  <si>
    <t>1/256*latency of crossbar</t>
  </si>
  <si>
    <t>0.05</t>
  </si>
  <si>
    <t>DAC (pj)</t>
  </si>
  <si>
    <t>PCM (IBM)</t>
  </si>
  <si>
    <t>ReRAM (Intel)</t>
  </si>
  <si>
    <t>ReRAM (RWTH)</t>
  </si>
  <si>
    <t>V3.3</t>
  </si>
  <si>
    <t xml:space="preserve">ReRAM (Intel) </t>
  </si>
  <si>
    <r>
      <t xml:space="preserve">gemm (medium)            </t>
    </r>
    <r>
      <rPr>
        <sz val="11"/>
        <color rgb="FF0070C0"/>
        <rFont val="Calibri"/>
        <family val="2"/>
        <scheme val="minor"/>
      </rPr>
      <t>non-pipeline</t>
    </r>
  </si>
  <si>
    <r>
      <t xml:space="preserve">gemm (medium)      </t>
    </r>
    <r>
      <rPr>
        <sz val="11"/>
        <color rgb="FF0070C0"/>
        <rFont val="Calibri"/>
        <family val="2"/>
        <scheme val="minor"/>
      </rPr>
      <t>pipeline</t>
    </r>
  </si>
  <si>
    <r>
      <t xml:space="preserve">gemm (medium)             </t>
    </r>
    <r>
      <rPr>
        <sz val="11"/>
        <color rgb="FF0070C0"/>
        <rFont val="Calibri"/>
        <family val="2"/>
        <scheme val="minor"/>
      </rPr>
      <t>non-pipeline</t>
    </r>
  </si>
  <si>
    <t xml:space="preserve">crossbar and drivers </t>
  </si>
  <si>
    <t>energy</t>
  </si>
  <si>
    <t xml:space="preserve">ADCs </t>
  </si>
  <si>
    <t xml:space="preserve">SHs </t>
  </si>
  <si>
    <t xml:space="preserve">Addition units </t>
  </si>
  <si>
    <t>Normalized execution time</t>
  </si>
  <si>
    <t>pipeline</t>
  </si>
  <si>
    <t>non-pipeline</t>
  </si>
  <si>
    <t>performance improvement</t>
  </si>
  <si>
    <t>resgister stage</t>
  </si>
  <si>
    <t>crossbar stage</t>
  </si>
  <si>
    <t>read stage</t>
  </si>
  <si>
    <t>4 clk</t>
  </si>
  <si>
    <t>2 clk+d_crossbar</t>
  </si>
  <si>
    <t>1clk+d_sample</t>
  </si>
  <si>
    <t>2clk</t>
  </si>
  <si>
    <t>SH</t>
  </si>
  <si>
    <t>1clk</t>
  </si>
  <si>
    <t>Addition stage2</t>
  </si>
  <si>
    <t>Which stage can be bottelneck</t>
  </si>
  <si>
    <t>Latency of whole tile</t>
  </si>
  <si>
    <r>
      <rPr>
        <sz val="11"/>
        <color theme="0" tint="-0.499984740745262"/>
        <rFont val="Calibri"/>
        <family val="2"/>
        <scheme val="minor"/>
      </rPr>
      <t>cp</t>
    </r>
    <r>
      <rPr>
        <sz val="11"/>
        <color theme="1"/>
        <rFont val="Calibri"/>
        <family val="2"/>
        <scheme val="minor"/>
      </rPr>
      <t xml:space="preserve"> +Addition stage3</t>
    </r>
  </si>
  <si>
    <t>clk</t>
  </si>
  <si>
    <t>clk(ns)</t>
  </si>
  <si>
    <t>ADC</t>
  </si>
  <si>
    <t>Third adder</t>
  </si>
  <si>
    <t>Forth adder</t>
  </si>
  <si>
    <t>1clk + d_thrid</t>
  </si>
  <si>
    <r>
      <rPr>
        <sz val="11"/>
        <rFont val="Calibri"/>
        <family val="2"/>
        <scheme val="minor"/>
      </rPr>
      <t>(</t>
    </r>
    <r>
      <rPr>
        <sz val="11"/>
        <color theme="0" tint="-0.499984740745262"/>
        <rFont val="Calibri"/>
        <family val="2"/>
        <scheme val="minor"/>
      </rPr>
      <t>2clk</t>
    </r>
    <r>
      <rPr>
        <sz val="11"/>
        <color theme="1"/>
        <rFont val="Calibri"/>
        <family val="2"/>
        <scheme val="minor"/>
      </rPr>
      <t xml:space="preserve"> + (2clk + d_forth)*n+2clk)</t>
    </r>
  </si>
  <si>
    <t>n</t>
  </si>
  <si>
    <t xml:space="preserve">IBM                                       </t>
  </si>
  <si>
    <t>ADCs</t>
  </si>
  <si>
    <t>datatype</t>
  </si>
  <si>
    <r>
      <rPr>
        <sz val="11"/>
        <color theme="0" tint="-0.499984740745262"/>
        <rFont val="Calibri"/>
        <family val="2"/>
        <scheme val="minor"/>
      </rPr>
      <t>cp</t>
    </r>
    <r>
      <rPr>
        <sz val="11"/>
        <color theme="1"/>
        <rFont val="Calibri"/>
        <family val="2"/>
        <scheme val="minor"/>
      </rPr>
      <t xml:space="preserve"> +Addition stage3+</t>
    </r>
    <r>
      <rPr>
        <sz val="11"/>
        <color theme="0" tint="-0.499984740745262"/>
        <rFont val="Calibri"/>
        <family val="2"/>
        <scheme val="minor"/>
      </rPr>
      <t>cb</t>
    </r>
  </si>
  <si>
    <t>(2clk+1clk+d_ADC)*256/ADCs</t>
  </si>
  <si>
    <t>(2clk+2clk)*256/ADCs</t>
  </si>
  <si>
    <t>Addition part1</t>
  </si>
  <si>
    <t>Addition par2</t>
  </si>
  <si>
    <r>
      <rPr>
        <sz val="11"/>
        <color theme="0" tint="-0.499984740745262"/>
        <rFont val="Calibri"/>
        <family val="2"/>
        <scheme val="minor"/>
      </rPr>
      <t>cp</t>
    </r>
    <r>
      <rPr>
        <sz val="11"/>
        <color theme="1"/>
        <rFont val="Calibri"/>
        <family val="2"/>
        <scheme val="minor"/>
      </rPr>
      <t xml:space="preserve"> +Addition stage+</t>
    </r>
    <r>
      <rPr>
        <sz val="11"/>
        <color theme="0" tint="-0.499984740745262"/>
        <rFont val="Calibri"/>
        <family val="2"/>
        <scheme val="minor"/>
      </rPr>
      <t>cb</t>
    </r>
  </si>
  <si>
    <t xml:space="preserve">read </t>
  </si>
  <si>
    <t>SH (in or out of read stage)</t>
  </si>
  <si>
    <t>Total</t>
  </si>
  <si>
    <t>addition stage</t>
  </si>
  <si>
    <r>
      <rPr>
        <sz val="11"/>
        <rFont val="Calibri"/>
        <family val="2"/>
        <scheme val="minor"/>
      </rPr>
      <t>(</t>
    </r>
    <r>
      <rPr>
        <sz val="11"/>
        <color theme="0" tint="-0.499984740745262"/>
        <rFont val="Calibri"/>
        <family val="2"/>
        <scheme val="minor"/>
      </rPr>
      <t>2clk</t>
    </r>
    <r>
      <rPr>
        <sz val="11"/>
        <color theme="1"/>
        <rFont val="Calibri"/>
        <family val="2"/>
        <scheme val="minor"/>
      </rPr>
      <t xml:space="preserve"> + (2clk + 1clk)*n+2clk)/</t>
    </r>
    <r>
      <rPr>
        <b/>
        <sz val="12"/>
        <color rgb="FFFF0000"/>
        <rFont val="Calibri"/>
        <family val="2"/>
        <scheme val="minor"/>
      </rPr>
      <t>datatype</t>
    </r>
  </si>
  <si>
    <r>
      <rPr>
        <sz val="11"/>
        <rFont val="Calibri"/>
        <family val="2"/>
        <scheme val="minor"/>
      </rPr>
      <t>(</t>
    </r>
    <r>
      <rPr>
        <sz val="11"/>
        <color theme="0" tint="-0.499984740745262"/>
        <rFont val="Calibri"/>
        <family val="2"/>
        <scheme val="minor"/>
      </rPr>
      <t>2clk</t>
    </r>
    <r>
      <rPr>
        <sz val="11"/>
        <color theme="1"/>
        <rFont val="Calibri"/>
        <family val="2"/>
        <scheme val="minor"/>
      </rPr>
      <t xml:space="preserve"> + (2clk + d_forth)*n+2clk)/</t>
    </r>
    <r>
      <rPr>
        <b/>
        <sz val="12"/>
        <color rgb="FFFF0000"/>
        <rFont val="Calibri"/>
        <family val="2"/>
        <scheme val="minor"/>
      </rPr>
      <t>datatype</t>
    </r>
  </si>
  <si>
    <t>register stage</t>
  </si>
  <si>
    <t>1.5pj</t>
  </si>
  <si>
    <t>ReRAM</t>
  </si>
  <si>
    <t>LRS</t>
  </si>
  <si>
    <t>HRS</t>
  </si>
  <si>
    <t>Read voltage</t>
  </si>
  <si>
    <t>Write voltage 0</t>
  </si>
  <si>
    <t>Write voltage 1</t>
  </si>
  <si>
    <t xml:space="preserve">Write DIM resistance </t>
  </si>
  <si>
    <t>Read DIM resistance</t>
  </si>
  <si>
    <t>Write latency</t>
  </si>
  <si>
    <t>Bit-line capacitance</t>
  </si>
  <si>
    <t>SH capacitance</t>
  </si>
  <si>
    <t>PCM</t>
  </si>
  <si>
    <t>STT</t>
  </si>
  <si>
    <t>Intel (2019)</t>
  </si>
  <si>
    <t>0.5</t>
  </si>
  <si>
    <t>read time</t>
  </si>
  <si>
    <t>10ns</t>
  </si>
  <si>
    <t>5k</t>
  </si>
  <si>
    <t>10k</t>
  </si>
  <si>
    <t>1.5</t>
  </si>
  <si>
    <t>40f</t>
  </si>
  <si>
    <t>100p</t>
  </si>
  <si>
    <t>?</t>
  </si>
  <si>
    <t>1.5?</t>
  </si>
  <si>
    <t>1us?</t>
  </si>
  <si>
    <t>1M</t>
  </si>
  <si>
    <t>100ns</t>
  </si>
  <si>
    <t>300ns</t>
  </si>
  <si>
    <t>500uA</t>
  </si>
  <si>
    <t>20k</t>
  </si>
  <si>
    <t>10M</t>
  </si>
  <si>
    <t>5ns</t>
  </si>
  <si>
    <t>60ns</t>
  </si>
  <si>
    <t>V3.2</t>
  </si>
  <si>
    <t>Energy (PCM)</t>
  </si>
  <si>
    <t>Energy (ReRAM)</t>
  </si>
  <si>
    <t>Energy (STT-RAM)</t>
  </si>
  <si>
    <t>Execution time PCM/ReRAM</t>
  </si>
  <si>
    <t>Execution time STT-RAM</t>
  </si>
  <si>
    <t xml:space="preserve">PCM </t>
  </si>
  <si>
    <t>combined CS+DoR -&gt;</t>
  </si>
  <si>
    <t xml:space="preserve">improvement </t>
  </si>
  <si>
    <t>STT-RAM</t>
  </si>
  <si>
    <t>10 clk</t>
  </si>
  <si>
    <t>read (total)</t>
  </si>
  <si>
    <t>setup stage</t>
  </si>
  <si>
    <t>execute stage</t>
  </si>
  <si>
    <t xml:space="preserve">S&amp;Hs </t>
  </si>
  <si>
    <t>pipelined</t>
  </si>
  <si>
    <t>non-pipelined</t>
  </si>
  <si>
    <t xml:space="preserve">Addition unit </t>
  </si>
  <si>
    <t>crossbar</t>
  </si>
  <si>
    <t xml:space="preserve">input </t>
  </si>
  <si>
    <t>1 means active</t>
  </si>
  <si>
    <t>1 means LRS</t>
  </si>
  <si>
    <t>Sparsity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</si>
</sst>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E97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3399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7786"/>
        <bgColor indexed="64"/>
      </patternFill>
    </fill>
    <fill>
      <patternFill patternType="solid">
        <fgColor rgb="FF3399FF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3" borderId="1" xfId="2" applyBorder="1" applyAlignment="1">
      <alignment horizontal="center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5" borderId="3" xfId="0" applyFill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909090"/>
      <color rgb="FFFE9700"/>
      <color rgb="FF9B9B9B"/>
      <color rgb="FFBD16EA"/>
      <color rgb="FFC20EE0"/>
      <color rgb="FFD1A025"/>
      <color rgb="FF3399FF"/>
      <color rgb="FFF97786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19617445584812"/>
          <c:y val="0.22246622078448913"/>
          <c:w val="0.78179672245399079"/>
          <c:h val="0.55340371753398721"/>
        </c:manualLayout>
      </c:layout>
      <c:lineChart>
        <c:grouping val="standar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PCM (IBM)</c:v>
                </c:pt>
              </c:strCache>
            </c:strRef>
          </c:tx>
          <c:spPr>
            <a:ln w="28575" cap="rnd">
              <a:solidFill>
                <a:srgbClr val="3399FF"/>
              </a:solidFill>
              <a:round/>
            </a:ln>
            <a:effectLst/>
          </c:spPr>
          <c:marker>
            <c:symbol val="none"/>
          </c:marker>
          <c:cat>
            <c:numRef>
              <c:f>Sheet1!$N$19:$N$24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2.77758061025752</c:v>
                </c:pt>
                <c:pt idx="1">
                  <c:v>2.777825867416865</c:v>
                </c:pt>
                <c:pt idx="2">
                  <c:v>2.7785183582197215</c:v>
                </c:pt>
                <c:pt idx="3">
                  <c:v>4.8791459280098106</c:v>
                </c:pt>
                <c:pt idx="4">
                  <c:v>9.3110870662915683</c:v>
                </c:pt>
                <c:pt idx="5">
                  <c:v>18.174969342855082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85-42E2-9C7A-762250ED2657}"/>
            </c:ext>
          </c:extLst>
        </c:ser>
        <c:ser>
          <c:idx val="1"/>
          <c:order val="1"/>
          <c:tx>
            <c:strRef>
              <c:f>Sheet1!$T$11</c:f>
              <c:strCache>
                <c:ptCount val="1"/>
                <c:pt idx="0">
                  <c:v>ReRAM (Intel)</c:v>
                </c:pt>
              </c:strCache>
            </c:strRef>
          </c:tx>
          <c:spPr>
            <a:ln w="28575" cap="rnd">
              <a:solidFill>
                <a:srgbClr val="FE9700"/>
              </a:solidFill>
              <a:round/>
            </a:ln>
            <a:effectLst/>
          </c:spPr>
          <c:marker>
            <c:symbol val="none"/>
          </c:marker>
          <c:cat>
            <c:numRef>
              <c:f>Sheet1!$N$19:$N$24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Sheet1!$D$11:$D$16</c:f>
              <c:numCache>
                <c:formatCode>General</c:formatCode>
                <c:ptCount val="6"/>
                <c:pt idx="0">
                  <c:v>4.1161364783957293</c:v>
                </c:pt>
                <c:pt idx="1">
                  <c:v>4.6700281324388664</c:v>
                </c:pt>
                <c:pt idx="2">
                  <c:v>5.7780134170093049</c:v>
                </c:pt>
                <c:pt idx="3">
                  <c:v>7.9939839861501838</c:v>
                </c:pt>
                <c:pt idx="4">
                  <c:v>12.425925124431942</c:v>
                </c:pt>
                <c:pt idx="5">
                  <c:v>21.289807400995457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85-42E2-9C7A-762250ED2657}"/>
            </c:ext>
          </c:extLst>
        </c:ser>
        <c:ser>
          <c:idx val="2"/>
          <c:order val="2"/>
          <c:tx>
            <c:strRef>
              <c:f>Sheet1!$T$19</c:f>
              <c:strCache>
                <c:ptCount val="1"/>
                <c:pt idx="0">
                  <c:v>ReRAM (RWTH)</c:v>
                </c:pt>
              </c:strCache>
            </c:strRef>
          </c:tx>
          <c:spPr>
            <a:ln w="28575" cap="rnd">
              <a:solidFill>
                <a:srgbClr val="9B9B9B"/>
              </a:solidFill>
              <a:round/>
            </a:ln>
            <a:effectLst/>
          </c:spPr>
          <c:marker>
            <c:symbol val="none"/>
          </c:marker>
          <c:cat>
            <c:numRef>
              <c:f>Sheet1!$N$19:$N$24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Sheet1!$D$19:$D$24</c:f>
              <c:numCache>
                <c:formatCode>General</c:formatCode>
                <c:ptCount val="6"/>
                <c:pt idx="0">
                  <c:v>1</c:v>
                </c:pt>
                <c:pt idx="1">
                  <c:v>1.5538916540431364</c:v>
                </c:pt>
                <c:pt idx="2">
                  <c:v>2.6618769386135757</c:v>
                </c:pt>
                <c:pt idx="3">
                  <c:v>4.8778475077544545</c:v>
                </c:pt>
                <c:pt idx="4">
                  <c:v>9.3097886460362123</c:v>
                </c:pt>
                <c:pt idx="5">
                  <c:v>18.173670922599726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85-42E2-9C7A-762250ED2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753544"/>
        <c:axId val="530751248"/>
      </c:lineChart>
      <c:catAx>
        <c:axId val="530753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ADCs</a:t>
                </a:r>
              </a:p>
            </c:rich>
          </c:tx>
          <c:layout>
            <c:manualLayout>
              <c:xMode val="edge"/>
              <c:yMode val="edge"/>
              <c:x val="0.42793137542061077"/>
              <c:y val="0.89204755614266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1248"/>
        <c:crosses val="autoZero"/>
        <c:auto val="1"/>
        <c:lblAlgn val="ctr"/>
        <c:lblOffset val="100"/>
        <c:noMultiLvlLbl val="0"/>
      </c:catAx>
      <c:valAx>
        <c:axId val="5307512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Normalized execution time</a:t>
                </a:r>
              </a:p>
            </c:rich>
          </c:tx>
          <c:layout>
            <c:manualLayout>
              <c:xMode val="edge"/>
              <c:yMode val="edge"/>
              <c:x val="3.5461002809237398E-2"/>
              <c:y val="0.16962606226401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3544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7092214522872206E-2"/>
          <c:y val="6.3408190224570671E-2"/>
          <c:w val="0.89999997207795057"/>
          <c:h val="9.87674096880558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98721922597285"/>
          <c:y val="0.12610993890553895"/>
          <c:w val="0.63569375868035993"/>
          <c:h val="0.69008091245151104"/>
        </c:manualLayout>
      </c:layout>
      <c:lineChart>
        <c:grouping val="standard"/>
        <c:varyColors val="0"/>
        <c:ser>
          <c:idx val="1"/>
          <c:order val="0"/>
          <c:tx>
            <c:strRef>
              <c:f>Sheet6!$B$8</c:f>
              <c:strCache>
                <c:ptCount val="1"/>
                <c:pt idx="0">
                  <c:v>pipelined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Sheet6!$E$2:$E$7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Sheet6!$C$2:$C$7</c:f>
              <c:numCache>
                <c:formatCode>General</c:formatCode>
                <c:ptCount val="6"/>
                <c:pt idx="0">
                  <c:v>50959</c:v>
                </c:pt>
                <c:pt idx="1">
                  <c:v>53779</c:v>
                </c:pt>
                <c:pt idx="2">
                  <c:v>72221</c:v>
                </c:pt>
                <c:pt idx="3">
                  <c:v>409810</c:v>
                </c:pt>
                <c:pt idx="4">
                  <c:v>3842000</c:v>
                </c:pt>
                <c:pt idx="5">
                  <c:v>38420000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5-45FD-8685-F34470EE141C}"/>
            </c:ext>
          </c:extLst>
        </c:ser>
        <c:ser>
          <c:idx val="2"/>
          <c:order val="1"/>
          <c:tx>
            <c:strRef>
              <c:f>Sheet6!$A$17</c:f>
              <c:strCache>
                <c:ptCount val="1"/>
                <c:pt idx="0">
                  <c:v>non-pipelined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Sheet6!$E$2:$E$7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Sheet6!$C$11:$C$16</c:f>
              <c:numCache>
                <c:formatCode>General</c:formatCode>
                <c:ptCount val="6"/>
                <c:pt idx="0">
                  <c:v>73875</c:v>
                </c:pt>
                <c:pt idx="1">
                  <c:v>90360</c:v>
                </c:pt>
                <c:pt idx="2">
                  <c:v>123394</c:v>
                </c:pt>
                <c:pt idx="3">
                  <c:v>717835</c:v>
                </c:pt>
                <c:pt idx="4">
                  <c:v>6662245</c:v>
                </c:pt>
                <c:pt idx="5">
                  <c:v>66106345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5-45FD-8685-F34470EE1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99024"/>
        <c:axId val="428393448"/>
      </c:lineChart>
      <c:lineChart>
        <c:grouping val="standard"/>
        <c:varyColors val="0"/>
        <c:ser>
          <c:idx val="0"/>
          <c:order val="2"/>
          <c:tx>
            <c:strRef>
              <c:f>Sheet6!$A$18</c:f>
              <c:strCache>
                <c:ptCount val="1"/>
                <c:pt idx="0">
                  <c:v>improvement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Sheet6!$E$2:$E$7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Sheet6!$B$18:$G$18</c:f>
              <c:numCache>
                <c:formatCode>General</c:formatCode>
                <c:ptCount val="6"/>
                <c:pt idx="0">
                  <c:v>0.44969485272473952</c:v>
                </c:pt>
                <c:pt idx="1">
                  <c:v>0.68020974729913153</c:v>
                </c:pt>
                <c:pt idx="2">
                  <c:v>0.70856122180529213</c:v>
                </c:pt>
                <c:pt idx="3">
                  <c:v>0.75162880359190853</c:v>
                </c:pt>
                <c:pt idx="4">
                  <c:v>0.7340564809994794</c:v>
                </c:pt>
                <c:pt idx="5">
                  <c:v>0.72062324310255077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ED6-428F-8904-EA46FBCF2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86688"/>
        <c:axId val="508186360"/>
      </c:lineChart>
      <c:catAx>
        <c:axId val="4283990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Clock frequency (MHz)</a:t>
                </a:r>
              </a:p>
            </c:rich>
          </c:tx>
          <c:layout>
            <c:manualLayout>
              <c:xMode val="edge"/>
              <c:yMode val="edge"/>
              <c:x val="0.33230867033786843"/>
              <c:y val="0.91479903633223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3448"/>
        <c:crosses val="autoZero"/>
        <c:auto val="1"/>
        <c:lblAlgn val="ctr"/>
        <c:lblOffset val="100"/>
        <c:noMultiLvlLbl val="0"/>
      </c:catAx>
      <c:valAx>
        <c:axId val="428393448"/>
        <c:scaling>
          <c:logBase val="10"/>
          <c:orientation val="minMax"/>
          <c:min val="1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1.8015417830177044E-2"/>
              <c:y val="0.18152936959060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9024"/>
        <c:crosses val="autoZero"/>
        <c:crossBetween val="midCat"/>
        <c:dispUnits>
          <c:builtInUnit val="millions"/>
        </c:dispUnits>
      </c:valAx>
      <c:valAx>
        <c:axId val="508186360"/>
        <c:scaling>
          <c:orientation val="minMax"/>
          <c:min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Performance improvement</a:t>
                </a:r>
              </a:p>
            </c:rich>
          </c:tx>
          <c:layout>
            <c:manualLayout>
              <c:xMode val="edge"/>
              <c:yMode val="edge"/>
              <c:x val="0.92004623695940513"/>
              <c:y val="0.19863416076493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86688"/>
        <c:crosses val="max"/>
        <c:crossBetween val="between"/>
        <c:majorUnit val="0.1"/>
      </c:valAx>
      <c:catAx>
        <c:axId val="508186688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crossAx val="5081863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598636760961113E-2"/>
          <c:y val="0"/>
          <c:w val="0.86915095401317932"/>
          <c:h val="7.9449708922696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89711171728978"/>
          <c:y val="0.2506373187286538"/>
          <c:w val="0.75458698786533207"/>
          <c:h val="0.52339182809728191"/>
        </c:manualLayout>
      </c:layout>
      <c:lineChart>
        <c:grouping val="standard"/>
        <c:varyColors val="0"/>
        <c:ser>
          <c:idx val="0"/>
          <c:order val="0"/>
          <c:tx>
            <c:strRef>
              <c:f>Sheet7!$E$11</c:f>
              <c:strCache>
                <c:ptCount val="1"/>
                <c:pt idx="0">
                  <c:v>setup stage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Sheet7!$C$20:$C$25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Sheet7!$E$20:$E$25</c:f>
              <c:numCache>
                <c:formatCode>General</c:formatCode>
                <c:ptCount val="6"/>
                <c:pt idx="0">
                  <c:v>7.1428571428571425E-2</c:v>
                </c:pt>
                <c:pt idx="1">
                  <c:v>0.11764705882352941</c:v>
                </c:pt>
                <c:pt idx="2">
                  <c:v>0.16949152542372881</c:v>
                </c:pt>
                <c:pt idx="3">
                  <c:v>0.32573289902280128</c:v>
                </c:pt>
                <c:pt idx="4">
                  <c:v>0.35373187124159888</c:v>
                </c:pt>
                <c:pt idx="5">
                  <c:v>0.34449497037343257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C-41F7-882E-73EED60C46DF}"/>
            </c:ext>
          </c:extLst>
        </c:ser>
        <c:ser>
          <c:idx val="1"/>
          <c:order val="1"/>
          <c:tx>
            <c:strRef>
              <c:f>Sheet7!$F$11</c:f>
              <c:strCache>
                <c:ptCount val="1"/>
                <c:pt idx="0">
                  <c:v>execute 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Sheet7!$C$20:$C$25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Sheet7!$F$20:$F$25</c:f>
              <c:numCache>
                <c:formatCode>General</c:formatCode>
                <c:ptCount val="6"/>
                <c:pt idx="0">
                  <c:v>0.29285714285714287</c:v>
                </c:pt>
                <c:pt idx="1">
                  <c:v>0.24705882352941178</c:v>
                </c:pt>
                <c:pt idx="2">
                  <c:v>0.1864406779661017</c:v>
                </c:pt>
                <c:pt idx="3">
                  <c:v>6.5146579804560262E-2</c:v>
                </c:pt>
                <c:pt idx="4">
                  <c:v>3.8910505836575876E-2</c:v>
                </c:pt>
                <c:pt idx="5">
                  <c:v>3.4793992007716684E-2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C-41F7-882E-73EED60C46DF}"/>
            </c:ext>
          </c:extLst>
        </c:ser>
        <c:ser>
          <c:idx val="2"/>
          <c:order val="2"/>
          <c:tx>
            <c:strRef>
              <c:f>Sheet7!$G$10</c:f>
              <c:strCache>
                <c:ptCount val="1"/>
                <c:pt idx="0">
                  <c:v>read stage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Sheet7!$C$20:$C$25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Sheet7!$H$20:$H$25</c:f>
              <c:numCache>
                <c:formatCode>General</c:formatCode>
                <c:ptCount val="6"/>
                <c:pt idx="0">
                  <c:v>0.5714285714285714</c:v>
                </c:pt>
                <c:pt idx="1">
                  <c:v>0.57647058823529407</c:v>
                </c:pt>
                <c:pt idx="2">
                  <c:v>0.59322033898305082</c:v>
                </c:pt>
                <c:pt idx="3">
                  <c:v>0.57003257328990231</c:v>
                </c:pt>
                <c:pt idx="4">
                  <c:v>0.57127697205518213</c:v>
                </c:pt>
                <c:pt idx="5">
                  <c:v>0.58619264158743278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C-41F7-882E-73EED60C46DF}"/>
            </c:ext>
          </c:extLst>
        </c:ser>
        <c:ser>
          <c:idx val="3"/>
          <c:order val="3"/>
          <c:tx>
            <c:strRef>
              <c:f>Sheet7!$J$10</c:f>
              <c:strCache>
                <c:ptCount val="1"/>
                <c:pt idx="0">
                  <c:v>addition stage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Sheet7!$C$20:$C$25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Sheet7!$J$20:$J$25</c:f>
              <c:numCache>
                <c:formatCode>General</c:formatCode>
                <c:ptCount val="6"/>
                <c:pt idx="0">
                  <c:v>6.4285714285714279E-2</c:v>
                </c:pt>
                <c:pt idx="1">
                  <c:v>5.8823529411764705E-2</c:v>
                </c:pt>
                <c:pt idx="2">
                  <c:v>5.0847457627118647E-2</c:v>
                </c:pt>
                <c:pt idx="3">
                  <c:v>3.9087947882736153E-2</c:v>
                </c:pt>
                <c:pt idx="4">
                  <c:v>3.6080650866643083E-2</c:v>
                </c:pt>
                <c:pt idx="5">
                  <c:v>3.4518396031417944E-2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C-41F7-882E-73EED60C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37712"/>
        <c:axId val="537238040"/>
      </c:lineChart>
      <c:catAx>
        <c:axId val="5372377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Clock frequency (MHz)</a:t>
                </a:r>
              </a:p>
            </c:rich>
          </c:tx>
          <c:layout>
            <c:manualLayout>
              <c:xMode val="edge"/>
              <c:yMode val="edge"/>
              <c:x val="0.39004097201119131"/>
              <c:y val="0.89670672945062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8040"/>
        <c:crosses val="autoZero"/>
        <c:auto val="1"/>
        <c:lblAlgn val="ctr"/>
        <c:lblOffset val="100"/>
        <c:noMultiLvlLbl val="0"/>
      </c:catAx>
      <c:valAx>
        <c:axId val="537238040"/>
        <c:scaling>
          <c:orientation val="minMax"/>
          <c:max val="0.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Contribution to the latency</a:t>
                </a:r>
              </a:p>
            </c:rich>
          </c:tx>
          <c:layout>
            <c:manualLayout>
              <c:xMode val="edge"/>
              <c:yMode val="edge"/>
              <c:x val="8.2048810135071405E-3"/>
              <c:y val="0.1567616413519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7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52002302263595"/>
          <c:y val="2.7419862402669953E-2"/>
          <c:w val="0.74238978948140544"/>
          <c:h val="0.1695059799922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Sheet8!$E$11</c:f>
              <c:strCache>
                <c:ptCount val="1"/>
                <c:pt idx="0">
                  <c:v>setup stage</c:v>
                </c:pt>
              </c:strCache>
            </c:strRef>
          </c:tx>
          <c:spPr>
            <a:ln w="28575" cap="rnd">
              <a:solidFill>
                <a:srgbClr val="9B9B9B"/>
              </a:solidFill>
              <a:round/>
            </a:ln>
            <a:effectLst/>
          </c:spPr>
          <c:marker>
            <c:symbol val="none"/>
          </c:marker>
          <c:cat>
            <c:numRef>
              <c:f>Sheet8!$D$21:$D$27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Sheet8!$E$21:$E$27</c:f>
              <c:numCache>
                <c:formatCode>General</c:formatCode>
                <c:ptCount val="7"/>
                <c:pt idx="0">
                  <c:v>3.7622272385252072E-2</c:v>
                </c:pt>
                <c:pt idx="1">
                  <c:v>7.0921985815602842E-2</c:v>
                </c:pt>
                <c:pt idx="2">
                  <c:v>0.1272264631043257</c:v>
                </c:pt>
                <c:pt idx="3">
                  <c:v>0.2109704641350211</c:v>
                </c:pt>
                <c:pt idx="4">
                  <c:v>0.31446540880503143</c:v>
                </c:pt>
                <c:pt idx="5">
                  <c:v>0.43478260869565216</c:v>
                </c:pt>
                <c:pt idx="6">
                  <c:v>0.5376344086021505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F-483E-916F-356A4A13136C}"/>
            </c:ext>
          </c:extLst>
        </c:ser>
        <c:ser>
          <c:idx val="1"/>
          <c:order val="1"/>
          <c:tx>
            <c:strRef>
              <c:f>Sheet8!$F$11</c:f>
              <c:strCache>
                <c:ptCount val="1"/>
                <c:pt idx="0">
                  <c:v>execute 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Sheet8!$D$21:$D$27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Sheet8!$F$21:$F$27</c:f>
              <c:numCache>
                <c:formatCode>General</c:formatCode>
                <c:ptCount val="7"/>
                <c:pt idx="0">
                  <c:v>7.5244544770504138E-3</c:v>
                </c:pt>
                <c:pt idx="1">
                  <c:v>1.4184397163120567E-2</c:v>
                </c:pt>
                <c:pt idx="2">
                  <c:v>2.5445292620865138E-2</c:v>
                </c:pt>
                <c:pt idx="3">
                  <c:v>4.2194092827004218E-2</c:v>
                </c:pt>
                <c:pt idx="4">
                  <c:v>6.2893081761006289E-2</c:v>
                </c:pt>
                <c:pt idx="5">
                  <c:v>8.6956521739130432E-2</c:v>
                </c:pt>
                <c:pt idx="6">
                  <c:v>0.10752688172043011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F-483E-916F-356A4A13136C}"/>
            </c:ext>
          </c:extLst>
        </c:ser>
        <c:ser>
          <c:idx val="2"/>
          <c:order val="2"/>
          <c:tx>
            <c:strRef>
              <c:f>Sheet8!$G$10</c:f>
              <c:strCache>
                <c:ptCount val="1"/>
                <c:pt idx="0">
                  <c:v>read stage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Sheet8!$D$21:$D$27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Sheet8!$H$21:$H$27</c:f>
              <c:numCache>
                <c:formatCode>General</c:formatCode>
                <c:ptCount val="7"/>
                <c:pt idx="0">
                  <c:v>0.95033860045146723</c:v>
                </c:pt>
                <c:pt idx="1">
                  <c:v>0.90638297872340423</c:v>
                </c:pt>
                <c:pt idx="2">
                  <c:v>0.83206106870229013</c:v>
                </c:pt>
                <c:pt idx="3">
                  <c:v>0.72151898734177211</c:v>
                </c:pt>
                <c:pt idx="4">
                  <c:v>0.58490566037735847</c:v>
                </c:pt>
                <c:pt idx="5">
                  <c:v>0.42608695652173911</c:v>
                </c:pt>
                <c:pt idx="6">
                  <c:v>0.29032258064516131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F-483E-916F-356A4A13136C}"/>
            </c:ext>
          </c:extLst>
        </c:ser>
        <c:ser>
          <c:idx val="3"/>
          <c:order val="3"/>
          <c:tx>
            <c:strRef>
              <c:f>Sheet8!$J$10</c:f>
              <c:strCache>
                <c:ptCount val="1"/>
                <c:pt idx="0">
                  <c:v>addition stage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Sheet8!$D$21:$D$27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Sheet8!$J$21:$J$27</c:f>
              <c:numCache>
                <c:formatCode>General</c:formatCode>
                <c:ptCount val="7"/>
                <c:pt idx="0">
                  <c:v>4.5146726862302479E-3</c:v>
                </c:pt>
                <c:pt idx="1">
                  <c:v>8.5106382978723406E-3</c:v>
                </c:pt>
                <c:pt idx="2">
                  <c:v>1.5267175572519083E-2</c:v>
                </c:pt>
                <c:pt idx="3">
                  <c:v>2.5316455696202531E-2</c:v>
                </c:pt>
                <c:pt idx="4">
                  <c:v>3.7735849056603772E-2</c:v>
                </c:pt>
                <c:pt idx="5">
                  <c:v>5.2173913043478258E-2</c:v>
                </c:pt>
                <c:pt idx="6">
                  <c:v>6.4516129032258063E-2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9F-483E-916F-356A4A131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26360"/>
        <c:axId val="749128984"/>
      </c:lineChart>
      <c:catAx>
        <c:axId val="74912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ADCs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8984"/>
        <c:crosses val="autoZero"/>
        <c:auto val="1"/>
        <c:lblAlgn val="ctr"/>
        <c:lblOffset val="100"/>
        <c:noMultiLvlLbl val="0"/>
      </c:catAx>
      <c:valAx>
        <c:axId val="7491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Contribution to the latency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624450577532454E-2"/>
              <c:y val="0.1819801587301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11974854339159"/>
          <c:y val="2.748917748917749E-2"/>
          <c:w val="0.69663242359194522"/>
          <c:h val="0.181002886002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98721922597285"/>
          <c:y val="0.12610993890553895"/>
          <c:w val="0.63569375868035993"/>
          <c:h val="0.69008091245151104"/>
        </c:manualLayout>
      </c:layout>
      <c:lineChart>
        <c:grouping val="standard"/>
        <c:varyColors val="0"/>
        <c:ser>
          <c:idx val="1"/>
          <c:order val="0"/>
          <c:tx>
            <c:strRef>
              <c:f>Sheet6!$B$8</c:f>
              <c:strCache>
                <c:ptCount val="1"/>
                <c:pt idx="0">
                  <c:v>pipelined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Sheet6!$E$3:$E$7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cat>
          <c:val>
            <c:numRef>
              <c:f>Sheet9!$C$3:$C$7</c:f>
              <c:numCache>
                <c:formatCode>General</c:formatCode>
                <c:ptCount val="5"/>
                <c:pt idx="0">
                  <c:v>53779</c:v>
                </c:pt>
                <c:pt idx="1">
                  <c:v>72221</c:v>
                </c:pt>
                <c:pt idx="2">
                  <c:v>409810</c:v>
                </c:pt>
                <c:pt idx="3">
                  <c:v>3842000</c:v>
                </c:pt>
                <c:pt idx="4">
                  <c:v>38420000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2-4F08-B321-7CCCFC7C910C}"/>
            </c:ext>
          </c:extLst>
        </c:ser>
        <c:ser>
          <c:idx val="2"/>
          <c:order val="1"/>
          <c:tx>
            <c:strRef>
              <c:f>Sheet6!$A$17</c:f>
              <c:strCache>
                <c:ptCount val="1"/>
                <c:pt idx="0">
                  <c:v>non-pipelined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Sheet6!$E$3:$E$7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cat>
          <c:val>
            <c:numRef>
              <c:f>Sheet9!$C$12:$C$16</c:f>
              <c:numCache>
                <c:formatCode>General</c:formatCode>
                <c:ptCount val="5"/>
                <c:pt idx="0">
                  <c:v>106753</c:v>
                </c:pt>
                <c:pt idx="1">
                  <c:v>156162</c:v>
                </c:pt>
                <c:pt idx="2">
                  <c:v>1045515</c:v>
                </c:pt>
                <c:pt idx="3">
                  <c:v>9939045</c:v>
                </c:pt>
                <c:pt idx="4">
                  <c:v>98874345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2-4F08-B321-7CCCFC7C9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99024"/>
        <c:axId val="428393448"/>
      </c:lineChart>
      <c:lineChart>
        <c:grouping val="standard"/>
        <c:varyColors val="0"/>
        <c:ser>
          <c:idx val="0"/>
          <c:order val="2"/>
          <c:tx>
            <c:strRef>
              <c:f>Sheet6!$A$18</c:f>
              <c:strCache>
                <c:ptCount val="1"/>
                <c:pt idx="0">
                  <c:v>improvement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Sheet6!$E$2:$E$7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Sheet9!$C$18:$G$18</c:f>
              <c:numCache>
                <c:formatCode>General</c:formatCode>
                <c:ptCount val="5"/>
                <c:pt idx="0">
                  <c:v>0.98503133193253878</c:v>
                </c:pt>
                <c:pt idx="1">
                  <c:v>1.1622796693482504</c:v>
                </c:pt>
                <c:pt idx="2">
                  <c:v>1.5512188575193382</c:v>
                </c:pt>
                <c:pt idx="3">
                  <c:v>1.5869456012493495</c:v>
                </c:pt>
                <c:pt idx="4">
                  <c:v>1.5735123633524206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772-4F08-B321-7CCCFC7C9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186688"/>
        <c:axId val="508186360"/>
      </c:lineChart>
      <c:catAx>
        <c:axId val="4283990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Clock frequency (MHz)</a:t>
                </a:r>
              </a:p>
            </c:rich>
          </c:tx>
          <c:layout>
            <c:manualLayout>
              <c:xMode val="edge"/>
              <c:yMode val="edge"/>
              <c:x val="0.33230867033786843"/>
              <c:y val="0.91479903633223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3448"/>
        <c:crosses val="autoZero"/>
        <c:auto val="1"/>
        <c:lblAlgn val="ctr"/>
        <c:lblOffset val="100"/>
        <c:noMultiLvlLbl val="0"/>
      </c:catAx>
      <c:valAx>
        <c:axId val="428393448"/>
        <c:scaling>
          <c:logBase val="10"/>
          <c:orientation val="minMax"/>
          <c:min val="1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Execution time (ms)</a:t>
                </a:r>
              </a:p>
            </c:rich>
          </c:tx>
          <c:layout>
            <c:manualLayout>
              <c:xMode val="edge"/>
              <c:yMode val="edge"/>
              <c:x val="1.8015417830177044E-2"/>
              <c:y val="0.18152936959060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9024"/>
        <c:crosses val="autoZero"/>
        <c:crossBetween val="midCat"/>
        <c:dispUnits>
          <c:builtInUnit val="millions"/>
        </c:dispUnits>
      </c:valAx>
      <c:valAx>
        <c:axId val="508186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Performance improvement</a:t>
                </a:r>
              </a:p>
            </c:rich>
          </c:tx>
          <c:layout>
            <c:manualLayout>
              <c:xMode val="edge"/>
              <c:yMode val="edge"/>
              <c:x val="0.92004623695940513"/>
              <c:y val="0.19863416076493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86688"/>
        <c:crosses val="max"/>
        <c:crossBetween val="between"/>
        <c:majorUnit val="0.30000000000000004"/>
      </c:valAx>
      <c:catAx>
        <c:axId val="508186688"/>
        <c:scaling>
          <c:orientation val="maxMin"/>
        </c:scaling>
        <c:delete val="1"/>
        <c:axPos val="t"/>
        <c:numFmt formatCode="General" sourceLinked="1"/>
        <c:majorTickMark val="out"/>
        <c:minorTickMark val="none"/>
        <c:tickLblPos val="nextTo"/>
        <c:crossAx val="50818636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598636760961113E-2"/>
          <c:y val="0"/>
          <c:w val="0.86915095401317932"/>
          <c:h val="7.9449708922696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789711171728978"/>
          <c:y val="0.2506373187286538"/>
          <c:w val="0.75458698786533207"/>
          <c:h val="0.52339182809728191"/>
        </c:manualLayout>
      </c:layout>
      <c:lineChart>
        <c:grouping val="standard"/>
        <c:varyColors val="0"/>
        <c:ser>
          <c:idx val="0"/>
          <c:order val="0"/>
          <c:tx>
            <c:strRef>
              <c:f>Sheet7!$E$11</c:f>
              <c:strCache>
                <c:ptCount val="1"/>
                <c:pt idx="0">
                  <c:v>setup stage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Sheet10!$C$21:$C$25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cat>
          <c:val>
            <c:numRef>
              <c:f>Sheet10!$E$21:$E$25</c:f>
              <c:numCache>
                <c:formatCode>General</c:formatCode>
                <c:ptCount val="5"/>
                <c:pt idx="0">
                  <c:v>9.9009900990099015E-2</c:v>
                </c:pt>
                <c:pt idx="1">
                  <c:v>0.13333333333333333</c:v>
                </c:pt>
                <c:pt idx="2">
                  <c:v>0.21413276231263384</c:v>
                </c:pt>
                <c:pt idx="3">
                  <c:v>0.22588660492432799</c:v>
                </c:pt>
                <c:pt idx="4">
                  <c:v>0.22208403659944922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A9A-9A05-9B8F723FD1D2}"/>
            </c:ext>
          </c:extLst>
        </c:ser>
        <c:ser>
          <c:idx val="1"/>
          <c:order val="1"/>
          <c:tx>
            <c:strRef>
              <c:f>Sheet7!$F$11</c:f>
              <c:strCache>
                <c:ptCount val="1"/>
                <c:pt idx="0">
                  <c:v>execute 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Sheet10!$C$21:$C$25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cat>
          <c:val>
            <c:numRef>
              <c:f>Sheet10!$F$21:$F$25</c:f>
              <c:numCache>
                <c:formatCode>General</c:formatCode>
                <c:ptCount val="5"/>
                <c:pt idx="0">
                  <c:v>0.20792079207920791</c:v>
                </c:pt>
                <c:pt idx="1">
                  <c:v>0.14666666666666667</c:v>
                </c:pt>
                <c:pt idx="2">
                  <c:v>4.2826552462526764E-2</c:v>
                </c:pt>
                <c:pt idx="3">
                  <c:v>2.4847526541676077E-2</c:v>
                </c:pt>
                <c:pt idx="4">
                  <c:v>2.2430487696544373E-2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A9A-9A05-9B8F723FD1D2}"/>
            </c:ext>
          </c:extLst>
        </c:ser>
        <c:ser>
          <c:idx val="2"/>
          <c:order val="2"/>
          <c:tx>
            <c:strRef>
              <c:f>Sheet7!$G$10</c:f>
              <c:strCache>
                <c:ptCount val="1"/>
                <c:pt idx="0">
                  <c:v>read stage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Sheet10!$C$21:$C$25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cat>
          <c:val>
            <c:numRef>
              <c:f>Sheet10!$H$21:$H$25</c:f>
              <c:numCache>
                <c:formatCode>General</c:formatCode>
                <c:ptCount val="5"/>
                <c:pt idx="0">
                  <c:v>0.48514851485148514</c:v>
                </c:pt>
                <c:pt idx="1">
                  <c:v>0.46666666666666667</c:v>
                </c:pt>
                <c:pt idx="2">
                  <c:v>0.37473233404710921</c:v>
                </c:pt>
                <c:pt idx="3">
                  <c:v>0.36480686695278969</c:v>
                </c:pt>
                <c:pt idx="4">
                  <c:v>0.37789819667762281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9-4A9A-9A05-9B8F723FD1D2}"/>
            </c:ext>
          </c:extLst>
        </c:ser>
        <c:ser>
          <c:idx val="3"/>
          <c:order val="3"/>
          <c:tx>
            <c:strRef>
              <c:f>Sheet7!$J$10</c:f>
              <c:strCache>
                <c:ptCount val="1"/>
                <c:pt idx="0">
                  <c:v>addition stage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Sheet10!$C$21:$C$25</c:f>
              <c:numCache>
                <c:formatCode>General</c:formatCode>
                <c:ptCount val="5"/>
                <c:pt idx="0">
                  <c:v>2000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cat>
          <c:val>
            <c:numRef>
              <c:f>Sheet10!$J$21:$J$25</c:f>
              <c:numCache>
                <c:formatCode>General</c:formatCode>
                <c:ptCount val="5"/>
                <c:pt idx="0">
                  <c:v>0.20792079207920791</c:v>
                </c:pt>
                <c:pt idx="1">
                  <c:v>0.25333333333333335</c:v>
                </c:pt>
                <c:pt idx="2">
                  <c:v>0.3683083511777302</c:v>
                </c:pt>
                <c:pt idx="3">
                  <c:v>0.38445900158120622</c:v>
                </c:pt>
                <c:pt idx="4">
                  <c:v>0.37758727902638356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9-4A9A-9A05-9B8F723FD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37712"/>
        <c:axId val="537238040"/>
      </c:lineChart>
      <c:catAx>
        <c:axId val="5372377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Clock frequency (MHz)</a:t>
                </a:r>
              </a:p>
            </c:rich>
          </c:tx>
          <c:layout>
            <c:manualLayout>
              <c:xMode val="edge"/>
              <c:yMode val="edge"/>
              <c:x val="0.39004097201119131"/>
              <c:y val="0.89670672945062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8040"/>
        <c:crosses val="autoZero"/>
        <c:auto val="1"/>
        <c:lblAlgn val="ctr"/>
        <c:lblOffset val="100"/>
        <c:noMultiLvlLbl val="0"/>
      </c:catAx>
      <c:valAx>
        <c:axId val="537238040"/>
        <c:scaling>
          <c:orientation val="minMax"/>
          <c:max val="0.8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Contribution to the latency</a:t>
                </a:r>
              </a:p>
            </c:rich>
          </c:tx>
          <c:layout>
            <c:manualLayout>
              <c:xMode val="edge"/>
              <c:yMode val="edge"/>
              <c:x val="8.2048810135071405E-3"/>
              <c:y val="0.15676164135195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7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52002302263595"/>
          <c:y val="2.7419862402669953E-2"/>
          <c:w val="0.74238978948140544"/>
          <c:h val="0.1695059799922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Sheet11!$E$11</c:f>
              <c:strCache>
                <c:ptCount val="1"/>
                <c:pt idx="0">
                  <c:v>setup stage</c:v>
                </c:pt>
              </c:strCache>
            </c:strRef>
          </c:tx>
          <c:spPr>
            <a:ln w="28575" cap="rnd">
              <a:solidFill>
                <a:srgbClr val="9B9B9B"/>
              </a:solidFill>
              <a:round/>
            </a:ln>
            <a:effectLst/>
          </c:spPr>
          <c:marker>
            <c:symbol val="none"/>
          </c:marker>
          <c:cat>
            <c:numRef>
              <c:f>Sheet11!$D$21:$D$27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Sheet11!$E$21:$E$27</c:f>
              <c:numCache>
                <c:formatCode>General</c:formatCode>
                <c:ptCount val="7"/>
                <c:pt idx="0">
                  <c:v>1.9164430816404752E-2</c:v>
                </c:pt>
                <c:pt idx="1">
                  <c:v>3.717472118959108E-2</c:v>
                </c:pt>
                <c:pt idx="2">
                  <c:v>7.0126227208976155E-2</c:v>
                </c:pt>
                <c:pt idx="3">
                  <c:v>0.12594458438287154</c:v>
                </c:pt>
                <c:pt idx="4">
                  <c:v>0.20920502092050208</c:v>
                </c:pt>
                <c:pt idx="5">
                  <c:v>0.32258064516129031</c:v>
                </c:pt>
                <c:pt idx="6">
                  <c:v>0.44247787610619471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3-4DE5-9C7F-804C4D13E66E}"/>
            </c:ext>
          </c:extLst>
        </c:ser>
        <c:ser>
          <c:idx val="1"/>
          <c:order val="1"/>
          <c:tx>
            <c:strRef>
              <c:f>Sheet11!$F$11</c:f>
              <c:strCache>
                <c:ptCount val="1"/>
                <c:pt idx="0">
                  <c:v>execute 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Sheet11!$D$21:$D$27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Sheet11!$F$21:$F$27</c:f>
              <c:numCache>
                <c:formatCode>General</c:formatCode>
                <c:ptCount val="7"/>
                <c:pt idx="0">
                  <c:v>3.8328861632809506E-3</c:v>
                </c:pt>
                <c:pt idx="1">
                  <c:v>7.4349442379182153E-3</c:v>
                </c:pt>
                <c:pt idx="2">
                  <c:v>1.4025245441795231E-2</c:v>
                </c:pt>
                <c:pt idx="3">
                  <c:v>2.5188916876574308E-2</c:v>
                </c:pt>
                <c:pt idx="4">
                  <c:v>4.1841004184100417E-2</c:v>
                </c:pt>
                <c:pt idx="5">
                  <c:v>6.4516129032258063E-2</c:v>
                </c:pt>
                <c:pt idx="6">
                  <c:v>8.8495575221238937E-2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3-4DE5-9C7F-804C4D13E66E}"/>
            </c:ext>
          </c:extLst>
        </c:ser>
        <c:ser>
          <c:idx val="2"/>
          <c:order val="2"/>
          <c:tx>
            <c:strRef>
              <c:f>Sheet11!$G$10</c:f>
              <c:strCache>
                <c:ptCount val="1"/>
                <c:pt idx="0">
                  <c:v>read stage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Sheet11!$D$21:$D$27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Sheet11!$H$21:$H$27</c:f>
              <c:numCache>
                <c:formatCode>General</c:formatCode>
                <c:ptCount val="7"/>
                <c:pt idx="0">
                  <c:v>0.48409352242238407</c:v>
                </c:pt>
                <c:pt idx="1">
                  <c:v>0.47509293680297399</c:v>
                </c:pt>
                <c:pt idx="2">
                  <c:v>0.45862552594670408</c:v>
                </c:pt>
                <c:pt idx="3">
                  <c:v>0.43073047858942065</c:v>
                </c:pt>
                <c:pt idx="4">
                  <c:v>0.38912133891213391</c:v>
                </c:pt>
                <c:pt idx="5">
                  <c:v>0.31612903225806449</c:v>
                </c:pt>
                <c:pt idx="6">
                  <c:v>0.23893805309734514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3-4DE5-9C7F-804C4D13E66E}"/>
            </c:ext>
          </c:extLst>
        </c:ser>
        <c:ser>
          <c:idx val="3"/>
          <c:order val="3"/>
          <c:tx>
            <c:strRef>
              <c:f>Sheet11!$J$10</c:f>
              <c:strCache>
                <c:ptCount val="1"/>
                <c:pt idx="0">
                  <c:v>addition stage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Sheet11!$D$21:$D$27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Sheet11!$J$21:$J$27</c:f>
              <c:numCache>
                <c:formatCode>General</c:formatCode>
                <c:ptCount val="7"/>
                <c:pt idx="0">
                  <c:v>0.49290916059793022</c:v>
                </c:pt>
                <c:pt idx="1">
                  <c:v>0.48029739776951674</c:v>
                </c:pt>
                <c:pt idx="2">
                  <c:v>0.45722300140252453</c:v>
                </c:pt>
                <c:pt idx="3">
                  <c:v>0.41813602015113349</c:v>
                </c:pt>
                <c:pt idx="4">
                  <c:v>0.35983263598326359</c:v>
                </c:pt>
                <c:pt idx="5">
                  <c:v>0.29677419354838708</c:v>
                </c:pt>
                <c:pt idx="6">
                  <c:v>0.23008849557522124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F3-4DE5-9C7F-804C4D13E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126360"/>
        <c:axId val="749128984"/>
      </c:lineChart>
      <c:catAx>
        <c:axId val="74912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ADCs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8984"/>
        <c:crosses val="autoZero"/>
        <c:auto val="1"/>
        <c:lblAlgn val="ctr"/>
        <c:lblOffset val="100"/>
        <c:noMultiLvlLbl val="0"/>
      </c:catAx>
      <c:valAx>
        <c:axId val="7491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chemeClr val="tx1"/>
                    </a:solidFill>
                    <a:effectLst/>
                  </a:rPr>
                  <a:t>Contribution to the latency</a:t>
                </a:r>
                <a:endParaRPr lang="en-US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624450577532454E-2"/>
              <c:y val="0.18198015873015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2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11974854339159"/>
          <c:y val="2.748917748917749E-2"/>
          <c:w val="0.69663242359194522"/>
          <c:h val="0.181002886002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sparcity!$B$4</c:f>
              <c:strCache>
                <c:ptCount val="1"/>
                <c:pt idx="0">
                  <c:v>ReRAM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sparcity!$A$5:$A$13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sparcity!$B$5:$B$13</c:f>
              <c:numCache>
                <c:formatCode>General</c:formatCode>
                <c:ptCount val="9"/>
                <c:pt idx="0">
                  <c:v>879</c:v>
                </c:pt>
                <c:pt idx="1">
                  <c:v>1759</c:v>
                </c:pt>
                <c:pt idx="2">
                  <c:v>2701</c:v>
                </c:pt>
                <c:pt idx="3">
                  <c:v>3668</c:v>
                </c:pt>
                <c:pt idx="4">
                  <c:v>4711</c:v>
                </c:pt>
                <c:pt idx="5">
                  <c:v>5865</c:v>
                </c:pt>
                <c:pt idx="6">
                  <c:v>7001</c:v>
                </c:pt>
                <c:pt idx="7">
                  <c:v>8206</c:v>
                </c:pt>
                <c:pt idx="8">
                  <c:v>9619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F3-4EAE-A53C-E064C04B3671}"/>
            </c:ext>
          </c:extLst>
        </c:ser>
        <c:ser>
          <c:idx val="2"/>
          <c:order val="1"/>
          <c:tx>
            <c:strRef>
              <c:f>sparcity!$C$4</c:f>
              <c:strCache>
                <c:ptCount val="1"/>
                <c:pt idx="0">
                  <c:v>PCM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sparcity!$A$5:$A$13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sparcity!$C$5:$C$13</c:f>
              <c:numCache>
                <c:formatCode>General</c:formatCode>
                <c:ptCount val="9"/>
                <c:pt idx="0">
                  <c:v>225</c:v>
                </c:pt>
                <c:pt idx="1">
                  <c:v>455</c:v>
                </c:pt>
                <c:pt idx="2">
                  <c:v>700</c:v>
                </c:pt>
                <c:pt idx="3">
                  <c:v>1048</c:v>
                </c:pt>
                <c:pt idx="4">
                  <c:v>1191</c:v>
                </c:pt>
                <c:pt idx="5">
                  <c:v>1473</c:v>
                </c:pt>
                <c:pt idx="6">
                  <c:v>1763</c:v>
                </c:pt>
                <c:pt idx="7">
                  <c:v>2065</c:v>
                </c:pt>
                <c:pt idx="8">
                  <c:v>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3-4EAE-A53C-E064C04B3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34496"/>
        <c:axId val="503236136"/>
      </c:barChart>
      <c:catAx>
        <c:axId val="5032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Sparsity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6136"/>
        <c:crosses val="autoZero"/>
        <c:auto val="1"/>
        <c:lblAlgn val="ctr"/>
        <c:lblOffset val="100"/>
        <c:noMultiLvlLbl val="0"/>
      </c:catAx>
      <c:valAx>
        <c:axId val="5032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Crossbar energy (uJ)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4496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sparcity!$B$4</c:f>
              <c:strCache>
                <c:ptCount val="1"/>
                <c:pt idx="0">
                  <c:v>ReRAM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sparcity!$A$27:$A$35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sparcity!$B$27:$B$35</c:f>
              <c:numCache>
                <c:formatCode>General</c:formatCode>
                <c:ptCount val="9"/>
                <c:pt idx="0">
                  <c:v>9619</c:v>
                </c:pt>
                <c:pt idx="1">
                  <c:v>8206</c:v>
                </c:pt>
                <c:pt idx="2">
                  <c:v>7001</c:v>
                </c:pt>
                <c:pt idx="3">
                  <c:v>5865</c:v>
                </c:pt>
                <c:pt idx="4">
                  <c:v>4711</c:v>
                </c:pt>
                <c:pt idx="5">
                  <c:v>3668</c:v>
                </c:pt>
                <c:pt idx="6">
                  <c:v>2701</c:v>
                </c:pt>
                <c:pt idx="7">
                  <c:v>1759</c:v>
                </c:pt>
                <c:pt idx="8">
                  <c:v>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0-44CE-AF20-05C3549AD47C}"/>
            </c:ext>
          </c:extLst>
        </c:ser>
        <c:ser>
          <c:idx val="2"/>
          <c:order val="1"/>
          <c:tx>
            <c:strRef>
              <c:f>sparcity!$C$4</c:f>
              <c:strCache>
                <c:ptCount val="1"/>
                <c:pt idx="0">
                  <c:v>PCM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sparcity!$A$27:$A$35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sparcity!$C$27:$C$35</c:f>
              <c:numCache>
                <c:formatCode>General</c:formatCode>
                <c:ptCount val="9"/>
                <c:pt idx="0">
                  <c:v>2371</c:v>
                </c:pt>
                <c:pt idx="1">
                  <c:v>2065</c:v>
                </c:pt>
                <c:pt idx="2">
                  <c:v>1763</c:v>
                </c:pt>
                <c:pt idx="3">
                  <c:v>1473</c:v>
                </c:pt>
                <c:pt idx="4">
                  <c:v>1191</c:v>
                </c:pt>
                <c:pt idx="5">
                  <c:v>1048</c:v>
                </c:pt>
                <c:pt idx="6">
                  <c:v>700</c:v>
                </c:pt>
                <c:pt idx="7">
                  <c:v>455</c:v>
                </c:pt>
                <c:pt idx="8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0-44CE-AF20-05C3549A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234496"/>
        <c:axId val="503236136"/>
      </c:barChart>
      <c:catAx>
        <c:axId val="50323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Sparsity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6136"/>
        <c:crosses val="autoZero"/>
        <c:auto val="1"/>
        <c:lblAlgn val="ctr"/>
        <c:lblOffset val="100"/>
        <c:noMultiLvlLbl val="0"/>
      </c:catAx>
      <c:valAx>
        <c:axId val="5032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Crossbar energy (uJ)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34496"/>
        <c:crosses val="autoZero"/>
        <c:crossBetween val="between"/>
        <c:majorUnit val="2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PCM (IBM)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(Sheet1!$F$1,Sheet1!$H$1,Sheet1!$J$1,Sheet1!$L$1)</c:f>
              <c:strCache>
                <c:ptCount val="4"/>
                <c:pt idx="0">
                  <c:v>crossbar and drivers </c:v>
                </c:pt>
                <c:pt idx="1">
                  <c:v>ADCs </c:v>
                </c:pt>
                <c:pt idx="2">
                  <c:v>SHs </c:v>
                </c:pt>
                <c:pt idx="3">
                  <c:v>Addition units </c:v>
                </c:pt>
              </c:strCache>
            </c:strRef>
          </c:cat>
          <c:val>
            <c:numRef>
              <c:f>(Sheet1!$G$6,Sheet1!$I$6,Sheet1!$K$6,Sheet1!$M$6)</c:f>
              <c:numCache>
                <c:formatCode>General</c:formatCode>
                <c:ptCount val="4"/>
                <c:pt idx="0">
                  <c:v>0.56439380577798159</c:v>
                </c:pt>
                <c:pt idx="1">
                  <c:v>0.38205119160355677</c:v>
                </c:pt>
                <c:pt idx="2">
                  <c:v>2.2304409055264463E-4</c:v>
                </c:pt>
                <c:pt idx="3">
                  <c:v>5.3331958527909E-2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8-4349-8BD1-093F8D59DFF7}"/>
            </c:ext>
          </c:extLst>
        </c:ser>
        <c:ser>
          <c:idx val="1"/>
          <c:order val="1"/>
          <c:tx>
            <c:strRef>
              <c:f>Sheet1!$T$11</c:f>
              <c:strCache>
                <c:ptCount val="1"/>
                <c:pt idx="0">
                  <c:v>ReRAM (Intel)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(Sheet1!$F$1,Sheet1!$H$1,Sheet1!$J$1,Sheet1!$L$1)</c:f>
              <c:strCache>
                <c:ptCount val="4"/>
                <c:pt idx="0">
                  <c:v>crossbar and drivers </c:v>
                </c:pt>
                <c:pt idx="1">
                  <c:v>ADCs </c:v>
                </c:pt>
                <c:pt idx="2">
                  <c:v>SHs </c:v>
                </c:pt>
                <c:pt idx="3">
                  <c:v>Addition units </c:v>
                </c:pt>
              </c:strCache>
            </c:strRef>
          </c:cat>
          <c:val>
            <c:numRef>
              <c:f>(Sheet1!$G$14,Sheet1!$I$14,Sheet1!$K$14,Sheet1!$M$14)</c:f>
              <c:numCache>
                <c:formatCode>General</c:formatCode>
                <c:ptCount val="4"/>
                <c:pt idx="0">
                  <c:v>0.95222876581927229</c:v>
                </c:pt>
                <c:pt idx="1">
                  <c:v>4.1898065696047981E-2</c:v>
                </c:pt>
                <c:pt idx="2">
                  <c:v>2.4460376421982559E-5</c:v>
                </c:pt>
                <c:pt idx="3">
                  <c:v>5.8487081082576982E-3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68-4349-8BD1-093F8D59DFF7}"/>
            </c:ext>
          </c:extLst>
        </c:ser>
        <c:ser>
          <c:idx val="2"/>
          <c:order val="2"/>
          <c:tx>
            <c:strRef>
              <c:f>Sheet1!$T$19</c:f>
              <c:strCache>
                <c:ptCount val="1"/>
                <c:pt idx="0">
                  <c:v>ReRAM (RWTH)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(Sheet1!$F$1,Sheet1!$H$1,Sheet1!$J$1,Sheet1!$L$1)</c:f>
              <c:strCache>
                <c:ptCount val="4"/>
                <c:pt idx="0">
                  <c:v>crossbar and drivers </c:v>
                </c:pt>
                <c:pt idx="1">
                  <c:v>ADCs </c:v>
                </c:pt>
                <c:pt idx="2">
                  <c:v>SHs </c:v>
                </c:pt>
                <c:pt idx="3">
                  <c:v>Addition units </c:v>
                </c:pt>
              </c:strCache>
            </c:strRef>
          </c:cat>
          <c:val>
            <c:numRef>
              <c:f>(Sheet1!$G$22,Sheet1!$I$22,Sheet1!$K$22,Sheet1!$M$22)</c:f>
              <c:numCache>
                <c:formatCode>General</c:formatCode>
                <c:ptCount val="4"/>
                <c:pt idx="0">
                  <c:v>0.91181887541972506</c:v>
                </c:pt>
                <c:pt idx="1">
                  <c:v>7.7339817866926078E-2</c:v>
                </c:pt>
                <c:pt idx="2">
                  <c:v>4.5151512987651444E-5</c:v>
                </c:pt>
                <c:pt idx="3">
                  <c:v>1.0796155200361212E-2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68-4349-8BD1-093F8D59D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14496"/>
        <c:axId val="552007280"/>
      </c:barChart>
      <c:catAx>
        <c:axId val="552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Tile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 components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7280"/>
        <c:crosses val="autoZero"/>
        <c:auto val="1"/>
        <c:lblAlgn val="ctr"/>
        <c:lblOffset val="100"/>
        <c:noMultiLvlLbl val="0"/>
      </c:catAx>
      <c:valAx>
        <c:axId val="55200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Contribution to the tile energy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44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16444123139337"/>
          <c:y val="0.11748050244833579"/>
          <c:w val="0.73626075783159928"/>
          <c:h val="0.72226192449513826"/>
        </c:manualLayout>
      </c:layout>
      <c:lineChart>
        <c:grouping val="standard"/>
        <c:varyColors val="0"/>
        <c:ser>
          <c:idx val="1"/>
          <c:order val="0"/>
          <c:tx>
            <c:strRef>
              <c:f>Sheet2!$B$8</c:f>
              <c:strCache>
                <c:ptCount val="1"/>
                <c:pt idx="0">
                  <c:v>pipeline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Sheet2!$E$2:$E$7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Sheet2!$D$2:$D$7</c:f>
              <c:numCache>
                <c:formatCode>General</c:formatCode>
                <c:ptCount val="6"/>
                <c:pt idx="0">
                  <c:v>1</c:v>
                </c:pt>
                <c:pt idx="1">
                  <c:v>1.2454100661078535</c:v>
                </c:pt>
                <c:pt idx="2">
                  <c:v>1.8044829554852444</c:v>
                </c:pt>
                <c:pt idx="3">
                  <c:v>11.33844126325225</c:v>
                </c:pt>
                <c:pt idx="4">
                  <c:v>112.99321847605124</c:v>
                </c:pt>
                <c:pt idx="5">
                  <c:v>1129.9267531386558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7B-4BB9-895B-463A935C4DEF}"/>
            </c:ext>
          </c:extLst>
        </c:ser>
        <c:ser>
          <c:idx val="2"/>
          <c:order val="1"/>
          <c:tx>
            <c:strRef>
              <c:f>Sheet2!$B$18</c:f>
              <c:strCache>
                <c:ptCount val="1"/>
                <c:pt idx="0">
                  <c:v>non-pipeline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Sheet2!$D$11:$D$16</c:f>
              <c:numCache>
                <c:formatCode>General</c:formatCode>
                <c:ptCount val="6"/>
                <c:pt idx="0">
                  <c:v>1.8459030738284397</c:v>
                </c:pt>
                <c:pt idx="1">
                  <c:v>2.1466164410605</c:v>
                </c:pt>
                <c:pt idx="2">
                  <c:v>2.7480485111060124</c:v>
                </c:pt>
                <c:pt idx="3">
                  <c:v>13.010345692318364</c:v>
                </c:pt>
                <c:pt idx="4">
                  <c:v>121.26763809818537</c:v>
                </c:pt>
                <c:pt idx="5">
                  <c:v>1202.8588151807962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7B-4BB9-895B-463A935C4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99024"/>
        <c:axId val="428393448"/>
      </c:lineChart>
      <c:catAx>
        <c:axId val="4283990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Clock 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3448"/>
        <c:crosses val="autoZero"/>
        <c:auto val="1"/>
        <c:lblAlgn val="ctr"/>
        <c:lblOffset val="100"/>
        <c:noMultiLvlLbl val="0"/>
      </c:catAx>
      <c:valAx>
        <c:axId val="428393448"/>
        <c:scaling>
          <c:logBase val="10"/>
          <c:orientation val="minMax"/>
          <c:max val="2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Normalized execution time</a:t>
                </a:r>
              </a:p>
            </c:rich>
          </c:tx>
          <c:layout>
            <c:manualLayout>
              <c:xMode val="edge"/>
              <c:yMode val="edge"/>
              <c:x val="2.7248443584636454E-2"/>
              <c:y val="0.17233449985418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performance improvement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Sheet2!$E$2:$E$7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Sheet2!$B$42:$G$42</c:f>
              <c:numCache>
                <c:formatCode>General</c:formatCode>
                <c:ptCount val="6"/>
                <c:pt idx="0">
                  <c:v>1.0328294661527222</c:v>
                </c:pt>
                <c:pt idx="1">
                  <c:v>1.0378348663872821</c:v>
                </c:pt>
                <c:pt idx="2">
                  <c:v>1.0450078775967644</c:v>
                </c:pt>
                <c:pt idx="3">
                  <c:v>1.0655499747539687</c:v>
                </c:pt>
                <c:pt idx="4">
                  <c:v>1.0722131172150895</c:v>
                </c:pt>
                <c:pt idx="5">
                  <c:v>1.0656791259875797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2-48C0-B614-A053ECCA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399024"/>
        <c:axId val="428393448"/>
      </c:barChart>
      <c:lineChart>
        <c:grouping val="standard"/>
        <c:varyColors val="0"/>
        <c:ser>
          <c:idx val="1"/>
          <c:order val="1"/>
          <c:tx>
            <c:strRef>
              <c:f>Sheet2!$B$8</c:f>
              <c:strCache>
                <c:ptCount val="1"/>
                <c:pt idx="0">
                  <c:v>pipeline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Sheet2!$E$27:$E$32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Sheet2!$D$27:$D$32</c:f>
              <c:numCache>
                <c:formatCode>General</c:formatCode>
                <c:ptCount val="6"/>
                <c:pt idx="0">
                  <c:v>1</c:v>
                </c:pt>
                <c:pt idx="1">
                  <c:v>1.1319905272970046</c:v>
                </c:pt>
                <c:pt idx="2">
                  <c:v>1.3959715818910134</c:v>
                </c:pt>
                <c:pt idx="3">
                  <c:v>5.897669614289673</c:v>
                </c:pt>
                <c:pt idx="4">
                  <c:v>53.534885244249615</c:v>
                </c:pt>
                <c:pt idx="5">
                  <c:v>533.52480790063737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2-48C0-B614-A053ECCAB53D}"/>
            </c:ext>
          </c:extLst>
        </c:ser>
        <c:ser>
          <c:idx val="2"/>
          <c:order val="2"/>
          <c:tx>
            <c:strRef>
              <c:f>Sheet2!$B$18</c:f>
              <c:strCache>
                <c:ptCount val="1"/>
                <c:pt idx="0">
                  <c:v>non-pipeline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Sheet2!$E$27:$E$32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Sheet2!$D$36:$D$41</c:f>
              <c:numCache>
                <c:formatCode>General</c:formatCode>
                <c:ptCount val="6"/>
                <c:pt idx="0">
                  <c:v>1</c:v>
                </c:pt>
                <c:pt idx="1">
                  <c:v>1.1374764916662805</c:v>
                </c:pt>
                <c:pt idx="2">
                  <c:v>1.4124319142552584</c:v>
                </c:pt>
                <c:pt idx="3">
                  <c:v>6.0845104778259396</c:v>
                </c:pt>
                <c:pt idx="4">
                  <c:v>55.57626701076444</c:v>
                </c:pt>
                <c:pt idx="5">
                  <c:v>550.49383234014942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2-48C0-B614-A053ECCA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93032"/>
        <c:axId val="611792376"/>
      </c:lineChart>
      <c:catAx>
        <c:axId val="4283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Clock 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3448"/>
        <c:crosses val="autoZero"/>
        <c:auto val="1"/>
        <c:lblAlgn val="ctr"/>
        <c:lblOffset val="100"/>
        <c:noMultiLvlLbl val="0"/>
      </c:catAx>
      <c:valAx>
        <c:axId val="42839344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performance improvement</a:t>
                </a:r>
              </a:p>
            </c:rich>
          </c:tx>
          <c:layout>
            <c:manualLayout>
              <c:xMode val="edge"/>
              <c:yMode val="edge"/>
              <c:x val="2.7248443584636454E-2"/>
              <c:y val="0.17233449985418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9024"/>
        <c:crosses val="autoZero"/>
        <c:crossBetween val="between"/>
        <c:majorUnit val="2.0000000000000004E-2"/>
      </c:valAx>
      <c:valAx>
        <c:axId val="611792376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Normalized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93032"/>
        <c:crosses val="max"/>
        <c:crossBetween val="between"/>
        <c:majorUnit val="200"/>
      </c:valAx>
      <c:catAx>
        <c:axId val="6117930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1179237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04182613368805"/>
          <c:y val="0.15076951790613799"/>
          <c:w val="0.74247572983688592"/>
          <c:h val="0.64356267741992668"/>
        </c:manualLayout>
      </c:layout>
      <c:lineChart>
        <c:grouping val="standard"/>
        <c:varyColors val="0"/>
        <c:ser>
          <c:idx val="1"/>
          <c:order val="0"/>
          <c:tx>
            <c:strRef>
              <c:f>Sheet2!$B$8</c:f>
              <c:strCache>
                <c:ptCount val="1"/>
                <c:pt idx="0">
                  <c:v>pipeline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Sheet2!$E$51:$E$56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Sheet2!$D$51:$D$56</c:f>
              <c:numCache>
                <c:formatCode>General</c:formatCode>
                <c:ptCount val="6"/>
                <c:pt idx="0">
                  <c:v>1</c:v>
                </c:pt>
                <c:pt idx="1">
                  <c:v>1.2895570232403901</c:v>
                </c:pt>
                <c:pt idx="2">
                  <c:v>1.8686710697211706</c:v>
                </c:pt>
                <c:pt idx="3">
                  <c:v>11.744394395777489</c:v>
                </c:pt>
                <c:pt idx="4">
                  <c:v>117.0431480918562</c:v>
                </c:pt>
                <c:pt idx="5">
                  <c:v>1170.431381435322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9-44CF-9FC1-5EC57AF9AFD4}"/>
            </c:ext>
          </c:extLst>
        </c:ser>
        <c:ser>
          <c:idx val="2"/>
          <c:order val="1"/>
          <c:tx>
            <c:strRef>
              <c:f>Sheet2!$B$18</c:f>
              <c:strCache>
                <c:ptCount val="1"/>
                <c:pt idx="0">
                  <c:v>non-pipeline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Sheet2!$E$51:$E$56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Sheet2!$D$60:$D$65</c:f>
              <c:numCache>
                <c:formatCode>General</c:formatCode>
                <c:ptCount val="6"/>
                <c:pt idx="0">
                  <c:v>1.1162074778235278</c:v>
                </c:pt>
                <c:pt idx="1">
                  <c:v>1.427700555448089</c:v>
                </c:pt>
                <c:pt idx="2">
                  <c:v>2.0506922375438692</c:v>
                </c:pt>
                <c:pt idx="3">
                  <c:v>12.680863293447922</c:v>
                </c:pt>
                <c:pt idx="4">
                  <c:v>124.73043910796694</c:v>
                </c:pt>
                <c:pt idx="5">
                  <c:v>1245.9778483985963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9-44CF-9FC1-5EC57AF9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99024"/>
        <c:axId val="428393448"/>
      </c:lineChart>
      <c:catAx>
        <c:axId val="4283990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Clock 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3448"/>
        <c:crosses val="autoZero"/>
        <c:auto val="1"/>
        <c:lblAlgn val="ctr"/>
        <c:lblOffset val="100"/>
        <c:noMultiLvlLbl val="0"/>
      </c:catAx>
      <c:valAx>
        <c:axId val="428393448"/>
        <c:scaling>
          <c:logBase val="10"/>
          <c:orientation val="minMax"/>
          <c:max val="2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Normalized execution time</a:t>
                </a:r>
              </a:p>
            </c:rich>
          </c:tx>
          <c:layout>
            <c:manualLayout>
              <c:xMode val="edge"/>
              <c:yMode val="edge"/>
              <c:x val="2.7248443584636454E-2"/>
              <c:y val="0.17233449985418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9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42189926570285"/>
          <c:y val="0.25063723402166493"/>
          <c:w val="0.75458698786533207"/>
          <c:h val="0.52339182809728191"/>
        </c:manualLayout>
      </c:layout>
      <c:lineChart>
        <c:grouping val="standard"/>
        <c:varyColors val="0"/>
        <c:ser>
          <c:idx val="0"/>
          <c:order val="0"/>
          <c:tx>
            <c:strRef>
              <c:f>Sheet3!$D$13</c:f>
              <c:strCache>
                <c:ptCount val="1"/>
                <c:pt idx="0">
                  <c:v>register 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Sheet3!$B$22:$B$27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Sheet3!$D$22:$D$27</c:f>
              <c:numCache>
                <c:formatCode>General</c:formatCode>
                <c:ptCount val="6"/>
                <c:pt idx="0">
                  <c:v>1.0043942247332079E-2</c:v>
                </c:pt>
                <c:pt idx="1">
                  <c:v>1.5984015984015984E-2</c:v>
                </c:pt>
                <c:pt idx="2">
                  <c:v>2.2695035460992909E-2</c:v>
                </c:pt>
                <c:pt idx="3">
                  <c:v>2.9574861367837338E-2</c:v>
                </c:pt>
                <c:pt idx="4">
                  <c:v>2.9772981019724601E-2</c:v>
                </c:pt>
                <c:pt idx="5">
                  <c:v>2.9792939073439596E-2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4D34-A4B7-E4129C657600}"/>
            </c:ext>
          </c:extLst>
        </c:ser>
        <c:ser>
          <c:idx val="1"/>
          <c:order val="1"/>
          <c:tx>
            <c:strRef>
              <c:f>Sheet3!$E$13</c:f>
              <c:strCache>
                <c:ptCount val="1"/>
                <c:pt idx="0">
                  <c:v>crossbar stage</c:v>
                </c:pt>
              </c:strCache>
            </c:strRef>
          </c:tx>
          <c:spPr>
            <a:ln w="28575" cap="rnd">
              <a:solidFill>
                <a:srgbClr val="909090"/>
              </a:solidFill>
              <a:round/>
            </a:ln>
            <a:effectLst/>
          </c:spPr>
          <c:marker>
            <c:symbol val="none"/>
          </c:marker>
          <c:cat>
            <c:numRef>
              <c:f>Sheet3!$B$22:$B$27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Sheet3!$E$22:$E$27</c:f>
              <c:numCache>
                <c:formatCode>General</c:formatCode>
                <c:ptCount val="6"/>
                <c:pt idx="0">
                  <c:v>0.10546139359698682</c:v>
                </c:pt>
                <c:pt idx="1">
                  <c:v>8.7912087912087919E-2</c:v>
                </c:pt>
                <c:pt idx="2">
                  <c:v>6.8085106382978725E-2</c:v>
                </c:pt>
                <c:pt idx="3">
                  <c:v>2.2181146025878003E-2</c:v>
                </c:pt>
                <c:pt idx="4">
                  <c:v>1.5630815035355416E-2</c:v>
                </c:pt>
                <c:pt idx="5">
                  <c:v>1.4970951884403396E-2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C-4D34-A4B7-E4129C657600}"/>
            </c:ext>
          </c:extLst>
        </c:ser>
        <c:ser>
          <c:idx val="2"/>
          <c:order val="2"/>
          <c:tx>
            <c:strRef>
              <c:f>Sheet3!$F$12</c:f>
              <c:strCache>
                <c:ptCount val="1"/>
                <c:pt idx="0">
                  <c:v>read 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Sheet3!$B$22:$B$27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Sheet3!$G$22:$G$27</c:f>
              <c:numCache>
                <c:formatCode>General</c:formatCode>
                <c:ptCount val="6"/>
                <c:pt idx="0">
                  <c:v>0.88386691776522286</c:v>
                </c:pt>
                <c:pt idx="1">
                  <c:v>0.8951048951048951</c:v>
                </c:pt>
                <c:pt idx="2">
                  <c:v>0.90780141843971629</c:v>
                </c:pt>
                <c:pt idx="3">
                  <c:v>0.94639556377079481</c:v>
                </c:pt>
                <c:pt idx="4">
                  <c:v>0.95273539263118723</c:v>
                </c:pt>
                <c:pt idx="5">
                  <c:v>0.95337405035006706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EC-4D34-A4B7-E4129C657600}"/>
            </c:ext>
          </c:extLst>
        </c:ser>
        <c:ser>
          <c:idx val="3"/>
          <c:order val="3"/>
          <c:tx>
            <c:strRef>
              <c:f>Sheet3!$I$12</c:f>
              <c:strCache>
                <c:ptCount val="1"/>
                <c:pt idx="0">
                  <c:v>addition stage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Sheet3!$B$22:$B$27</c:f>
              <c:numCache>
                <c:formatCode>General</c:formatCode>
                <c:ptCount val="6"/>
                <c:pt idx="0">
                  <c:v>4000</c:v>
                </c:pt>
                <c:pt idx="1">
                  <c:v>2000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</c:numCache>
            </c:numRef>
          </c:cat>
          <c:val>
            <c:numRef>
              <c:f>Sheet3!$I$22:$I$27</c:f>
              <c:numCache>
                <c:formatCode>General</c:formatCode>
                <c:ptCount val="6"/>
                <c:pt idx="0">
                  <c:v>6.2774639045825491E-4</c:v>
                </c:pt>
                <c:pt idx="1">
                  <c:v>9.99000999000999E-4</c:v>
                </c:pt>
                <c:pt idx="2">
                  <c:v>1.4184397163120568E-3</c:v>
                </c:pt>
                <c:pt idx="3">
                  <c:v>1.8484288354898336E-3</c:v>
                </c:pt>
                <c:pt idx="4">
                  <c:v>1.8608113137327876E-3</c:v>
                </c:pt>
                <c:pt idx="5">
                  <c:v>1.8620586920899747E-3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EC-4D34-A4B7-E4129C65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37712"/>
        <c:axId val="537238040"/>
      </c:lineChart>
      <c:catAx>
        <c:axId val="53723771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Clock frequency 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8040"/>
        <c:crosses val="autoZero"/>
        <c:auto val="1"/>
        <c:lblAlgn val="ctr"/>
        <c:lblOffset val="100"/>
        <c:noMultiLvlLbl val="0"/>
      </c:catAx>
      <c:valAx>
        <c:axId val="537238040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Contribution to the latency</a:t>
                </a:r>
              </a:p>
            </c:rich>
          </c:tx>
          <c:layout>
            <c:manualLayout>
              <c:xMode val="edge"/>
              <c:yMode val="edge"/>
              <c:x val="8.2047692037469245E-3"/>
              <c:y val="0.19342742344275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7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Sheet3!$D$53</c:f>
              <c:strCache>
                <c:ptCount val="1"/>
                <c:pt idx="0">
                  <c:v>register stage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Sheet3!$C$62:$C$66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Sheet3!$D$62:$D$66</c:f>
              <c:numCache>
                <c:formatCode>General</c:formatCode>
                <c:ptCount val="5"/>
                <c:pt idx="0">
                  <c:v>1.1895910780669145E-2</c:v>
                </c:pt>
                <c:pt idx="1">
                  <c:v>2.2695035460992909E-2</c:v>
                </c:pt>
                <c:pt idx="2">
                  <c:v>4.1558441558441558E-2</c:v>
                </c:pt>
                <c:pt idx="3">
                  <c:v>7.1111111111111111E-2</c:v>
                </c:pt>
                <c:pt idx="4">
                  <c:v>0.10666666666666667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3-4E6B-ADE7-94D1C457E5B4}"/>
            </c:ext>
          </c:extLst>
        </c:ser>
        <c:ser>
          <c:idx val="1"/>
          <c:order val="1"/>
          <c:tx>
            <c:strRef>
              <c:f>Sheet3!$E$53</c:f>
              <c:strCache>
                <c:ptCount val="1"/>
                <c:pt idx="0">
                  <c:v>crossbar stage</c:v>
                </c:pt>
              </c:strCache>
            </c:strRef>
          </c:tx>
          <c:spPr>
            <a:ln w="28575" cap="rnd">
              <a:solidFill>
                <a:srgbClr val="909090"/>
              </a:solidFill>
              <a:round/>
            </a:ln>
            <a:effectLst/>
          </c:spPr>
          <c:marker>
            <c:symbol val="none"/>
          </c:marker>
          <c:cat>
            <c:numRef>
              <c:f>Sheet3!$C$62:$C$66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Sheet3!$E$62:$E$66</c:f>
              <c:numCache>
                <c:formatCode>General</c:formatCode>
                <c:ptCount val="5"/>
                <c:pt idx="0">
                  <c:v>3.5687732342007436E-2</c:v>
                </c:pt>
                <c:pt idx="1">
                  <c:v>6.8085106382978725E-2</c:v>
                </c:pt>
                <c:pt idx="2">
                  <c:v>0.12467532467532468</c:v>
                </c:pt>
                <c:pt idx="3">
                  <c:v>0.21333333333333335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3-4E6B-ADE7-94D1C457E5B4}"/>
            </c:ext>
          </c:extLst>
        </c:ser>
        <c:ser>
          <c:idx val="2"/>
          <c:order val="2"/>
          <c:tx>
            <c:strRef>
              <c:f>Sheet3!$F$52</c:f>
              <c:strCache>
                <c:ptCount val="1"/>
                <c:pt idx="0">
                  <c:v>read stage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Sheet3!$C$62:$C$66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Sheet3!$G$62:$G$66</c:f>
              <c:numCache>
                <c:formatCode>General</c:formatCode>
                <c:ptCount val="5"/>
                <c:pt idx="0">
                  <c:v>0.95167286245353155</c:v>
                </c:pt>
                <c:pt idx="1">
                  <c:v>0.90780141843971629</c:v>
                </c:pt>
                <c:pt idx="2">
                  <c:v>0.83116883116883122</c:v>
                </c:pt>
                <c:pt idx="3">
                  <c:v>0.71111111111111114</c:v>
                </c:pt>
                <c:pt idx="4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3-4E6B-ADE7-94D1C457E5B4}"/>
            </c:ext>
          </c:extLst>
        </c:ser>
        <c:ser>
          <c:idx val="3"/>
          <c:order val="3"/>
          <c:tx>
            <c:strRef>
              <c:f>Sheet3!$I$52</c:f>
              <c:strCache>
                <c:ptCount val="1"/>
                <c:pt idx="0">
                  <c:v>addition stage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Sheet3!$C$62:$C$66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</c:numCache>
            </c:numRef>
          </c:cat>
          <c:val>
            <c:numRef>
              <c:f>Sheet3!$I$62:$I$66</c:f>
              <c:numCache>
                <c:formatCode>General</c:formatCode>
                <c:ptCount val="5"/>
                <c:pt idx="0">
                  <c:v>7.4349442379182155E-4</c:v>
                </c:pt>
                <c:pt idx="1">
                  <c:v>1.4184397163120568E-3</c:v>
                </c:pt>
                <c:pt idx="2">
                  <c:v>2.5974025974025974E-3</c:v>
                </c:pt>
                <c:pt idx="3">
                  <c:v>4.4444444444444444E-3</c:v>
                </c:pt>
                <c:pt idx="4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3-4E6B-ADE7-94D1C457E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237712"/>
        <c:axId val="537238040"/>
      </c:lineChart>
      <c:catAx>
        <c:axId val="53723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Number of ADC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8040"/>
        <c:crosses val="autoZero"/>
        <c:auto val="1"/>
        <c:lblAlgn val="ctr"/>
        <c:lblOffset val="100"/>
        <c:noMultiLvlLbl val="0"/>
      </c:catAx>
      <c:valAx>
        <c:axId val="537238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Contribution to the latency</a:t>
                </a:r>
              </a:p>
            </c:rich>
          </c:tx>
          <c:layout>
            <c:manualLayout>
              <c:xMode val="edge"/>
              <c:yMode val="edge"/>
              <c:x val="4.3435327067701902E-2"/>
              <c:y val="0.18956855620261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5932971572668"/>
          <c:y val="0.20790421361286779"/>
          <c:w val="0.70567455153478431"/>
          <c:h val="0.6096192450622504"/>
        </c:manualLayout>
      </c:layout>
      <c:lineChart>
        <c:grouping val="standard"/>
        <c:varyColors val="0"/>
        <c:ser>
          <c:idx val="0"/>
          <c:order val="0"/>
          <c:tx>
            <c:strRef>
              <c:f>Sheet5!$C$10</c:f>
              <c:strCache>
                <c:ptCount val="1"/>
                <c:pt idx="0">
                  <c:v>Execution time PCM/ReRAM</c:v>
                </c:pt>
              </c:strCache>
            </c:strRef>
          </c:tx>
          <c:spPr>
            <a:ln w="28575" cap="rnd">
              <a:solidFill>
                <a:srgbClr val="C20EE0"/>
              </a:solidFill>
              <a:round/>
            </a:ln>
            <a:effectLst/>
          </c:spPr>
          <c:marker>
            <c:symbol val="none"/>
          </c:marker>
          <c:cat>
            <c:numRef>
              <c:f>Sheet5!$N$3:$N$8</c:f>
              <c:numCache>
                <c:formatCode>General</c:formatCode>
                <c:ptCount val="6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  <c:pt idx="5">
                  <c:v>2</c:v>
                </c:pt>
              </c:numCache>
            </c:numRef>
          </c:cat>
          <c:val>
            <c:numRef>
              <c:f>Sheet5!$C$3:$C$8</c:f>
              <c:numCache>
                <c:formatCode>General</c:formatCode>
                <c:ptCount val="6"/>
                <c:pt idx="0">
                  <c:v>75319</c:v>
                </c:pt>
                <c:pt idx="1">
                  <c:v>116272</c:v>
                </c:pt>
                <c:pt idx="2">
                  <c:v>198192</c:v>
                </c:pt>
                <c:pt idx="3">
                  <c:v>362032</c:v>
                </c:pt>
                <c:pt idx="4">
                  <c:v>689712</c:v>
                </c:pt>
                <c:pt idx="5">
                  <c:v>1345072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1-434F-A092-EB9CE0CD0A26}"/>
            </c:ext>
          </c:extLst>
        </c:ser>
        <c:ser>
          <c:idx val="1"/>
          <c:order val="1"/>
          <c:tx>
            <c:strRef>
              <c:f>Sheet5!$T$23</c:f>
              <c:strCache>
                <c:ptCount val="1"/>
                <c:pt idx="0">
                  <c:v>Execution time STT-RAM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Sheet5!$C$23:$C$28</c:f>
              <c:numCache>
                <c:formatCode>General</c:formatCode>
                <c:ptCount val="6"/>
                <c:pt idx="0">
                  <c:v>65079</c:v>
                </c:pt>
                <c:pt idx="1">
                  <c:v>106032</c:v>
                </c:pt>
                <c:pt idx="2">
                  <c:v>187952</c:v>
                </c:pt>
                <c:pt idx="3">
                  <c:v>351792</c:v>
                </c:pt>
                <c:pt idx="4">
                  <c:v>679472</c:v>
                </c:pt>
                <c:pt idx="5">
                  <c:v>1334832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1-434F-A092-EB9CE0CD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53544"/>
        <c:axId val="530751248"/>
      </c:lineChart>
      <c:lineChart>
        <c:grouping val="standard"/>
        <c:varyColors val="0"/>
        <c:ser>
          <c:idx val="2"/>
          <c:order val="2"/>
          <c:tx>
            <c:strRef>
              <c:f>Sheet5!$E$2</c:f>
              <c:strCache>
                <c:ptCount val="1"/>
                <c:pt idx="0">
                  <c:v>Energy (PCM)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Sheet5!$E$3:$E$8</c:f>
              <c:numCache>
                <c:formatCode>General</c:formatCode>
                <c:ptCount val="6"/>
                <c:pt idx="0">
                  <c:v>4218973</c:v>
                </c:pt>
                <c:pt idx="1">
                  <c:v>4239226</c:v>
                </c:pt>
                <c:pt idx="2">
                  <c:v>4218973</c:v>
                </c:pt>
                <c:pt idx="3">
                  <c:v>4241374</c:v>
                </c:pt>
                <c:pt idx="4">
                  <c:v>4225474</c:v>
                </c:pt>
                <c:pt idx="5">
                  <c:v>4238292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D1-434F-A092-EB9CE0CD0A26}"/>
            </c:ext>
          </c:extLst>
        </c:ser>
        <c:ser>
          <c:idx val="3"/>
          <c:order val="3"/>
          <c:tx>
            <c:strRef>
              <c:f>Sheet5!$E$12</c:f>
              <c:strCache>
                <c:ptCount val="1"/>
                <c:pt idx="0">
                  <c:v>Energy (ReRAM)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Sheet5!$E$13:$E$18</c:f>
              <c:numCache>
                <c:formatCode>General</c:formatCode>
                <c:ptCount val="6"/>
                <c:pt idx="0">
                  <c:v>5422039</c:v>
                </c:pt>
                <c:pt idx="1">
                  <c:v>5422039</c:v>
                </c:pt>
                <c:pt idx="2">
                  <c:v>5422039</c:v>
                </c:pt>
                <c:pt idx="3">
                  <c:v>5422039</c:v>
                </c:pt>
                <c:pt idx="4">
                  <c:v>5422039</c:v>
                </c:pt>
                <c:pt idx="5">
                  <c:v>5422039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D1-434F-A092-EB9CE0CD0A26}"/>
            </c:ext>
          </c:extLst>
        </c:ser>
        <c:ser>
          <c:idx val="4"/>
          <c:order val="4"/>
          <c:tx>
            <c:strRef>
              <c:f>Sheet5!$E$22</c:f>
              <c:strCache>
                <c:ptCount val="1"/>
                <c:pt idx="0">
                  <c:v>Energy (STT-RAM)</c:v>
                </c:pt>
              </c:strCache>
            </c:strRef>
          </c:tx>
          <c:spPr>
            <a:ln w="28575" cap="rnd">
              <a:solidFill>
                <a:srgbClr val="90909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Sheet5!$E$23:$E$28</c:f>
              <c:numCache>
                <c:formatCode>General</c:formatCode>
                <c:ptCount val="6"/>
                <c:pt idx="0">
                  <c:v>84282715</c:v>
                </c:pt>
                <c:pt idx="1">
                  <c:v>84355252</c:v>
                </c:pt>
                <c:pt idx="2">
                  <c:v>84141656</c:v>
                </c:pt>
                <c:pt idx="3">
                  <c:v>84129942</c:v>
                </c:pt>
                <c:pt idx="4">
                  <c:v>84385204</c:v>
                </c:pt>
                <c:pt idx="5">
                  <c:v>84229052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D1-434F-A092-EB9CE0CD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098488"/>
        <c:axId val="461105048"/>
      </c:lineChart>
      <c:catAx>
        <c:axId val="5307535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ADCs</a:t>
                </a:r>
              </a:p>
            </c:rich>
          </c:tx>
          <c:layout>
            <c:manualLayout>
              <c:xMode val="edge"/>
              <c:yMode val="edge"/>
              <c:x val="0.42793134731813892"/>
              <c:y val="0.90740918816987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1248"/>
        <c:crosses val="autoZero"/>
        <c:auto val="1"/>
        <c:lblAlgn val="ctr"/>
        <c:lblOffset val="100"/>
        <c:noMultiLvlLbl val="0"/>
      </c:catAx>
      <c:valAx>
        <c:axId val="530751248"/>
        <c:scaling>
          <c:orientation val="minMax"/>
          <c:max val="140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Execution time  (ms)</a:t>
                </a:r>
              </a:p>
            </c:rich>
          </c:tx>
          <c:layout>
            <c:manualLayout>
              <c:xMode val="edge"/>
              <c:yMode val="edge"/>
              <c:x val="2.2844833547708943E-2"/>
              <c:y val="0.27030785001333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bg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53544"/>
        <c:crosses val="autoZero"/>
        <c:crossBetween val="between"/>
        <c:majorUnit val="300000"/>
        <c:dispUnits>
          <c:builtInUnit val="millions"/>
        </c:dispUnits>
      </c:valAx>
      <c:valAx>
        <c:axId val="461105048"/>
        <c:scaling>
          <c:orientation val="minMax"/>
          <c:max val="9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Total energy (uj)</a:t>
                </a:r>
              </a:p>
            </c:rich>
          </c:tx>
          <c:layout>
            <c:manualLayout>
              <c:xMode val="edge"/>
              <c:yMode val="edge"/>
              <c:x val="0.9276659912350973"/>
              <c:y val="0.351249621404667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98488"/>
        <c:crosses val="max"/>
        <c:crossBetween val="between"/>
        <c:majorUnit val="20000000"/>
        <c:dispUnits>
          <c:builtInUnit val="millions"/>
        </c:dispUnits>
      </c:valAx>
      <c:catAx>
        <c:axId val="461098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61105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0984583485879373E-2"/>
          <c:y val="4.1515215563544407E-2"/>
          <c:w val="0.88786466558484856"/>
          <c:h val="0.14185690855160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Sheet5!$T$3</c:f>
              <c:strCache>
                <c:ptCount val="1"/>
                <c:pt idx="0">
                  <c:v>PCM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(Sheet5!$F$21,Sheet5!$H$21,Sheet5!$J$21,Sheet5!$L$21)</c:f>
              <c:strCache>
                <c:ptCount val="4"/>
                <c:pt idx="0">
                  <c:v>crossbar and drivers </c:v>
                </c:pt>
                <c:pt idx="1">
                  <c:v>ADCs </c:v>
                </c:pt>
                <c:pt idx="2">
                  <c:v>S&amp;Hs </c:v>
                </c:pt>
                <c:pt idx="3">
                  <c:v>Addition unit </c:v>
                </c:pt>
              </c:strCache>
            </c:strRef>
          </c:cat>
          <c:val>
            <c:numRef>
              <c:f>(Sheet5!$G$3,Sheet5!$I$3,Sheet5!$K$3,Sheet5!$M$3)</c:f>
              <c:numCache>
                <c:formatCode>General</c:formatCode>
                <c:ptCount val="4"/>
                <c:pt idx="0">
                  <c:v>0.62843018905311787</c:v>
                </c:pt>
                <c:pt idx="1">
                  <c:v>0.32479800178858692</c:v>
                </c:pt>
                <c:pt idx="2">
                  <c:v>1.2135654814572172E-4</c:v>
                </c:pt>
                <c:pt idx="3">
                  <c:v>1.9017187358155645E-2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E-421F-9856-12180F9CD26B}"/>
            </c:ext>
          </c:extLst>
        </c:ser>
        <c:ser>
          <c:idx val="1"/>
          <c:order val="1"/>
          <c:tx>
            <c:strRef>
              <c:f>Sheet5!$T$13</c:f>
              <c:strCache>
                <c:ptCount val="1"/>
                <c:pt idx="0">
                  <c:v>ReRAM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(Sheet5!$F$21,Sheet5!$H$21,Sheet5!$J$21,Sheet5!$L$21)</c:f>
              <c:strCache>
                <c:ptCount val="4"/>
                <c:pt idx="0">
                  <c:v>crossbar and drivers </c:v>
                </c:pt>
                <c:pt idx="1">
                  <c:v>ADCs </c:v>
                </c:pt>
                <c:pt idx="2">
                  <c:v>S&amp;Hs </c:v>
                </c:pt>
                <c:pt idx="3">
                  <c:v>Addition unit </c:v>
                </c:pt>
              </c:strCache>
            </c:strRef>
          </c:cat>
          <c:val>
            <c:numRef>
              <c:f>(Sheet5!$G$13,Sheet5!$I$13,Sheet5!$K$13,Sheet5!$M$13)</c:f>
              <c:numCache>
                <c:formatCode>General</c:formatCode>
                <c:ptCount val="4"/>
                <c:pt idx="0">
                  <c:v>0.74245297756065565</c:v>
                </c:pt>
                <c:pt idx="1">
                  <c:v>0.25273038427056682</c:v>
                </c:pt>
                <c:pt idx="2">
                  <c:v>9.4429420371192459E-5</c:v>
                </c:pt>
                <c:pt idx="3">
                  <c:v>1.4797569696566181E-2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E-421F-9856-12180F9CD26B}"/>
            </c:ext>
          </c:extLst>
        </c:ser>
        <c:ser>
          <c:idx val="2"/>
          <c:order val="2"/>
          <c:tx>
            <c:strRef>
              <c:f>Sheet5!$T$24</c:f>
              <c:strCache>
                <c:ptCount val="1"/>
                <c:pt idx="0">
                  <c:v>STT-RAM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(Sheet5!$F$21,Sheet5!$H$21,Sheet5!$J$21,Sheet5!$L$21)</c:f>
              <c:strCache>
                <c:ptCount val="4"/>
                <c:pt idx="0">
                  <c:v>crossbar and drivers </c:v>
                </c:pt>
                <c:pt idx="1">
                  <c:v>ADCs </c:v>
                </c:pt>
                <c:pt idx="2">
                  <c:v>S&amp;Hs </c:v>
                </c:pt>
                <c:pt idx="3">
                  <c:v>Addition unit </c:v>
                </c:pt>
              </c:strCache>
            </c:strRef>
          </c:cat>
          <c:val>
            <c:numRef>
              <c:f>(Sheet5!$G$23,Sheet5!$I$23,Sheet5!$K$23,Sheet5!$M$23)</c:f>
              <c:numCache>
                <c:formatCode>General</c:formatCode>
                <c:ptCount val="4"/>
                <c:pt idx="0">
                  <c:v>0.97294072693315592</c:v>
                </c:pt>
                <c:pt idx="1">
                  <c:v>1.6258541267921898E-2</c:v>
                </c:pt>
                <c:pt idx="2">
                  <c:v>6.0747924411310197E-6</c:v>
                </c:pt>
                <c:pt idx="3">
                  <c:v>9.5195082408059588E-4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E-421F-9856-12180F9C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014496"/>
        <c:axId val="552007280"/>
      </c:barChart>
      <c:catAx>
        <c:axId val="55201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Tile</a:t>
                </a:r>
                <a:r>
                  <a:rPr lang="en-US" sz="1200" b="0" baseline="0">
                    <a:solidFill>
                      <a:schemeClr val="tx1"/>
                    </a:solidFill>
                  </a:rPr>
                  <a:t> components</a:t>
                </a:r>
                <a:endParaRPr lang="en-US" sz="1200" b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07280"/>
        <c:crosses val="autoZero"/>
        <c:auto val="1"/>
        <c:lblAlgn val="ctr"/>
        <c:lblOffset val="100"/>
        <c:noMultiLvlLbl val="0"/>
      </c:catAx>
      <c:valAx>
        <c:axId val="55200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Contribution to the tile energy </a:t>
                </a:r>
              </a:p>
            </c:rich>
          </c:tx>
          <c:layout>
            <c:manualLayout>
              <c:xMode val="edge"/>
              <c:yMode val="edge"/>
              <c:x val="2.8938116138996588E-2"/>
              <c:y val="0.10729343056799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144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1187824</xdr:colOff>
      <xdr:row>25</xdr:row>
      <xdr:rowOff>110379</xdr:rowOff>
    </xdr:from>
    <xdr:to>
      <xdr:col>6</xdr:col>
      <xdr:colOff>549087</xdr:colOff>
      <xdr:row>38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151277</xdr:colOff>
      <xdr:row>25</xdr:row>
      <xdr:rowOff>96369</xdr:rowOff>
    </xdr:from>
    <xdr:to>
      <xdr:col>11</xdr:col>
      <xdr:colOff>324970</xdr:colOff>
      <xdr:row>42</xdr:row>
      <xdr:rowOff>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539748</xdr:colOff>
      <xdr:row>27</xdr:row>
      <xdr:rowOff>159605</xdr:rowOff>
    </xdr:from>
    <xdr:to>
      <xdr:col>9</xdr:col>
      <xdr:colOff>688306</xdr:colOff>
      <xdr:row>43</xdr:row>
      <xdr:rowOff>23412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2</xdr:row>
      <xdr:rowOff>133350</xdr:rowOff>
    </xdr:from>
    <xdr:to>
      <xdr:col>13</xdr:col>
      <xdr:colOff>523876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19</xdr:row>
      <xdr:rowOff>28575</xdr:rowOff>
    </xdr:from>
    <xdr:to>
      <xdr:col>13</xdr:col>
      <xdr:colOff>466726</xdr:colOff>
      <xdr:row>34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1509059</xdr:colOff>
      <xdr:row>0</xdr:row>
      <xdr:rowOff>47812</xdr:rowOff>
    </xdr:from>
    <xdr:to>
      <xdr:col>9</xdr:col>
      <xdr:colOff>283703</xdr:colOff>
      <xdr:row>15</xdr:row>
      <xdr:rowOff>41087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750794</xdr:colOff>
      <xdr:row>23</xdr:row>
      <xdr:rowOff>82176</xdr:rowOff>
    </xdr:from>
    <xdr:to>
      <xdr:col>8</xdr:col>
      <xdr:colOff>926353</xdr:colOff>
      <xdr:row>39</xdr:row>
      <xdr:rowOff>23905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422089</xdr:colOff>
      <xdr:row>49</xdr:row>
      <xdr:rowOff>134469</xdr:rowOff>
    </xdr:from>
    <xdr:to>
      <xdr:col>10</xdr:col>
      <xdr:colOff>1090706</xdr:colOff>
      <xdr:row>65</xdr:row>
      <xdr:rowOff>76198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60324</xdr:colOff>
      <xdr:row>28</xdr:row>
      <xdr:rowOff>6349</xdr:rowOff>
    </xdr:from>
    <xdr:to>
      <xdr:col>7</xdr:col>
      <xdr:colOff>447675</xdr:colOff>
      <xdr:row>41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7</xdr:col>
      <xdr:colOff>349251</xdr:colOff>
      <xdr:row>82</xdr:row>
      <xdr:rowOff>19051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1040933</xdr:colOff>
      <xdr:row>28</xdr:row>
      <xdr:rowOff>176578</xdr:rowOff>
    </xdr:from>
    <xdr:to>
      <xdr:col>5</xdr:col>
      <xdr:colOff>361790</xdr:colOff>
      <xdr:row>47</xdr:row>
      <xdr:rowOff>36383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477762</xdr:colOff>
      <xdr:row>29</xdr:row>
      <xdr:rowOff>100194</xdr:rowOff>
    </xdr:from>
    <xdr:to>
      <xdr:col>11</xdr:col>
      <xdr:colOff>371930</xdr:colOff>
      <xdr:row>46</xdr:row>
      <xdr:rowOff>99784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251987</xdr:colOff>
      <xdr:row>18</xdr:row>
      <xdr:rowOff>88194</xdr:rowOff>
    </xdr:from>
    <xdr:to>
      <xdr:col>4</xdr:col>
      <xdr:colOff>1579941</xdr:colOff>
      <xdr:row>35</xdr:row>
      <xdr:rowOff>88312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263257</xdr:colOff>
      <xdr:row>26</xdr:row>
      <xdr:rowOff>20351</xdr:rowOff>
    </xdr:from>
    <xdr:to>
      <xdr:col>7</xdr:col>
      <xdr:colOff>98157</xdr:colOff>
      <xdr:row>41</xdr:row>
      <xdr:rowOff>37118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1047748</xdr:colOff>
      <xdr:row>28</xdr:row>
      <xdr:rowOff>2722</xdr:rowOff>
    </xdr:from>
    <xdr:to>
      <xdr:col>9</xdr:col>
      <xdr:colOff>1196306</xdr:colOff>
      <xdr:row>43</xdr:row>
      <xdr:rowOff>53294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1122844</xdr:colOff>
      <xdr:row>18</xdr:row>
      <xdr:rowOff>160765</xdr:rowOff>
    </xdr:from>
    <xdr:to>
      <xdr:col>5</xdr:col>
      <xdr:colOff>709083</xdr:colOff>
      <xdr:row>35</xdr:row>
      <xdr:rowOff>160883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786703</xdr:colOff>
      <xdr:row>25</xdr:row>
      <xdr:rowOff>97581</xdr:rowOff>
    </xdr:from>
    <xdr:to>
      <xdr:col>7</xdr:col>
      <xdr:colOff>621603</xdr:colOff>
      <xdr:row>40</xdr:row>
      <xdr:rowOff>114348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83" zoomScaleNormal="83" workbookViewId="0">
      <selection activeCell="B3" sqref="B3"/>
    </sheetView>
  </sheetViews>
  <sheetFormatPr defaultColWidth="9.140625" defaultRowHeight="15" x14ac:dyDescent="0.25"/>
  <cols>
    <col min="1" max="1" width="20.85546875" style="1" customWidth="1"/>
    <col min="2" max="2" width="11.42578125" style="1" customWidth="1"/>
    <col min="3" max="3" width="11.140625" style="1" customWidth="1"/>
    <col min="4" max="4" width="19.5703125" style="1" customWidth="1"/>
    <col min="5" max="5" width="11" style="1" customWidth="1"/>
    <col min="6" max="6" width="13" style="1" customWidth="1"/>
    <col min="7" max="7" width="22.7109375" style="1" customWidth="1"/>
    <col min="8" max="8" width="24" style="1" customWidth="1"/>
    <col min="9" max="9" width="10.140625" style="1" customWidth="1"/>
    <col min="10" max="13" width="9.140625" style="1"/>
    <col min="14" max="14" width="9.28515625" style="1" customWidth="1"/>
    <col min="15" max="16384" width="9.140625" style="1"/>
  </cols>
  <sheetData>
    <row r="1" spans="1:14" x14ac:dyDescent="0.25">
      <c r="A1" s="3"/>
      <c r="B1" s="3" t="s">
        <v>30</v>
      </c>
      <c r="C1" s="3" t="s">
        <v>31</v>
      </c>
      <c r="D1" s="3" t="s">
        <v>32</v>
      </c>
      <c r="E1" s="3" t="s">
        <v>38</v>
      </c>
      <c r="G1" s="4" t="s">
        <v>43</v>
      </c>
      <c r="H1" s="4" t="s">
        <v>57</v>
      </c>
    </row>
    <row r="2" spans="1:14" x14ac:dyDescent="0.25">
      <c r="A2" s="3"/>
      <c r="B2" s="3"/>
      <c r="C2" s="3"/>
      <c r="D2" s="3"/>
      <c r="E2" s="3"/>
      <c r="G2" s="4" t="s">
        <v>44</v>
      </c>
      <c r="H2" s="4" t="s">
        <v>57</v>
      </c>
    </row>
    <row r="3" spans="1:14" x14ac:dyDescent="0.25">
      <c r="A3" s="3" t="s">
        <v>26</v>
      </c>
      <c r="B3" s="3">
        <v>10</v>
      </c>
      <c r="C3" s="3">
        <v>10</v>
      </c>
      <c r="D3" s="3">
        <v>5</v>
      </c>
      <c r="E3" s="3">
        <v>2</v>
      </c>
    </row>
    <row r="4" spans="1:14" x14ac:dyDescent="0.25">
      <c r="A4" s="3" t="s">
        <v>27</v>
      </c>
      <c r="B4" s="3">
        <v>100</v>
      </c>
      <c r="C4" s="3">
        <v>100</v>
      </c>
      <c r="D4" s="3">
        <v>1000</v>
      </c>
      <c r="E4" s="3">
        <v>10</v>
      </c>
      <c r="G4" s="2" t="s">
        <v>42</v>
      </c>
      <c r="H4" s="2">
        <v>8</v>
      </c>
      <c r="I4" s="2">
        <v>7</v>
      </c>
      <c r="J4" s="2">
        <v>6</v>
      </c>
      <c r="K4" s="2">
        <v>5</v>
      </c>
      <c r="L4" s="2">
        <v>4</v>
      </c>
      <c r="M4" s="2">
        <v>3</v>
      </c>
      <c r="N4" s="2">
        <v>2</v>
      </c>
    </row>
    <row r="5" spans="1:14" x14ac:dyDescent="0.25">
      <c r="A5" s="3"/>
      <c r="B5" s="3"/>
      <c r="C5" s="3"/>
      <c r="D5" s="3"/>
      <c r="E5" s="3"/>
      <c r="G5" s="2" t="s">
        <v>41</v>
      </c>
      <c r="H5" s="2"/>
      <c r="I5" s="2"/>
      <c r="J5" s="2"/>
      <c r="K5" s="2"/>
      <c r="L5" s="2"/>
      <c r="M5" s="2"/>
      <c r="N5" s="2"/>
    </row>
    <row r="6" spans="1:14" x14ac:dyDescent="0.25">
      <c r="A6" s="3" t="s">
        <v>28</v>
      </c>
      <c r="B6" s="3" t="s">
        <v>33</v>
      </c>
      <c r="C6" s="3">
        <v>0.4</v>
      </c>
      <c r="D6" s="3" t="s">
        <v>36</v>
      </c>
      <c r="E6" s="3" t="s">
        <v>39</v>
      </c>
      <c r="G6" s="2" t="s">
        <v>40</v>
      </c>
      <c r="H6" s="2"/>
      <c r="I6" s="2"/>
      <c r="J6" s="2"/>
      <c r="K6" s="2"/>
      <c r="L6" s="2"/>
      <c r="M6" s="2"/>
      <c r="N6" s="2"/>
    </row>
    <row r="7" spans="1:14" x14ac:dyDescent="0.25">
      <c r="A7" s="3" t="s">
        <v>29</v>
      </c>
      <c r="B7" s="3" t="s">
        <v>34</v>
      </c>
      <c r="C7" s="3" t="s">
        <v>35</v>
      </c>
      <c r="D7" s="3" t="s">
        <v>37</v>
      </c>
      <c r="E7" s="3" t="s">
        <v>114</v>
      </c>
    </row>
    <row r="11" spans="1:14" x14ac:dyDescent="0.25">
      <c r="A11" s="20" t="s">
        <v>84</v>
      </c>
      <c r="B11" s="20">
        <v>1</v>
      </c>
      <c r="D11" s="3" t="s">
        <v>31</v>
      </c>
    </row>
    <row r="12" spans="1:14" x14ac:dyDescent="0.25">
      <c r="A12" s="20" t="s">
        <v>92</v>
      </c>
      <c r="B12" s="20">
        <v>2</v>
      </c>
      <c r="D12" s="3"/>
    </row>
    <row r="13" spans="1:14" x14ac:dyDescent="0.25">
      <c r="A13" s="20" t="s">
        <v>93</v>
      </c>
      <c r="B13" s="20">
        <v>2</v>
      </c>
      <c r="D13" s="3">
        <v>20</v>
      </c>
    </row>
    <row r="14" spans="1:14" x14ac:dyDescent="0.25">
      <c r="A14" s="20" t="s">
        <v>94</v>
      </c>
      <c r="B14" s="20">
        <v>2</v>
      </c>
      <c r="D14" s="3">
        <v>100</v>
      </c>
    </row>
    <row r="15" spans="1:14" x14ac:dyDescent="0.25">
      <c r="D15" s="3"/>
    </row>
    <row r="16" spans="1:14" x14ac:dyDescent="0.25">
      <c r="D16" s="3">
        <v>0.4</v>
      </c>
    </row>
    <row r="17" spans="1:8" x14ac:dyDescent="0.25">
      <c r="D17" s="3" t="s">
        <v>35</v>
      </c>
    </row>
    <row r="22" spans="1:8" x14ac:dyDescent="0.25">
      <c r="A22" s="26" t="s">
        <v>115</v>
      </c>
      <c r="B22" s="1" t="s">
        <v>128</v>
      </c>
      <c r="C22" s="1" t="s">
        <v>31</v>
      </c>
      <c r="D22" s="26" t="s">
        <v>126</v>
      </c>
      <c r="E22" s="1" t="s">
        <v>30</v>
      </c>
      <c r="G22" s="26" t="s">
        <v>127</v>
      </c>
    </row>
    <row r="23" spans="1:8" x14ac:dyDescent="0.25">
      <c r="A23" s="1" t="s">
        <v>116</v>
      </c>
      <c r="B23" s="1" t="s">
        <v>132</v>
      </c>
      <c r="C23" s="1" t="s">
        <v>132</v>
      </c>
      <c r="D23" s="25" t="s">
        <v>116</v>
      </c>
      <c r="E23" s="1" t="s">
        <v>144</v>
      </c>
      <c r="G23" s="25" t="s">
        <v>116</v>
      </c>
      <c r="H23" s="1" t="s">
        <v>132</v>
      </c>
    </row>
    <row r="24" spans="1:8" x14ac:dyDescent="0.25">
      <c r="A24" s="1" t="s">
        <v>117</v>
      </c>
      <c r="B24" s="1" t="s">
        <v>133</v>
      </c>
      <c r="C24" s="1" t="s">
        <v>140</v>
      </c>
      <c r="D24" s="25" t="s">
        <v>117</v>
      </c>
      <c r="E24" s="1" t="s">
        <v>145</v>
      </c>
      <c r="G24" s="25" t="s">
        <v>117</v>
      </c>
      <c r="H24" s="1" t="s">
        <v>133</v>
      </c>
    </row>
    <row r="25" spans="1:8" x14ac:dyDescent="0.25">
      <c r="A25" s="1" t="s">
        <v>122</v>
      </c>
      <c r="D25" s="25" t="s">
        <v>122</v>
      </c>
      <c r="G25" s="25" t="s">
        <v>122</v>
      </c>
    </row>
    <row r="26" spans="1:8" x14ac:dyDescent="0.25">
      <c r="A26" s="1" t="s">
        <v>121</v>
      </c>
      <c r="D26" s="25" t="s">
        <v>121</v>
      </c>
      <c r="G26" s="25" t="s">
        <v>121</v>
      </c>
    </row>
    <row r="27" spans="1:8" x14ac:dyDescent="0.25">
      <c r="A27" s="1" t="s">
        <v>118</v>
      </c>
      <c r="B27" s="1" t="s">
        <v>129</v>
      </c>
      <c r="C27" s="1" t="s">
        <v>48</v>
      </c>
      <c r="D27" s="25" t="s">
        <v>118</v>
      </c>
      <c r="E27" s="1" t="s">
        <v>18</v>
      </c>
      <c r="G27" s="25" t="s">
        <v>118</v>
      </c>
      <c r="H27" s="1">
        <v>0.9</v>
      </c>
    </row>
    <row r="28" spans="1:8" x14ac:dyDescent="0.25">
      <c r="A28" s="1" t="s">
        <v>119</v>
      </c>
      <c r="B28" s="29" t="s">
        <v>138</v>
      </c>
      <c r="C28" s="1">
        <v>2</v>
      </c>
      <c r="D28" s="25" t="s">
        <v>119</v>
      </c>
      <c r="E28" s="1" t="s">
        <v>143</v>
      </c>
      <c r="G28" s="25" t="s">
        <v>119</v>
      </c>
      <c r="H28" s="1" t="s">
        <v>134</v>
      </c>
    </row>
    <row r="29" spans="1:8" x14ac:dyDescent="0.25">
      <c r="A29" s="1" t="s">
        <v>120</v>
      </c>
      <c r="B29" s="29" t="s">
        <v>138</v>
      </c>
      <c r="C29" s="1" t="s">
        <v>134</v>
      </c>
      <c r="D29" s="25" t="s">
        <v>120</v>
      </c>
      <c r="E29" s="27" t="s">
        <v>143</v>
      </c>
      <c r="G29" s="25" t="s">
        <v>120</v>
      </c>
      <c r="H29" s="1" t="s">
        <v>134</v>
      </c>
    </row>
    <row r="30" spans="1:8" x14ac:dyDescent="0.25">
      <c r="A30" s="1" t="s">
        <v>123</v>
      </c>
      <c r="B30" s="28" t="s">
        <v>139</v>
      </c>
      <c r="C30" s="1" t="s">
        <v>141</v>
      </c>
      <c r="D30" s="25" t="s">
        <v>123</v>
      </c>
      <c r="E30" s="1" t="s">
        <v>141</v>
      </c>
      <c r="G30" s="25" t="s">
        <v>123</v>
      </c>
      <c r="H30" s="1" t="s">
        <v>147</v>
      </c>
    </row>
    <row r="31" spans="1:8" x14ac:dyDescent="0.25">
      <c r="A31" s="1" t="s">
        <v>124</v>
      </c>
      <c r="B31" s="1" t="s">
        <v>137</v>
      </c>
      <c r="C31" s="1" t="s">
        <v>135</v>
      </c>
      <c r="D31" s="25" t="s">
        <v>124</v>
      </c>
      <c r="G31" s="25" t="s">
        <v>124</v>
      </c>
    </row>
    <row r="32" spans="1:8" x14ac:dyDescent="0.25">
      <c r="A32" s="1" t="s">
        <v>125</v>
      </c>
      <c r="B32" s="1" t="s">
        <v>137</v>
      </c>
      <c r="C32" s="1" t="s">
        <v>136</v>
      </c>
      <c r="D32" s="25" t="s">
        <v>125</v>
      </c>
      <c r="G32" s="25" t="s">
        <v>125</v>
      </c>
    </row>
    <row r="34" spans="1:8" x14ac:dyDescent="0.25">
      <c r="A34" s="1" t="s">
        <v>130</v>
      </c>
      <c r="B34" s="28" t="s">
        <v>131</v>
      </c>
      <c r="C34" s="28" t="s">
        <v>142</v>
      </c>
      <c r="E34" s="28" t="s">
        <v>141</v>
      </c>
      <c r="H34" s="28" t="s">
        <v>146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8"/>
  <sheetViews>
    <sheetView zoomScale="70" zoomScaleNormal="70" workbookViewId="0">
      <selection activeCell="I30" sqref="I30"/>
    </sheetView>
  </sheetViews>
  <sheetFormatPr defaultRowHeight="15" x14ac:dyDescent="0.25"/>
  <cols>
    <col min="1" max="1" width="12.28515625" customWidth="1"/>
    <col min="2" max="2" width="21.42578125" customWidth="1"/>
    <col min="3" max="3" width="18.85546875" customWidth="1"/>
    <col min="4" max="4" width="25" customWidth="1"/>
    <col min="5" max="5" width="24.85546875" customWidth="1"/>
    <col min="6" max="6" width="17.28515625" customWidth="1"/>
    <col min="9" max="9" width="13.5703125" customWidth="1"/>
  </cols>
  <sheetData>
    <row r="1" spans="1:9" x14ac:dyDescent="0.25">
      <c r="A1" s="45" t="s">
        <v>45</v>
      </c>
      <c r="B1" s="36" t="s">
        <v>0</v>
      </c>
      <c r="C1" s="36" t="s">
        <v>6</v>
      </c>
      <c r="D1" s="36" t="s">
        <v>73</v>
      </c>
      <c r="E1" s="36" t="s">
        <v>7</v>
      </c>
      <c r="F1" s="36" t="s">
        <v>51</v>
      </c>
      <c r="G1" s="36" t="s">
        <v>3</v>
      </c>
      <c r="H1" s="36" t="s">
        <v>46</v>
      </c>
      <c r="I1" s="36" t="s">
        <v>4</v>
      </c>
    </row>
    <row r="2" spans="1:9" x14ac:dyDescent="0.25">
      <c r="A2" s="45"/>
      <c r="B2" s="36" t="s">
        <v>155</v>
      </c>
      <c r="C2" s="8">
        <v>50959</v>
      </c>
      <c r="D2" s="36">
        <f>C2/C2</f>
        <v>1</v>
      </c>
      <c r="E2" s="36">
        <v>4000</v>
      </c>
      <c r="F2" s="5" t="s">
        <v>154</v>
      </c>
      <c r="G2" s="6">
        <v>16</v>
      </c>
      <c r="H2" s="5">
        <v>8</v>
      </c>
      <c r="I2" s="5">
        <v>8</v>
      </c>
    </row>
    <row r="3" spans="1:9" x14ac:dyDescent="0.25">
      <c r="A3" s="45"/>
      <c r="B3" s="46" t="s">
        <v>66</v>
      </c>
      <c r="C3" s="7">
        <v>53779</v>
      </c>
      <c r="D3" s="7">
        <f>C3/C2</f>
        <v>1.0553386055456346</v>
      </c>
      <c r="E3" s="7">
        <v>2000</v>
      </c>
      <c r="F3" s="7" t="s">
        <v>154</v>
      </c>
      <c r="G3" s="7">
        <v>16</v>
      </c>
      <c r="H3" s="7">
        <v>8</v>
      </c>
      <c r="I3" s="7">
        <v>8</v>
      </c>
    </row>
    <row r="4" spans="1:9" x14ac:dyDescent="0.25">
      <c r="A4" s="45"/>
      <c r="B4" s="46"/>
      <c r="C4" s="5">
        <v>72221</v>
      </c>
      <c r="D4" s="5">
        <f>C4/C2</f>
        <v>1.4172373869188957</v>
      </c>
      <c r="E4" s="5">
        <v>1000</v>
      </c>
      <c r="F4" s="5" t="s">
        <v>154</v>
      </c>
      <c r="G4" s="6">
        <v>16</v>
      </c>
      <c r="H4" s="5">
        <v>8</v>
      </c>
      <c r="I4" s="5">
        <v>8</v>
      </c>
    </row>
    <row r="5" spans="1:9" x14ac:dyDescent="0.25">
      <c r="A5" s="45"/>
      <c r="B5" s="46"/>
      <c r="C5" s="7">
        <v>409810</v>
      </c>
      <c r="D5" s="7">
        <f>C5/C2</f>
        <v>8.0419552973959458</v>
      </c>
      <c r="E5" s="7">
        <v>100</v>
      </c>
      <c r="F5" s="7" t="s">
        <v>126</v>
      </c>
      <c r="G5" s="7">
        <v>16</v>
      </c>
      <c r="H5" s="7">
        <v>8</v>
      </c>
      <c r="I5" s="7">
        <v>8</v>
      </c>
    </row>
    <row r="6" spans="1:9" x14ac:dyDescent="0.25">
      <c r="A6" s="45"/>
      <c r="B6" s="46"/>
      <c r="C6" s="5">
        <v>3842000</v>
      </c>
      <c r="D6" s="8">
        <f>C6/C2</f>
        <v>75.393944151180364</v>
      </c>
      <c r="E6" s="5">
        <v>10</v>
      </c>
      <c r="F6" s="5" t="s">
        <v>126</v>
      </c>
      <c r="G6" s="6">
        <v>16</v>
      </c>
      <c r="H6" s="5">
        <v>8</v>
      </c>
      <c r="I6" s="5">
        <v>8</v>
      </c>
    </row>
    <row r="7" spans="1:9" x14ac:dyDescent="0.25">
      <c r="A7" s="45"/>
      <c r="B7" s="46"/>
      <c r="C7" s="7">
        <v>38420000</v>
      </c>
      <c r="D7" s="7">
        <f>C7/C2</f>
        <v>753.93944151180358</v>
      </c>
      <c r="E7" s="7">
        <v>1</v>
      </c>
      <c r="F7" s="7" t="s">
        <v>154</v>
      </c>
      <c r="G7" s="7">
        <v>16</v>
      </c>
      <c r="H7" s="7">
        <v>8</v>
      </c>
      <c r="I7" s="7">
        <v>8</v>
      </c>
    </row>
    <row r="8" spans="1:9" x14ac:dyDescent="0.25">
      <c r="B8" s="36" t="s">
        <v>163</v>
      </c>
    </row>
    <row r="9" spans="1:9" x14ac:dyDescent="0.25">
      <c r="A9" s="48" t="s">
        <v>76</v>
      </c>
      <c r="B9" s="48"/>
    </row>
    <row r="10" spans="1:9" x14ac:dyDescent="0.25">
      <c r="A10" s="45" t="s">
        <v>63</v>
      </c>
      <c r="B10" s="36" t="s">
        <v>0</v>
      </c>
      <c r="C10" s="36" t="s">
        <v>6</v>
      </c>
      <c r="D10" s="36" t="s">
        <v>55</v>
      </c>
      <c r="E10" s="36" t="s">
        <v>7</v>
      </c>
      <c r="F10" s="36" t="s">
        <v>51</v>
      </c>
      <c r="G10" s="36" t="s">
        <v>3</v>
      </c>
      <c r="H10" s="36" t="s">
        <v>46</v>
      </c>
      <c r="I10" s="36" t="s">
        <v>4</v>
      </c>
    </row>
    <row r="11" spans="1:9" x14ac:dyDescent="0.25">
      <c r="A11" s="45"/>
      <c r="B11" s="36"/>
      <c r="C11" s="6">
        <v>73875</v>
      </c>
      <c r="D11" s="5">
        <f>C11/C2</f>
        <v>1.4496948527247395</v>
      </c>
      <c r="E11" s="36">
        <v>4000</v>
      </c>
      <c r="F11" s="5" t="s">
        <v>126</v>
      </c>
      <c r="G11" s="6">
        <v>16</v>
      </c>
      <c r="H11" s="5">
        <v>8</v>
      </c>
      <c r="I11" s="5">
        <v>8</v>
      </c>
    </row>
    <row r="12" spans="1:9" x14ac:dyDescent="0.25">
      <c r="A12" s="45"/>
      <c r="B12" s="46" t="s">
        <v>65</v>
      </c>
      <c r="C12" s="7">
        <v>106753</v>
      </c>
      <c r="D12" s="5">
        <f>C12/C2</f>
        <v>2.0948801978060794</v>
      </c>
      <c r="E12" s="7">
        <v>2000</v>
      </c>
      <c r="F12" s="5" t="s">
        <v>126</v>
      </c>
      <c r="G12" s="7">
        <v>16</v>
      </c>
      <c r="H12" s="7">
        <v>8</v>
      </c>
      <c r="I12" s="7">
        <v>8</v>
      </c>
    </row>
    <row r="13" spans="1:9" x14ac:dyDescent="0.25">
      <c r="A13" s="45"/>
      <c r="B13" s="46"/>
      <c r="C13" s="5">
        <v>156162</v>
      </c>
      <c r="D13" s="5">
        <f>C13/C2</f>
        <v>3.0644635883749682</v>
      </c>
      <c r="E13" s="5">
        <v>1000</v>
      </c>
      <c r="F13" s="5" t="s">
        <v>126</v>
      </c>
      <c r="G13" s="6">
        <v>16</v>
      </c>
      <c r="H13" s="5">
        <v>8</v>
      </c>
      <c r="I13" s="5">
        <v>8</v>
      </c>
    </row>
    <row r="14" spans="1:9" x14ac:dyDescent="0.25">
      <c r="A14" s="45"/>
      <c r="B14" s="46"/>
      <c r="C14" s="7">
        <v>1045515</v>
      </c>
      <c r="D14" s="7">
        <f>C14/C2</f>
        <v>20.516788006044074</v>
      </c>
      <c r="E14" s="7">
        <v>100</v>
      </c>
      <c r="F14" s="7" t="s">
        <v>126</v>
      </c>
      <c r="G14" s="7">
        <v>16</v>
      </c>
      <c r="H14" s="7">
        <v>8</v>
      </c>
      <c r="I14" s="7">
        <v>8</v>
      </c>
    </row>
    <row r="15" spans="1:9" x14ac:dyDescent="0.25">
      <c r="A15" s="45"/>
      <c r="B15" s="46"/>
      <c r="C15" s="5">
        <v>9939045</v>
      </c>
      <c r="D15" s="6">
        <f>C15/C2</f>
        <v>195.04003218273513</v>
      </c>
      <c r="E15" s="5">
        <v>10</v>
      </c>
      <c r="F15" s="5" t="s">
        <v>126</v>
      </c>
      <c r="G15" s="6">
        <v>16</v>
      </c>
      <c r="H15" s="5">
        <v>8</v>
      </c>
      <c r="I15" s="5">
        <v>8</v>
      </c>
    </row>
    <row r="16" spans="1:9" x14ac:dyDescent="0.25">
      <c r="A16" s="45"/>
      <c r="B16" s="46"/>
      <c r="C16" s="7">
        <v>98874345</v>
      </c>
      <c r="D16" s="7">
        <f>C16/C2</f>
        <v>1940.2724739496457</v>
      </c>
      <c r="E16" s="7">
        <v>1</v>
      </c>
      <c r="F16" s="7" t="s">
        <v>154</v>
      </c>
      <c r="G16" s="7">
        <v>16</v>
      </c>
      <c r="H16" s="7">
        <v>8</v>
      </c>
      <c r="I16" s="7">
        <v>8</v>
      </c>
    </row>
    <row r="17" spans="1:7" x14ac:dyDescent="0.25">
      <c r="A17" t="s">
        <v>164</v>
      </c>
      <c r="B17">
        <f>C11/C2</f>
        <v>1.4496948527247395</v>
      </c>
      <c r="C17" s="36">
        <f>C12/C3</f>
        <v>1.9850313319325388</v>
      </c>
      <c r="D17" s="36">
        <f>C13/C4</f>
        <v>2.1622796693482504</v>
      </c>
      <c r="E17" s="36">
        <f>C14/C5</f>
        <v>2.5512188575193382</v>
      </c>
      <c r="F17" s="36">
        <f>C15/C6</f>
        <v>2.5869456012493495</v>
      </c>
      <c r="G17" s="36">
        <f>C16/C7</f>
        <v>2.5735123633524206</v>
      </c>
    </row>
    <row r="18" spans="1:7" x14ac:dyDescent="0.25">
      <c r="A18" t="s">
        <v>156</v>
      </c>
      <c r="B18">
        <f>B17-1</f>
        <v>0.44969485272473952</v>
      </c>
      <c r="C18">
        <f t="shared" ref="C18:G18" si="0">C17-1</f>
        <v>0.98503133193253878</v>
      </c>
      <c r="D18">
        <f t="shared" si="0"/>
        <v>1.1622796693482504</v>
      </c>
      <c r="E18">
        <f t="shared" si="0"/>
        <v>1.5512188575193382</v>
      </c>
      <c r="F18">
        <f t="shared" si="0"/>
        <v>1.5869456012493495</v>
      </c>
      <c r="G18">
        <f t="shared" si="0"/>
        <v>1.5735123633524206</v>
      </c>
    </row>
  </sheetData>
  <mergeCells count="5">
    <mergeCell ref="A1:A7"/>
    <mergeCell ref="B3:B7"/>
    <mergeCell ref="A9:B9"/>
    <mergeCell ref="A10:A16"/>
    <mergeCell ref="B12:B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25"/>
  <sheetViews>
    <sheetView zoomScale="74" zoomScaleNormal="74" workbookViewId="0">
      <selection activeCell="K40" sqref="K40"/>
    </sheetView>
  </sheetViews>
  <sheetFormatPr defaultRowHeight="15" x14ac:dyDescent="0.25"/>
  <cols>
    <col min="3" max="3" width="19.85546875" customWidth="1"/>
    <col min="4" max="4" width="15.42578125" customWidth="1"/>
    <col min="5" max="5" width="16.85546875" customWidth="1"/>
    <col min="6" max="6" width="16.5703125" customWidth="1"/>
    <col min="7" max="7" width="24.85546875" customWidth="1"/>
    <col min="8" max="8" width="11" customWidth="1"/>
    <col min="9" max="9" width="14.140625" customWidth="1"/>
    <col min="10" max="10" width="36" customWidth="1"/>
  </cols>
  <sheetData>
    <row r="1" spans="2:12" x14ac:dyDescent="0.25">
      <c r="C1" s="35"/>
      <c r="D1" s="35" t="s">
        <v>77</v>
      </c>
      <c r="E1" s="35" t="s">
        <v>78</v>
      </c>
      <c r="F1" s="35" t="s">
        <v>84</v>
      </c>
      <c r="G1" s="35" t="s">
        <v>79</v>
      </c>
      <c r="H1" s="16" t="s">
        <v>104</v>
      </c>
      <c r="I1" s="23" t="s">
        <v>105</v>
      </c>
      <c r="J1" s="35" t="s">
        <v>106</v>
      </c>
      <c r="K1" s="35"/>
      <c r="L1" s="35"/>
    </row>
    <row r="2" spans="2:12" x14ac:dyDescent="0.25">
      <c r="C2" s="15" t="s">
        <v>88</v>
      </c>
      <c r="D2" s="15" t="s">
        <v>80</v>
      </c>
      <c r="E2" s="15" t="s">
        <v>81</v>
      </c>
      <c r="F2" s="15" t="s">
        <v>82</v>
      </c>
      <c r="G2" s="15" t="s">
        <v>102</v>
      </c>
      <c r="H2" s="17" t="s">
        <v>85</v>
      </c>
      <c r="I2" s="15" t="s">
        <v>95</v>
      </c>
      <c r="J2" s="15" t="s">
        <v>96</v>
      </c>
      <c r="K2" s="35"/>
      <c r="L2" s="35"/>
    </row>
    <row r="3" spans="2:12" x14ac:dyDescent="0.25">
      <c r="C3" s="35"/>
      <c r="D3" s="35"/>
      <c r="E3" s="35"/>
      <c r="F3" s="21"/>
      <c r="G3" s="21"/>
      <c r="H3" s="35"/>
      <c r="I3" s="35"/>
      <c r="J3" s="35"/>
      <c r="K3" s="35"/>
      <c r="L3" s="35"/>
    </row>
    <row r="4" spans="2:12" x14ac:dyDescent="0.25"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2:12" x14ac:dyDescent="0.25">
      <c r="C5" s="35"/>
      <c r="D5" s="35" t="s">
        <v>77</v>
      </c>
      <c r="E5" s="35" t="s">
        <v>78</v>
      </c>
      <c r="F5" s="35" t="s">
        <v>84</v>
      </c>
      <c r="G5" s="35" t="s">
        <v>79</v>
      </c>
      <c r="H5" s="35"/>
      <c r="I5" s="35" t="s">
        <v>86</v>
      </c>
      <c r="J5" s="35" t="s">
        <v>101</v>
      </c>
      <c r="K5" s="35"/>
      <c r="L5" s="35"/>
    </row>
    <row r="6" spans="2:12" ht="15.75" x14ac:dyDescent="0.25">
      <c r="C6" s="50" t="s">
        <v>87</v>
      </c>
      <c r="D6" s="18" t="s">
        <v>158</v>
      </c>
      <c r="E6" s="18" t="s">
        <v>81</v>
      </c>
      <c r="F6" s="18" t="s">
        <v>82</v>
      </c>
      <c r="G6" s="18" t="s">
        <v>102</v>
      </c>
      <c r="H6" s="19"/>
      <c r="I6" s="18" t="s">
        <v>95</v>
      </c>
      <c r="J6" s="18" t="s">
        <v>112</v>
      </c>
      <c r="K6" s="35"/>
      <c r="L6" s="35"/>
    </row>
    <row r="7" spans="2:12" ht="15.75" x14ac:dyDescent="0.25">
      <c r="C7" s="50"/>
      <c r="D7" s="18"/>
      <c r="E7" s="18"/>
      <c r="F7" s="18" t="s">
        <v>83</v>
      </c>
      <c r="G7" s="18" t="s">
        <v>103</v>
      </c>
      <c r="H7" s="19"/>
      <c r="I7" s="18" t="s">
        <v>83</v>
      </c>
      <c r="J7" s="18" t="s">
        <v>111</v>
      </c>
      <c r="K7" s="35" t="s">
        <v>97</v>
      </c>
      <c r="L7" s="35">
        <f>IF(256/C14&lt;C16,C16/(256/C14),0)</f>
        <v>0</v>
      </c>
    </row>
    <row r="8" spans="2:12" x14ac:dyDescent="0.25"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2:12" x14ac:dyDescent="0.25"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2:12" x14ac:dyDescent="0.25">
      <c r="C10" s="35"/>
      <c r="D10" s="35"/>
      <c r="E10" s="35"/>
      <c r="F10" s="35"/>
      <c r="G10" s="37" t="s">
        <v>79</v>
      </c>
      <c r="H10" s="37"/>
      <c r="I10" s="37"/>
      <c r="J10" s="35" t="s">
        <v>110</v>
      </c>
      <c r="K10" s="35"/>
      <c r="L10" s="35"/>
    </row>
    <row r="11" spans="2:12" x14ac:dyDescent="0.25">
      <c r="C11" s="52" t="s">
        <v>98</v>
      </c>
      <c r="D11" s="35" t="s">
        <v>91</v>
      </c>
      <c r="E11" s="35" t="s">
        <v>160</v>
      </c>
      <c r="F11" s="35" t="s">
        <v>161</v>
      </c>
      <c r="G11" s="35" t="s">
        <v>108</v>
      </c>
      <c r="H11" s="22" t="s">
        <v>159</v>
      </c>
      <c r="I11" s="22" t="s">
        <v>105</v>
      </c>
      <c r="J11" s="35" t="s">
        <v>106</v>
      </c>
      <c r="K11" s="35" t="s">
        <v>109</v>
      </c>
      <c r="L11" s="35"/>
    </row>
    <row r="12" spans="2:12" x14ac:dyDescent="0.25">
      <c r="C12" s="52"/>
      <c r="D12" s="35">
        <v>0.25</v>
      </c>
      <c r="E12" s="35">
        <f>2*D12+8*D12</f>
        <v>2.5</v>
      </c>
      <c r="F12" s="35">
        <f>1*D12+10</f>
        <v>10.25</v>
      </c>
      <c r="G12" s="35">
        <f>1*0.25+1</f>
        <v>1.25</v>
      </c>
      <c r="H12" s="35">
        <f>35-15</f>
        <v>20</v>
      </c>
      <c r="I12" s="35"/>
      <c r="J12" s="35">
        <f>C14*D12+1*D12+2</f>
        <v>6.25</v>
      </c>
      <c r="K12" s="35">
        <f>E12+F12+H12+J12</f>
        <v>39</v>
      </c>
      <c r="L12" s="35"/>
    </row>
    <row r="13" spans="2:12" x14ac:dyDescent="0.25">
      <c r="C13" s="52"/>
      <c r="D13" s="35">
        <v>0.5</v>
      </c>
      <c r="E13" s="35">
        <f t="shared" ref="E13:E17" si="0">2*D13+8*D13</f>
        <v>5</v>
      </c>
      <c r="F13" s="35">
        <f t="shared" ref="F13:F17" si="1">1*D13+10</f>
        <v>10.5</v>
      </c>
      <c r="G13" s="35">
        <f>1*0.5+1</f>
        <v>1.5</v>
      </c>
      <c r="H13" s="35">
        <f>43.5-19</f>
        <v>24.5</v>
      </c>
      <c r="I13" s="35"/>
      <c r="J13" s="35">
        <f>C14*D13+1*D13+2</f>
        <v>10.5</v>
      </c>
      <c r="K13" s="35">
        <f t="shared" ref="K13:K17" si="2">E13+F13+H13+J13</f>
        <v>50.5</v>
      </c>
      <c r="L13" s="35"/>
    </row>
    <row r="14" spans="2:12" x14ac:dyDescent="0.25">
      <c r="B14" s="54" t="s">
        <v>99</v>
      </c>
      <c r="C14" s="53">
        <v>16</v>
      </c>
      <c r="D14" s="35">
        <v>1</v>
      </c>
      <c r="E14" s="35">
        <f t="shared" si="0"/>
        <v>10</v>
      </c>
      <c r="F14" s="35">
        <f t="shared" si="1"/>
        <v>11</v>
      </c>
      <c r="G14" s="35">
        <f>1*1+1</f>
        <v>2</v>
      </c>
      <c r="H14" s="35">
        <f>60-27 +G14</f>
        <v>35</v>
      </c>
      <c r="I14" s="35"/>
      <c r="J14" s="35">
        <f>C14*D14+1*D14+2</f>
        <v>19</v>
      </c>
      <c r="K14" s="35">
        <f t="shared" si="2"/>
        <v>75</v>
      </c>
      <c r="L14" s="35"/>
    </row>
    <row r="15" spans="2:12" x14ac:dyDescent="0.25">
      <c r="B15" s="54"/>
      <c r="C15" s="53"/>
      <c r="D15" s="35">
        <v>10</v>
      </c>
      <c r="E15" s="35">
        <f t="shared" si="0"/>
        <v>100</v>
      </c>
      <c r="F15" s="35">
        <f t="shared" si="1"/>
        <v>20</v>
      </c>
      <c r="G15" s="35">
        <f>1*10+1</f>
        <v>11</v>
      </c>
      <c r="H15" s="35">
        <f>357-182</f>
        <v>175</v>
      </c>
      <c r="I15" s="35"/>
      <c r="J15" s="35">
        <f>C14*D15+1*D15+2</f>
        <v>172</v>
      </c>
      <c r="K15" s="35">
        <f t="shared" si="2"/>
        <v>467</v>
      </c>
      <c r="L15" s="35"/>
    </row>
    <row r="16" spans="2:12" x14ac:dyDescent="0.25">
      <c r="B16" s="51" t="s">
        <v>100</v>
      </c>
      <c r="C16" s="51">
        <v>8</v>
      </c>
      <c r="D16" s="35">
        <v>100</v>
      </c>
      <c r="E16" s="35">
        <f t="shared" si="0"/>
        <v>1000</v>
      </c>
      <c r="F16" s="35">
        <f t="shared" si="1"/>
        <v>110</v>
      </c>
      <c r="G16" s="35">
        <f>1*100+1</f>
        <v>101</v>
      </c>
      <c r="H16" s="35">
        <f>3327-1712</f>
        <v>1615</v>
      </c>
      <c r="I16" s="35"/>
      <c r="J16" s="35">
        <f>C14*D16+1*D16+2</f>
        <v>1702</v>
      </c>
      <c r="K16" s="35">
        <f t="shared" si="2"/>
        <v>4427</v>
      </c>
      <c r="L16" s="35"/>
    </row>
    <row r="17" spans="2:12" x14ac:dyDescent="0.25">
      <c r="B17" s="51"/>
      <c r="C17" s="51"/>
      <c r="D17" s="35">
        <v>1000</v>
      </c>
      <c r="E17" s="35">
        <f t="shared" si="0"/>
        <v>10000</v>
      </c>
      <c r="F17" s="35">
        <f t="shared" si="1"/>
        <v>1010</v>
      </c>
      <c r="G17" s="35">
        <f>1*1000+1</f>
        <v>1001</v>
      </c>
      <c r="H17" s="35">
        <f>33027-16011</f>
        <v>17016</v>
      </c>
      <c r="I17" s="35"/>
      <c r="J17" s="35">
        <f>C14*D17+1*D17+2</f>
        <v>17002</v>
      </c>
      <c r="K17" s="35">
        <f t="shared" si="2"/>
        <v>45028</v>
      </c>
      <c r="L17" s="35"/>
    </row>
    <row r="19" spans="2:12" x14ac:dyDescent="0.25">
      <c r="C19" s="35"/>
      <c r="D19" s="35" t="s">
        <v>91</v>
      </c>
      <c r="E19" s="35"/>
      <c r="F19" s="35"/>
      <c r="G19" s="35"/>
      <c r="H19" s="35"/>
      <c r="I19" s="35"/>
      <c r="J19" s="35"/>
    </row>
    <row r="20" spans="2:12" x14ac:dyDescent="0.25">
      <c r="C20" s="35">
        <v>4000</v>
      </c>
      <c r="D20" s="35">
        <v>0.25</v>
      </c>
      <c r="E20" s="35">
        <f>E12/K12</f>
        <v>6.4102564102564097E-2</v>
      </c>
      <c r="F20" s="35">
        <f>F12/K12</f>
        <v>0.26282051282051283</v>
      </c>
      <c r="G20" s="35"/>
      <c r="H20" s="35">
        <f>H12/K12</f>
        <v>0.51282051282051277</v>
      </c>
      <c r="I20" s="35"/>
      <c r="J20" s="35">
        <f>J12/K12</f>
        <v>0.16025641025641027</v>
      </c>
    </row>
    <row r="21" spans="2:12" x14ac:dyDescent="0.25">
      <c r="C21" s="35">
        <v>2000</v>
      </c>
      <c r="D21" s="35">
        <v>0.5</v>
      </c>
      <c r="E21" s="35">
        <f t="shared" ref="E21:E25" si="3">E13/K13</f>
        <v>9.9009900990099015E-2</v>
      </c>
      <c r="F21" s="35">
        <f t="shared" ref="F21:F25" si="4">F13/K13</f>
        <v>0.20792079207920791</v>
      </c>
      <c r="G21" s="35"/>
      <c r="H21" s="35">
        <f t="shared" ref="H21:H25" si="5">H13/K13</f>
        <v>0.48514851485148514</v>
      </c>
      <c r="I21" s="35"/>
      <c r="J21" s="35">
        <f t="shared" ref="J21:J25" si="6">J13/K13</f>
        <v>0.20792079207920791</v>
      </c>
    </row>
    <row r="22" spans="2:12" x14ac:dyDescent="0.25">
      <c r="C22" s="35">
        <v>1000</v>
      </c>
      <c r="D22" s="35">
        <v>1</v>
      </c>
      <c r="E22" s="35">
        <f t="shared" si="3"/>
        <v>0.13333333333333333</v>
      </c>
      <c r="F22" s="35">
        <f t="shared" si="4"/>
        <v>0.14666666666666667</v>
      </c>
      <c r="G22" s="35"/>
      <c r="H22" s="35">
        <f t="shared" si="5"/>
        <v>0.46666666666666667</v>
      </c>
      <c r="I22" s="35"/>
      <c r="J22" s="35">
        <f t="shared" si="6"/>
        <v>0.25333333333333335</v>
      </c>
    </row>
    <row r="23" spans="2:12" x14ac:dyDescent="0.25">
      <c r="C23" s="35">
        <v>100</v>
      </c>
      <c r="D23" s="35">
        <v>10</v>
      </c>
      <c r="E23" s="35">
        <f t="shared" si="3"/>
        <v>0.21413276231263384</v>
      </c>
      <c r="F23" s="35">
        <f t="shared" si="4"/>
        <v>4.2826552462526764E-2</v>
      </c>
      <c r="G23" s="35"/>
      <c r="H23" s="35">
        <f t="shared" si="5"/>
        <v>0.37473233404710921</v>
      </c>
      <c r="I23" s="35"/>
      <c r="J23" s="35">
        <f t="shared" si="6"/>
        <v>0.3683083511777302</v>
      </c>
    </row>
    <row r="24" spans="2:12" x14ac:dyDescent="0.25">
      <c r="C24" s="35">
        <v>10</v>
      </c>
      <c r="D24" s="35">
        <v>100</v>
      </c>
      <c r="E24" s="35">
        <f t="shared" si="3"/>
        <v>0.22588660492432799</v>
      </c>
      <c r="F24" s="35">
        <f t="shared" si="4"/>
        <v>2.4847526541676077E-2</v>
      </c>
      <c r="G24" s="35"/>
      <c r="H24" s="35">
        <f t="shared" si="5"/>
        <v>0.36480686695278969</v>
      </c>
      <c r="I24" s="35"/>
      <c r="J24" s="35">
        <f t="shared" si="6"/>
        <v>0.38445900158120622</v>
      </c>
    </row>
    <row r="25" spans="2:12" x14ac:dyDescent="0.25">
      <c r="C25" s="35">
        <v>1</v>
      </c>
      <c r="D25" s="35">
        <v>1000</v>
      </c>
      <c r="E25" s="35">
        <f t="shared" si="3"/>
        <v>0.22208403659944922</v>
      </c>
      <c r="F25" s="35">
        <f t="shared" si="4"/>
        <v>2.2430487696544373E-2</v>
      </c>
      <c r="G25" s="35"/>
      <c r="H25" s="35">
        <f t="shared" si="5"/>
        <v>0.37789819667762281</v>
      </c>
      <c r="I25" s="35"/>
      <c r="J25" s="35">
        <f t="shared" si="6"/>
        <v>0.37758727902638356</v>
      </c>
    </row>
  </sheetData>
  <mergeCells count="6">
    <mergeCell ref="C6:C7"/>
    <mergeCell ref="C11:C13"/>
    <mergeCell ref="B14:B15"/>
    <mergeCell ref="C14:C15"/>
    <mergeCell ref="B16:B17"/>
    <mergeCell ref="C16:C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L27"/>
  <sheetViews>
    <sheetView zoomScale="64" zoomScaleNormal="64" workbookViewId="0">
      <selection activeCell="Q15" sqref="Q15"/>
    </sheetView>
  </sheetViews>
  <sheetFormatPr defaultRowHeight="15" x14ac:dyDescent="0.25"/>
  <cols>
    <col min="3" max="3" width="19.28515625" customWidth="1"/>
    <col min="4" max="4" width="14.140625" customWidth="1"/>
    <col min="5" max="5" width="15.85546875" customWidth="1"/>
    <col min="6" max="6" width="13.28515625" customWidth="1"/>
    <col min="7" max="7" width="25" customWidth="1"/>
    <col min="8" max="8" width="14.28515625" customWidth="1"/>
    <col min="9" max="9" width="14.5703125" customWidth="1"/>
    <col min="10" max="10" width="35.140625" customWidth="1"/>
  </cols>
  <sheetData>
    <row r="1" spans="2:12" x14ac:dyDescent="0.25">
      <c r="C1" s="35"/>
      <c r="D1" s="35" t="s">
        <v>77</v>
      </c>
      <c r="E1" s="35" t="s">
        <v>78</v>
      </c>
      <c r="F1" s="35" t="s">
        <v>84</v>
      </c>
      <c r="G1" s="35" t="s">
        <v>79</v>
      </c>
      <c r="H1" s="16" t="s">
        <v>104</v>
      </c>
      <c r="I1" s="23" t="s">
        <v>105</v>
      </c>
      <c r="J1" s="35" t="s">
        <v>106</v>
      </c>
      <c r="K1" s="35"/>
      <c r="L1" s="35"/>
    </row>
    <row r="2" spans="2:12" x14ac:dyDescent="0.25">
      <c r="C2" s="15" t="s">
        <v>88</v>
      </c>
      <c r="D2" s="15" t="s">
        <v>80</v>
      </c>
      <c r="E2" s="15" t="s">
        <v>81</v>
      </c>
      <c r="F2" s="15" t="s">
        <v>82</v>
      </c>
      <c r="G2" s="15" t="s">
        <v>102</v>
      </c>
      <c r="H2" s="17" t="s">
        <v>85</v>
      </c>
      <c r="I2" s="15" t="s">
        <v>95</v>
      </c>
      <c r="J2" s="15" t="s">
        <v>96</v>
      </c>
      <c r="K2" s="35"/>
      <c r="L2" s="35"/>
    </row>
    <row r="3" spans="2:12" x14ac:dyDescent="0.25">
      <c r="C3" s="35"/>
      <c r="D3" s="35"/>
      <c r="E3" s="35"/>
      <c r="F3" s="21"/>
      <c r="G3" s="21"/>
      <c r="H3" s="35"/>
      <c r="I3" s="35"/>
      <c r="J3" s="35"/>
      <c r="K3" s="35"/>
      <c r="L3" s="35"/>
    </row>
    <row r="4" spans="2:12" x14ac:dyDescent="0.25"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2:12" x14ac:dyDescent="0.25">
      <c r="C5" s="35"/>
      <c r="D5" s="35" t="s">
        <v>77</v>
      </c>
      <c r="E5" s="35" t="s">
        <v>78</v>
      </c>
      <c r="F5" s="35" t="s">
        <v>84</v>
      </c>
      <c r="G5" s="35" t="s">
        <v>79</v>
      </c>
      <c r="H5" s="35"/>
      <c r="I5" s="35" t="s">
        <v>86</v>
      </c>
      <c r="J5" s="35" t="s">
        <v>101</v>
      </c>
      <c r="K5" s="35"/>
      <c r="L5" s="35"/>
    </row>
    <row r="6" spans="2:12" ht="15.75" x14ac:dyDescent="0.25">
      <c r="C6" s="50" t="s">
        <v>87</v>
      </c>
      <c r="D6" s="18" t="s">
        <v>158</v>
      </c>
      <c r="E6" s="18" t="s">
        <v>81</v>
      </c>
      <c r="F6" s="18" t="s">
        <v>82</v>
      </c>
      <c r="G6" s="18" t="s">
        <v>102</v>
      </c>
      <c r="H6" s="19"/>
      <c r="I6" s="18" t="s">
        <v>95</v>
      </c>
      <c r="J6" s="18" t="s">
        <v>112</v>
      </c>
      <c r="K6" s="35"/>
      <c r="L6" s="35"/>
    </row>
    <row r="7" spans="2:12" ht="15.75" x14ac:dyDescent="0.25">
      <c r="C7" s="50"/>
      <c r="D7" s="18"/>
      <c r="E7" s="18"/>
      <c r="F7" s="18" t="s">
        <v>83</v>
      </c>
      <c r="G7" s="18" t="s">
        <v>103</v>
      </c>
      <c r="H7" s="19"/>
      <c r="I7" s="18" t="s">
        <v>83</v>
      </c>
      <c r="J7" s="18" t="s">
        <v>111</v>
      </c>
      <c r="K7" s="35"/>
      <c r="L7" s="35"/>
    </row>
    <row r="8" spans="2:12" x14ac:dyDescent="0.25"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2:12" x14ac:dyDescent="0.25"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2:12" x14ac:dyDescent="0.25">
      <c r="C10" s="35"/>
      <c r="D10" s="35"/>
      <c r="E10" s="35"/>
      <c r="F10" s="35"/>
      <c r="G10" s="37" t="s">
        <v>79</v>
      </c>
      <c r="H10" s="37"/>
      <c r="I10" s="37"/>
      <c r="J10" s="35" t="s">
        <v>110</v>
      </c>
      <c r="K10" s="35"/>
      <c r="L10" s="35"/>
    </row>
    <row r="11" spans="2:12" x14ac:dyDescent="0.25">
      <c r="C11" s="52" t="s">
        <v>98</v>
      </c>
      <c r="D11" s="35" t="s">
        <v>92</v>
      </c>
      <c r="E11" s="35" t="s">
        <v>160</v>
      </c>
      <c r="F11" s="35" t="s">
        <v>161</v>
      </c>
      <c r="G11" s="35" t="s">
        <v>108</v>
      </c>
      <c r="H11" s="22" t="s">
        <v>159</v>
      </c>
      <c r="I11" s="22" t="s">
        <v>105</v>
      </c>
      <c r="J11" s="35" t="s">
        <v>106</v>
      </c>
      <c r="K11" s="35" t="s">
        <v>109</v>
      </c>
      <c r="L11" s="35"/>
    </row>
    <row r="12" spans="2:12" x14ac:dyDescent="0.25">
      <c r="C12" s="52"/>
      <c r="D12" s="35">
        <v>1</v>
      </c>
      <c r="E12" s="35">
        <f>2*10+8*10</f>
        <v>100</v>
      </c>
      <c r="F12" s="35">
        <f>1*10+10</f>
        <v>20</v>
      </c>
      <c r="G12" s="35">
        <f>1*10+1</f>
        <v>11</v>
      </c>
      <c r="H12" s="35">
        <f>1268*2-10</f>
        <v>2526</v>
      </c>
      <c r="I12" s="35"/>
      <c r="J12" s="35">
        <f>256/D12*10+1*10+2</f>
        <v>2572</v>
      </c>
      <c r="K12" s="35">
        <f>E12+F12+H12+J12</f>
        <v>5218</v>
      </c>
      <c r="L12" s="35"/>
    </row>
    <row r="13" spans="2:12" x14ac:dyDescent="0.25">
      <c r="C13" s="52"/>
      <c r="D13" s="35">
        <v>2</v>
      </c>
      <c r="E13" s="35">
        <f t="shared" ref="E13:E18" si="0">2*10+8*10</f>
        <v>100</v>
      </c>
      <c r="F13" s="35">
        <f t="shared" ref="F13:F18" si="1">1*10+10</f>
        <v>20</v>
      </c>
      <c r="G13" s="35">
        <f t="shared" ref="G13:G18" si="2">1*10+1</f>
        <v>11</v>
      </c>
      <c r="H13" s="35">
        <f>644*2-10</f>
        <v>1278</v>
      </c>
      <c r="I13" s="35"/>
      <c r="J13" s="35">
        <f>256/D13*10+1*10+2</f>
        <v>1292</v>
      </c>
      <c r="K13" s="35">
        <f t="shared" ref="K13:K18" si="3">E13+F13+H13+J13</f>
        <v>2690</v>
      </c>
      <c r="L13" s="35"/>
    </row>
    <row r="14" spans="2:12" x14ac:dyDescent="0.25">
      <c r="B14" s="54" t="s">
        <v>90</v>
      </c>
      <c r="C14" s="53" t="s">
        <v>131</v>
      </c>
      <c r="D14" s="35">
        <v>4</v>
      </c>
      <c r="E14" s="35">
        <f t="shared" si="0"/>
        <v>100</v>
      </c>
      <c r="F14" s="35">
        <f t="shared" si="1"/>
        <v>20</v>
      </c>
      <c r="G14" s="35">
        <f t="shared" si="2"/>
        <v>11</v>
      </c>
      <c r="H14" s="35">
        <f>332*2-10</f>
        <v>654</v>
      </c>
      <c r="I14" s="35">
        <f>1*1+1</f>
        <v>2</v>
      </c>
      <c r="J14" s="35">
        <f>256/D14*10+1*10+2</f>
        <v>652</v>
      </c>
      <c r="K14" s="35">
        <f t="shared" si="3"/>
        <v>1426</v>
      </c>
      <c r="L14" s="35"/>
    </row>
    <row r="15" spans="2:12" x14ac:dyDescent="0.25">
      <c r="B15" s="54"/>
      <c r="C15" s="53"/>
      <c r="D15" s="35">
        <v>8</v>
      </c>
      <c r="E15" s="35">
        <f t="shared" si="0"/>
        <v>100</v>
      </c>
      <c r="F15" s="35">
        <f t="shared" si="1"/>
        <v>20</v>
      </c>
      <c r="G15" s="35">
        <f t="shared" si="2"/>
        <v>11</v>
      </c>
      <c r="H15" s="35">
        <f>176*2-10</f>
        <v>342</v>
      </c>
      <c r="I15" s="35"/>
      <c r="J15" s="35">
        <f t="shared" ref="J15:J18" si="4">256/D15*10+1*10+2</f>
        <v>332</v>
      </c>
      <c r="K15" s="35">
        <f t="shared" si="3"/>
        <v>794</v>
      </c>
      <c r="L15" s="35"/>
    </row>
    <row r="16" spans="2:12" x14ac:dyDescent="0.25">
      <c r="B16" s="51" t="s">
        <v>100</v>
      </c>
      <c r="C16" s="51">
        <v>8</v>
      </c>
      <c r="D16" s="35">
        <v>16</v>
      </c>
      <c r="E16" s="35">
        <f t="shared" si="0"/>
        <v>100</v>
      </c>
      <c r="F16" s="35">
        <f t="shared" si="1"/>
        <v>20</v>
      </c>
      <c r="G16" s="35">
        <f t="shared" si="2"/>
        <v>11</v>
      </c>
      <c r="H16" s="35">
        <f>176+10</f>
        <v>186</v>
      </c>
      <c r="I16" s="35"/>
      <c r="J16" s="35">
        <f t="shared" si="4"/>
        <v>172</v>
      </c>
      <c r="K16" s="35">
        <f t="shared" si="3"/>
        <v>478</v>
      </c>
      <c r="L16" s="35"/>
    </row>
    <row r="17" spans="2:12" x14ac:dyDescent="0.25">
      <c r="B17" s="51"/>
      <c r="C17" s="51"/>
      <c r="D17" s="35">
        <v>32</v>
      </c>
      <c r="E17" s="35">
        <f t="shared" si="0"/>
        <v>100</v>
      </c>
      <c r="F17" s="35">
        <f t="shared" si="1"/>
        <v>20</v>
      </c>
      <c r="G17" s="35">
        <f t="shared" si="2"/>
        <v>11</v>
      </c>
      <c r="H17" s="35">
        <f>269-171</f>
        <v>98</v>
      </c>
      <c r="I17" s="35"/>
      <c r="J17" s="35">
        <f t="shared" si="4"/>
        <v>92</v>
      </c>
      <c r="K17" s="35">
        <f t="shared" si="3"/>
        <v>310</v>
      </c>
      <c r="L17" s="35"/>
    </row>
    <row r="18" spans="2:12" x14ac:dyDescent="0.25">
      <c r="D18" s="35">
        <v>64</v>
      </c>
      <c r="E18" s="35">
        <f t="shared" si="0"/>
        <v>100</v>
      </c>
      <c r="F18" s="35">
        <f t="shared" si="1"/>
        <v>20</v>
      </c>
      <c r="G18" s="35">
        <f t="shared" si="2"/>
        <v>11</v>
      </c>
      <c r="H18" s="35">
        <f>225-171</f>
        <v>54</v>
      </c>
      <c r="J18" s="35">
        <f t="shared" si="4"/>
        <v>52</v>
      </c>
      <c r="K18" s="35">
        <f t="shared" si="3"/>
        <v>226</v>
      </c>
    </row>
    <row r="20" spans="2:12" x14ac:dyDescent="0.25">
      <c r="C20" s="35"/>
      <c r="D20" s="35" t="s">
        <v>92</v>
      </c>
      <c r="E20" s="35"/>
      <c r="F20" s="35"/>
      <c r="G20" s="35"/>
      <c r="H20" s="35"/>
      <c r="I20" s="35"/>
      <c r="J20" s="35"/>
    </row>
    <row r="21" spans="2:12" x14ac:dyDescent="0.25">
      <c r="C21" s="35"/>
      <c r="D21" s="35">
        <v>1</v>
      </c>
      <c r="E21" s="35">
        <f t="shared" ref="E21:E27" si="5">E12/K12</f>
        <v>1.9164430816404752E-2</v>
      </c>
      <c r="F21" s="35">
        <f t="shared" ref="F21:F27" si="6">F12/K12</f>
        <v>3.8328861632809506E-3</v>
      </c>
      <c r="G21" s="35"/>
      <c r="H21" s="35">
        <f t="shared" ref="H21:H27" si="7">H12/K12</f>
        <v>0.48409352242238407</v>
      </c>
      <c r="I21" s="35"/>
      <c r="J21" s="35">
        <f t="shared" ref="J21:J27" si="8">J12/K12</f>
        <v>0.49290916059793022</v>
      </c>
    </row>
    <row r="22" spans="2:12" x14ac:dyDescent="0.25">
      <c r="C22" s="35"/>
      <c r="D22" s="35">
        <v>2</v>
      </c>
      <c r="E22" s="35">
        <f t="shared" si="5"/>
        <v>3.717472118959108E-2</v>
      </c>
      <c r="F22" s="35">
        <f t="shared" si="6"/>
        <v>7.4349442379182153E-3</v>
      </c>
      <c r="G22" s="35"/>
      <c r="H22" s="35">
        <f t="shared" si="7"/>
        <v>0.47509293680297399</v>
      </c>
      <c r="I22" s="35"/>
      <c r="J22" s="35">
        <f t="shared" si="8"/>
        <v>0.48029739776951674</v>
      </c>
    </row>
    <row r="23" spans="2:12" x14ac:dyDescent="0.25">
      <c r="C23" s="35"/>
      <c r="D23" s="35">
        <v>4</v>
      </c>
      <c r="E23" s="35">
        <f t="shared" si="5"/>
        <v>7.0126227208976155E-2</v>
      </c>
      <c r="F23" s="35">
        <f t="shared" si="6"/>
        <v>1.4025245441795231E-2</v>
      </c>
      <c r="G23" s="35"/>
      <c r="H23" s="35">
        <f t="shared" si="7"/>
        <v>0.45862552594670408</v>
      </c>
      <c r="I23" s="35"/>
      <c r="J23" s="35">
        <f t="shared" si="8"/>
        <v>0.45722300140252453</v>
      </c>
    </row>
    <row r="24" spans="2:12" x14ac:dyDescent="0.25">
      <c r="C24" s="35"/>
      <c r="D24" s="35">
        <v>8</v>
      </c>
      <c r="E24" s="35">
        <f t="shared" si="5"/>
        <v>0.12594458438287154</v>
      </c>
      <c r="F24" s="35">
        <f t="shared" si="6"/>
        <v>2.5188916876574308E-2</v>
      </c>
      <c r="G24" s="35"/>
      <c r="H24" s="35">
        <f t="shared" si="7"/>
        <v>0.43073047858942065</v>
      </c>
      <c r="I24" s="35"/>
      <c r="J24" s="35">
        <f t="shared" si="8"/>
        <v>0.41813602015113349</v>
      </c>
    </row>
    <row r="25" spans="2:12" x14ac:dyDescent="0.25">
      <c r="C25" s="35"/>
      <c r="D25" s="35">
        <v>16</v>
      </c>
      <c r="E25" s="35">
        <f t="shared" si="5"/>
        <v>0.20920502092050208</v>
      </c>
      <c r="F25" s="35">
        <f t="shared" si="6"/>
        <v>4.1841004184100417E-2</v>
      </c>
      <c r="G25" s="35"/>
      <c r="H25" s="35">
        <f t="shared" si="7"/>
        <v>0.38912133891213391</v>
      </c>
      <c r="I25" s="35"/>
      <c r="J25" s="35">
        <f t="shared" si="8"/>
        <v>0.35983263598326359</v>
      </c>
    </row>
    <row r="26" spans="2:12" x14ac:dyDescent="0.25">
      <c r="C26" s="35"/>
      <c r="D26" s="35">
        <v>32</v>
      </c>
      <c r="E26" s="35">
        <f t="shared" si="5"/>
        <v>0.32258064516129031</v>
      </c>
      <c r="F26" s="35">
        <f t="shared" si="6"/>
        <v>6.4516129032258063E-2</v>
      </c>
      <c r="G26" s="35"/>
      <c r="H26" s="35">
        <f t="shared" si="7"/>
        <v>0.31612903225806449</v>
      </c>
      <c r="I26" s="35"/>
      <c r="J26" s="35">
        <f t="shared" si="8"/>
        <v>0.29677419354838708</v>
      </c>
    </row>
    <row r="27" spans="2:12" x14ac:dyDescent="0.25">
      <c r="D27" s="35">
        <v>64</v>
      </c>
      <c r="E27" s="35">
        <f t="shared" si="5"/>
        <v>0.44247787610619471</v>
      </c>
      <c r="F27" s="35">
        <f t="shared" si="6"/>
        <v>8.8495575221238937E-2</v>
      </c>
      <c r="H27" s="35">
        <f t="shared" si="7"/>
        <v>0.23893805309734514</v>
      </c>
      <c r="J27" s="35">
        <f t="shared" si="8"/>
        <v>0.23008849557522124</v>
      </c>
    </row>
  </sheetData>
  <mergeCells count="6">
    <mergeCell ref="C6:C7"/>
    <mergeCell ref="C11:C13"/>
    <mergeCell ref="B14:B15"/>
    <mergeCell ref="C14:C15"/>
    <mergeCell ref="B16:B17"/>
    <mergeCell ref="C16:C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U24" sqref="U24"/>
    </sheetView>
  </sheetViews>
  <sheetFormatPr defaultRowHeight="15" x14ac:dyDescent="0.25"/>
  <cols>
    <col min="1" max="1" width="13.5703125" style="38" customWidth="1"/>
    <col min="2" max="2" width="20.5703125" style="38" customWidth="1"/>
    <col min="3" max="3" width="10.85546875" style="38" customWidth="1"/>
    <col min="4" max="16384" width="9.140625" style="38"/>
  </cols>
  <sheetData>
    <row r="1" spans="1:11" x14ac:dyDescent="0.25">
      <c r="A1" s="38" t="s">
        <v>167</v>
      </c>
      <c r="B1" s="38" t="s">
        <v>168</v>
      </c>
    </row>
    <row r="2" spans="1:11" x14ac:dyDescent="0.25">
      <c r="A2" s="38" t="s">
        <v>166</v>
      </c>
      <c r="B2" s="38" t="s">
        <v>169</v>
      </c>
    </row>
    <row r="4" spans="1:11" x14ac:dyDescent="0.25">
      <c r="A4" s="41" t="s">
        <v>170</v>
      </c>
      <c r="B4" s="41" t="s">
        <v>115</v>
      </c>
      <c r="C4" s="41" t="s">
        <v>126</v>
      </c>
      <c r="D4" s="41"/>
    </row>
    <row r="5" spans="1:11" x14ac:dyDescent="0.25">
      <c r="A5" s="42">
        <v>0.1</v>
      </c>
      <c r="B5" s="41">
        <v>879</v>
      </c>
      <c r="C5" s="41">
        <v>225</v>
      </c>
      <c r="D5" s="41"/>
    </row>
    <row r="6" spans="1:11" x14ac:dyDescent="0.25">
      <c r="A6" s="42">
        <v>0.2</v>
      </c>
      <c r="B6" s="41">
        <v>1759</v>
      </c>
      <c r="C6" s="41">
        <v>455</v>
      </c>
      <c r="D6" s="41"/>
    </row>
    <row r="7" spans="1:11" x14ac:dyDescent="0.25">
      <c r="A7" s="42">
        <v>0.3</v>
      </c>
      <c r="B7" s="41">
        <v>2701</v>
      </c>
      <c r="C7" s="41">
        <v>700</v>
      </c>
      <c r="D7" s="41"/>
    </row>
    <row r="8" spans="1:11" x14ac:dyDescent="0.25">
      <c r="A8" s="42">
        <v>0.4</v>
      </c>
      <c r="B8" s="41">
        <v>3668</v>
      </c>
      <c r="C8" s="41">
        <v>1048</v>
      </c>
      <c r="D8" s="41"/>
    </row>
    <row r="9" spans="1:11" x14ac:dyDescent="0.25">
      <c r="A9" s="42">
        <v>0.5</v>
      </c>
      <c r="B9" s="41">
        <v>4711</v>
      </c>
      <c r="C9" s="41">
        <v>1191</v>
      </c>
      <c r="D9" s="41"/>
    </row>
    <row r="10" spans="1:11" x14ac:dyDescent="0.25">
      <c r="A10" s="42">
        <v>0.6</v>
      </c>
      <c r="B10" s="41">
        <v>5865</v>
      </c>
      <c r="C10" s="41">
        <v>1473</v>
      </c>
      <c r="D10" s="41"/>
    </row>
    <row r="11" spans="1:11" x14ac:dyDescent="0.25">
      <c r="A11" s="42">
        <v>0.7</v>
      </c>
      <c r="B11" s="41">
        <v>7001</v>
      </c>
      <c r="C11" s="41">
        <v>1763</v>
      </c>
      <c r="D11" s="41"/>
    </row>
    <row r="12" spans="1:11" x14ac:dyDescent="0.25">
      <c r="A12" s="42">
        <v>0.8</v>
      </c>
      <c r="B12" s="41">
        <v>8206</v>
      </c>
      <c r="C12" s="41">
        <v>2065</v>
      </c>
      <c r="D12" s="41"/>
    </row>
    <row r="13" spans="1:11" x14ac:dyDescent="0.25">
      <c r="A13" s="42">
        <v>0.9</v>
      </c>
      <c r="B13" s="41">
        <v>9619</v>
      </c>
      <c r="C13" s="41">
        <v>2371</v>
      </c>
      <c r="D13" s="41"/>
    </row>
    <row r="15" spans="1:11" x14ac:dyDescent="0.25">
      <c r="J15" s="39"/>
      <c r="K15" s="40"/>
    </row>
    <row r="16" spans="1:11" x14ac:dyDescent="0.25">
      <c r="J16" s="39"/>
      <c r="K16" s="40"/>
    </row>
    <row r="18" spans="1:11" x14ac:dyDescent="0.25">
      <c r="J18" s="39"/>
      <c r="K18" s="40"/>
    </row>
    <row r="19" spans="1:11" x14ac:dyDescent="0.25">
      <c r="J19" s="39"/>
      <c r="K19" s="40"/>
    </row>
    <row r="21" spans="1:11" x14ac:dyDescent="0.25">
      <c r="J21" s="39"/>
    </row>
    <row r="22" spans="1:11" x14ac:dyDescent="0.25">
      <c r="J22" s="39"/>
    </row>
    <row r="26" spans="1:11" x14ac:dyDescent="0.25">
      <c r="A26" s="41" t="s">
        <v>170</v>
      </c>
      <c r="B26" s="41" t="s">
        <v>115</v>
      </c>
      <c r="C26" s="41" t="s">
        <v>126</v>
      </c>
      <c r="D26" s="41"/>
    </row>
    <row r="27" spans="1:11" x14ac:dyDescent="0.25">
      <c r="A27" s="42">
        <v>0.1</v>
      </c>
      <c r="B27" s="41">
        <v>9619</v>
      </c>
      <c r="C27" s="41">
        <v>2371</v>
      </c>
      <c r="D27" s="41"/>
    </row>
    <row r="28" spans="1:11" x14ac:dyDescent="0.25">
      <c r="A28" s="42">
        <v>0.2</v>
      </c>
      <c r="B28" s="41">
        <v>8206</v>
      </c>
      <c r="C28" s="41">
        <v>2065</v>
      </c>
      <c r="D28" s="41"/>
    </row>
    <row r="29" spans="1:11" x14ac:dyDescent="0.25">
      <c r="A29" s="42">
        <v>0.3</v>
      </c>
      <c r="B29" s="41">
        <v>7001</v>
      </c>
      <c r="C29" s="41">
        <v>1763</v>
      </c>
      <c r="D29" s="41"/>
    </row>
    <row r="30" spans="1:11" x14ac:dyDescent="0.25">
      <c r="A30" s="42">
        <v>0.4</v>
      </c>
      <c r="B30" s="41">
        <v>5865</v>
      </c>
      <c r="C30" s="41">
        <v>1473</v>
      </c>
      <c r="D30" s="41"/>
    </row>
    <row r="31" spans="1:11" x14ac:dyDescent="0.25">
      <c r="A31" s="42">
        <v>0.5</v>
      </c>
      <c r="B31" s="41">
        <v>4711</v>
      </c>
      <c r="C31" s="41">
        <v>1191</v>
      </c>
      <c r="D31" s="41"/>
    </row>
    <row r="32" spans="1:11" x14ac:dyDescent="0.25">
      <c r="A32" s="42">
        <v>0.6</v>
      </c>
      <c r="B32" s="41">
        <v>3668</v>
      </c>
      <c r="C32" s="41">
        <v>1048</v>
      </c>
      <c r="D32" s="41"/>
    </row>
    <row r="33" spans="1:4" x14ac:dyDescent="0.25">
      <c r="A33" s="42">
        <v>0.7</v>
      </c>
      <c r="B33" s="41">
        <v>2701</v>
      </c>
      <c r="C33" s="41">
        <v>700</v>
      </c>
      <c r="D33" s="41"/>
    </row>
    <row r="34" spans="1:4" x14ac:dyDescent="0.25">
      <c r="A34" s="42">
        <v>0.8</v>
      </c>
      <c r="B34" s="41">
        <v>1759</v>
      </c>
      <c r="C34" s="41">
        <v>455</v>
      </c>
      <c r="D34" s="41"/>
    </row>
    <row r="35" spans="1:4" x14ac:dyDescent="0.25">
      <c r="A35" s="42">
        <v>0.9</v>
      </c>
      <c r="B35" s="41">
        <v>879</v>
      </c>
      <c r="C35" s="41">
        <v>225</v>
      </c>
      <c r="D35" s="4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opLeftCell="A13" zoomScale="70" zoomScaleNormal="70" workbookViewId="0">
      <selection activeCell="G3" sqref="G3"/>
    </sheetView>
  </sheetViews>
  <sheetFormatPr defaultColWidth="8.7109375" defaultRowHeight="15" x14ac:dyDescent="0.25"/>
  <cols>
    <col min="1" max="1" width="8.7109375" style="1"/>
    <col min="2" max="2" width="15.85546875" style="1" customWidth="1"/>
    <col min="3" max="5" width="18" style="1" customWidth="1"/>
    <col min="6" max="6" width="26.85546875" style="1" customWidth="1"/>
    <col min="7" max="13" width="15.85546875" style="1" customWidth="1"/>
    <col min="14" max="14" width="11.42578125" style="1" customWidth="1"/>
    <col min="15" max="15" width="18" style="1" customWidth="1"/>
    <col min="16" max="16" width="13.140625" style="1" customWidth="1"/>
    <col min="17" max="17" width="20.140625" style="1" customWidth="1"/>
    <col min="18" max="18" width="15.5703125" style="1" customWidth="1"/>
    <col min="19" max="19" width="20.7109375" style="1" customWidth="1"/>
    <col min="20" max="20" width="14.28515625" style="1" customWidth="1"/>
    <col min="21" max="21" width="26" style="1" customWidth="1"/>
    <col min="22" max="22" width="22.42578125" style="1" customWidth="1"/>
    <col min="23" max="23" width="12.42578125" style="1" customWidth="1"/>
    <col min="24" max="24" width="13.42578125" style="1" customWidth="1"/>
    <col min="25" max="25" width="25.85546875" style="1" customWidth="1"/>
    <col min="26" max="26" width="20" style="1" customWidth="1"/>
    <col min="27" max="27" width="28.28515625" style="1" customWidth="1"/>
    <col min="28" max="28" width="32.42578125" style="1" customWidth="1"/>
    <col min="29" max="29" width="23.28515625" style="1" customWidth="1"/>
    <col min="30" max="30" width="22.28515625" style="1" customWidth="1"/>
    <col min="31" max="31" width="16.140625" style="1" customWidth="1"/>
    <col min="32" max="32" width="13.7109375" style="1" customWidth="1"/>
    <col min="33" max="33" width="33.7109375" style="1" customWidth="1"/>
    <col min="34" max="34" width="22.42578125" style="1" customWidth="1"/>
    <col min="35" max="35" width="21.28515625" style="1" customWidth="1"/>
    <col min="36" max="36" width="14.28515625" style="1" customWidth="1"/>
    <col min="37" max="16384" width="8.7109375" style="1"/>
  </cols>
  <sheetData>
    <row r="1" spans="1:36" x14ac:dyDescent="0.25">
      <c r="A1" s="44" t="s">
        <v>45</v>
      </c>
      <c r="B1" s="1" t="s">
        <v>0</v>
      </c>
      <c r="C1" s="1" t="s">
        <v>6</v>
      </c>
      <c r="D1" s="1" t="s">
        <v>55</v>
      </c>
      <c r="E1" s="1" t="s">
        <v>25</v>
      </c>
      <c r="F1" s="1" t="s">
        <v>68</v>
      </c>
      <c r="H1" s="1" t="s">
        <v>70</v>
      </c>
      <c r="J1" s="1" t="s">
        <v>71</v>
      </c>
      <c r="L1" s="1" t="s">
        <v>72</v>
      </c>
      <c r="N1" s="1" t="s">
        <v>3</v>
      </c>
      <c r="O1" s="1" t="s">
        <v>46</v>
      </c>
      <c r="P1" s="1" t="s">
        <v>4</v>
      </c>
      <c r="Q1" s="1" t="s">
        <v>5</v>
      </c>
      <c r="R1" s="1" t="s">
        <v>2</v>
      </c>
      <c r="S1" s="1" t="s">
        <v>7</v>
      </c>
      <c r="T1" s="1" t="s">
        <v>51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19</v>
      </c>
      <c r="AF1" s="1" t="s">
        <v>20</v>
      </c>
      <c r="AG1" s="1" t="s">
        <v>22</v>
      </c>
      <c r="AH1" s="1" t="s">
        <v>23</v>
      </c>
      <c r="AI1" s="1" t="s">
        <v>24</v>
      </c>
      <c r="AJ1" s="1" t="s">
        <v>59</v>
      </c>
    </row>
    <row r="2" spans="1:36" s="7" customFormat="1" x14ac:dyDescent="0.25">
      <c r="A2" s="44"/>
      <c r="B2" s="43" t="s">
        <v>1</v>
      </c>
      <c r="F2" s="7" t="s">
        <v>69</v>
      </c>
      <c r="H2" s="7" t="s">
        <v>69</v>
      </c>
      <c r="J2" s="7" t="s">
        <v>69</v>
      </c>
      <c r="L2" s="7" t="s">
        <v>69</v>
      </c>
    </row>
    <row r="3" spans="1:36" s="5" customFormat="1" x14ac:dyDescent="0.25">
      <c r="A3" s="44"/>
      <c r="B3" s="43"/>
      <c r="C3" s="5">
        <v>192528</v>
      </c>
      <c r="D3" s="5">
        <f>C3/C19</f>
        <v>2.77758061025752</v>
      </c>
      <c r="E3" s="5">
        <f t="shared" ref="E3:E8" si="0">F3+H3+J3+L3</f>
        <v>1855739</v>
      </c>
      <c r="F3" s="6">
        <v>1040000</v>
      </c>
      <c r="G3" s="6">
        <f>F3/E3</f>
        <v>0.56042363716018251</v>
      </c>
      <c r="H3" s="6">
        <v>704000</v>
      </c>
      <c r="I3" s="6">
        <f>H3/E3</f>
        <v>0.37936369284689281</v>
      </c>
      <c r="J3" s="6">
        <v>411</v>
      </c>
      <c r="K3" s="6">
        <f>J3/E3</f>
        <v>2.2147511045464907E-4</v>
      </c>
      <c r="L3" s="6">
        <v>111328</v>
      </c>
      <c r="M3" s="6">
        <f>L3/E3</f>
        <v>5.9991194882470004E-2</v>
      </c>
      <c r="N3" s="5">
        <v>64</v>
      </c>
      <c r="O3" s="5">
        <v>8</v>
      </c>
      <c r="P3" s="5">
        <v>8</v>
      </c>
      <c r="Q3" s="5">
        <v>256</v>
      </c>
      <c r="S3" s="5">
        <v>1000</v>
      </c>
      <c r="T3" s="5" t="s">
        <v>60</v>
      </c>
      <c r="U3" s="5">
        <v>100</v>
      </c>
      <c r="V3" s="5">
        <v>100</v>
      </c>
      <c r="W3" s="5">
        <v>1</v>
      </c>
      <c r="X3" s="5">
        <v>2</v>
      </c>
      <c r="Y3" s="5">
        <v>1</v>
      </c>
      <c r="Z3" s="5">
        <v>1</v>
      </c>
      <c r="AA3" s="5">
        <v>2</v>
      </c>
      <c r="AB3" s="5">
        <v>2</v>
      </c>
      <c r="AC3" s="5">
        <v>2</v>
      </c>
      <c r="AD3" s="5" t="s">
        <v>58</v>
      </c>
      <c r="AE3" s="5">
        <v>2</v>
      </c>
      <c r="AF3" s="5" t="s">
        <v>21</v>
      </c>
      <c r="AG3" s="5" t="s">
        <v>47</v>
      </c>
      <c r="AH3" s="5" t="s">
        <v>48</v>
      </c>
      <c r="AI3" s="5" t="s">
        <v>49</v>
      </c>
    </row>
    <row r="4" spans="1:36" s="7" customFormat="1" x14ac:dyDescent="0.25">
      <c r="A4" s="44"/>
      <c r="B4" s="43"/>
      <c r="C4" s="7">
        <v>192545</v>
      </c>
      <c r="D4" s="7">
        <f>C4/C19</f>
        <v>2.777825867416865</v>
      </c>
      <c r="E4" s="9">
        <f t="shared" si="0"/>
        <v>1842685</v>
      </c>
      <c r="F4" s="9">
        <v>1040000</v>
      </c>
      <c r="G4" s="6">
        <f t="shared" ref="G4:G8" si="1">F4/E4</f>
        <v>0.56439380577798159</v>
      </c>
      <c r="H4" s="7">
        <v>704000</v>
      </c>
      <c r="I4" s="6">
        <f t="shared" ref="I4:I8" si="2">H4/E4</f>
        <v>0.38205119160355677</v>
      </c>
      <c r="J4" s="7">
        <v>411</v>
      </c>
      <c r="K4" s="6">
        <f t="shared" ref="K4:K8" si="3">J4/E4</f>
        <v>2.2304409055264463E-4</v>
      </c>
      <c r="L4" s="7">
        <v>98274</v>
      </c>
      <c r="M4" s="6">
        <f t="shared" ref="M4:M8" si="4">L4/E4</f>
        <v>5.3331958527909E-2</v>
      </c>
      <c r="N4" s="7">
        <v>32</v>
      </c>
      <c r="O4" s="7">
        <v>8</v>
      </c>
      <c r="P4" s="7">
        <v>8</v>
      </c>
      <c r="Q4" s="7">
        <v>256</v>
      </c>
      <c r="S4" s="7">
        <v>1000</v>
      </c>
      <c r="T4" s="7" t="s">
        <v>52</v>
      </c>
      <c r="U4" s="7">
        <v>100</v>
      </c>
      <c r="V4" s="7">
        <v>100</v>
      </c>
      <c r="W4" s="7">
        <v>1</v>
      </c>
      <c r="X4" s="7">
        <v>2</v>
      </c>
      <c r="Y4" s="7">
        <v>1</v>
      </c>
      <c r="Z4" s="7">
        <v>1</v>
      </c>
      <c r="AA4" s="7">
        <v>2</v>
      </c>
      <c r="AB4" s="7">
        <v>2</v>
      </c>
      <c r="AC4" s="7">
        <v>2</v>
      </c>
      <c r="AD4" s="7" t="s">
        <v>58</v>
      </c>
      <c r="AE4" s="7">
        <v>2</v>
      </c>
      <c r="AF4" s="7" t="s">
        <v>21</v>
      </c>
      <c r="AG4" s="7" t="s">
        <v>47</v>
      </c>
      <c r="AH4" s="7" t="s">
        <v>48</v>
      </c>
      <c r="AI4" s="7" t="s">
        <v>49</v>
      </c>
    </row>
    <row r="5" spans="1:36" s="5" customFormat="1" x14ac:dyDescent="0.25">
      <c r="A5" s="44"/>
      <c r="B5" s="43"/>
      <c r="C5" s="5">
        <v>192593</v>
      </c>
      <c r="D5" s="6">
        <f>C5/C19</f>
        <v>2.7785183582197215</v>
      </c>
      <c r="E5" s="5">
        <f t="shared" si="0"/>
        <v>1842685</v>
      </c>
      <c r="F5" s="6">
        <v>1040000</v>
      </c>
      <c r="G5" s="6">
        <f t="shared" si="1"/>
        <v>0.56439380577798159</v>
      </c>
      <c r="H5" s="6">
        <v>704000</v>
      </c>
      <c r="I5" s="6">
        <f t="shared" si="2"/>
        <v>0.38205119160355677</v>
      </c>
      <c r="J5" s="6">
        <v>411</v>
      </c>
      <c r="K5" s="6">
        <f t="shared" si="3"/>
        <v>2.2304409055264463E-4</v>
      </c>
      <c r="L5" s="6">
        <v>98274</v>
      </c>
      <c r="M5" s="6">
        <f t="shared" si="4"/>
        <v>5.3331958527909E-2</v>
      </c>
      <c r="N5" s="5">
        <v>16</v>
      </c>
      <c r="O5" s="5">
        <v>8</v>
      </c>
      <c r="P5" s="5">
        <v>8</v>
      </c>
      <c r="Q5" s="5">
        <v>256</v>
      </c>
      <c r="S5" s="5">
        <v>1000</v>
      </c>
      <c r="T5" s="5" t="s">
        <v>52</v>
      </c>
      <c r="U5" s="5">
        <v>100</v>
      </c>
      <c r="V5" s="5">
        <v>100</v>
      </c>
      <c r="W5" s="5">
        <v>1</v>
      </c>
      <c r="X5" s="5">
        <v>2</v>
      </c>
      <c r="Y5" s="5">
        <v>1</v>
      </c>
      <c r="Z5" s="5">
        <v>1</v>
      </c>
      <c r="AA5" s="5">
        <v>2</v>
      </c>
      <c r="AB5" s="5">
        <v>2</v>
      </c>
      <c r="AC5" s="5">
        <v>2</v>
      </c>
      <c r="AD5" s="5" t="s">
        <v>58</v>
      </c>
      <c r="AE5" s="5">
        <v>2</v>
      </c>
      <c r="AF5" s="5" t="s">
        <v>21</v>
      </c>
      <c r="AG5" s="5" t="s">
        <v>47</v>
      </c>
      <c r="AH5" s="5" t="s">
        <v>48</v>
      </c>
      <c r="AI5" s="5" t="s">
        <v>49</v>
      </c>
    </row>
    <row r="6" spans="1:36" s="7" customFormat="1" x14ac:dyDescent="0.25">
      <c r="A6" s="44"/>
      <c r="B6" s="43"/>
      <c r="C6" s="7">
        <v>338198</v>
      </c>
      <c r="D6" s="7">
        <f>C6/C19</f>
        <v>4.8791459280098106</v>
      </c>
      <c r="E6" s="9">
        <f t="shared" si="0"/>
        <v>1842685</v>
      </c>
      <c r="F6" s="9">
        <v>1040000</v>
      </c>
      <c r="G6" s="6">
        <f t="shared" si="1"/>
        <v>0.56439380577798159</v>
      </c>
      <c r="H6" s="7">
        <v>704000</v>
      </c>
      <c r="I6" s="6">
        <f t="shared" si="2"/>
        <v>0.38205119160355677</v>
      </c>
      <c r="J6" s="7">
        <v>411</v>
      </c>
      <c r="K6" s="6">
        <f t="shared" si="3"/>
        <v>2.2304409055264463E-4</v>
      </c>
      <c r="L6" s="7">
        <v>98274</v>
      </c>
      <c r="M6" s="6">
        <f t="shared" si="4"/>
        <v>5.3331958527909E-2</v>
      </c>
      <c r="N6" s="7">
        <v>8</v>
      </c>
      <c r="O6" s="7">
        <v>8</v>
      </c>
      <c r="P6" s="7">
        <v>8</v>
      </c>
      <c r="Q6" s="7">
        <v>256</v>
      </c>
      <c r="R6" s="7" t="s">
        <v>50</v>
      </c>
      <c r="S6" s="7">
        <v>1000</v>
      </c>
      <c r="T6" s="7" t="s">
        <v>52</v>
      </c>
      <c r="U6" s="7">
        <v>100</v>
      </c>
      <c r="V6" s="7">
        <v>100</v>
      </c>
      <c r="W6" s="7">
        <v>1</v>
      </c>
      <c r="X6" s="7">
        <v>2</v>
      </c>
      <c r="Y6" s="7">
        <v>1</v>
      </c>
      <c r="Z6" s="7">
        <v>1</v>
      </c>
      <c r="AA6" s="7">
        <v>2</v>
      </c>
      <c r="AB6" s="7">
        <v>2</v>
      </c>
      <c r="AC6" s="7">
        <v>2</v>
      </c>
      <c r="AD6" s="7" t="s">
        <v>58</v>
      </c>
      <c r="AE6" s="7">
        <v>2</v>
      </c>
      <c r="AF6" s="7" t="s">
        <v>21</v>
      </c>
      <c r="AG6" s="7" t="s">
        <v>47</v>
      </c>
      <c r="AH6" s="7" t="s">
        <v>48</v>
      </c>
      <c r="AI6" s="7" t="s">
        <v>49</v>
      </c>
    </row>
    <row r="7" spans="1:36" s="5" customFormat="1" x14ac:dyDescent="0.25">
      <c r="A7" s="44"/>
      <c r="B7" s="43"/>
      <c r="C7" s="5">
        <v>645398</v>
      </c>
      <c r="D7" s="6">
        <f>C7/C19</f>
        <v>9.3110870662915683</v>
      </c>
      <c r="E7" s="5">
        <f t="shared" si="0"/>
        <v>1842685</v>
      </c>
      <c r="F7" s="6">
        <v>1040000</v>
      </c>
      <c r="G7" s="6">
        <f t="shared" si="1"/>
        <v>0.56439380577798159</v>
      </c>
      <c r="H7" s="6">
        <v>704000</v>
      </c>
      <c r="I7" s="6">
        <f t="shared" si="2"/>
        <v>0.38205119160355677</v>
      </c>
      <c r="J7" s="6">
        <v>411</v>
      </c>
      <c r="K7" s="6">
        <f t="shared" si="3"/>
        <v>2.2304409055264463E-4</v>
      </c>
      <c r="L7" s="6">
        <v>98274</v>
      </c>
      <c r="M7" s="6">
        <f t="shared" si="4"/>
        <v>5.3331958527909E-2</v>
      </c>
      <c r="N7" s="5">
        <v>4</v>
      </c>
      <c r="O7" s="5">
        <v>8</v>
      </c>
      <c r="P7" s="5">
        <v>8</v>
      </c>
      <c r="Q7" s="5">
        <v>256</v>
      </c>
      <c r="S7" s="5">
        <v>1000</v>
      </c>
      <c r="T7" s="5" t="s">
        <v>60</v>
      </c>
      <c r="U7" s="5">
        <v>100</v>
      </c>
      <c r="V7" s="5">
        <v>100</v>
      </c>
      <c r="W7" s="5">
        <v>1</v>
      </c>
      <c r="X7" s="5">
        <v>2</v>
      </c>
      <c r="Y7" s="5">
        <v>1</v>
      </c>
      <c r="Z7" s="5">
        <v>1</v>
      </c>
      <c r="AA7" s="5">
        <v>2</v>
      </c>
      <c r="AB7" s="5">
        <v>2</v>
      </c>
      <c r="AC7" s="5">
        <v>2</v>
      </c>
      <c r="AD7" s="5" t="s">
        <v>58</v>
      </c>
      <c r="AE7" s="5">
        <v>2</v>
      </c>
      <c r="AF7" s="5" t="s">
        <v>21</v>
      </c>
      <c r="AG7" s="5" t="s">
        <v>47</v>
      </c>
      <c r="AH7" s="5" t="s">
        <v>48</v>
      </c>
      <c r="AI7" s="5" t="s">
        <v>49</v>
      </c>
    </row>
    <row r="8" spans="1:36" s="7" customFormat="1" x14ac:dyDescent="0.25">
      <c r="A8" s="44"/>
      <c r="B8" s="43"/>
      <c r="C8" s="7">
        <v>1259798</v>
      </c>
      <c r="D8" s="7">
        <f>C8/C19</f>
        <v>18.174969342855082</v>
      </c>
      <c r="E8" s="9">
        <f t="shared" si="0"/>
        <v>1842685</v>
      </c>
      <c r="F8" s="9">
        <v>1040000</v>
      </c>
      <c r="G8" s="6">
        <f t="shared" si="1"/>
        <v>0.56439380577798159</v>
      </c>
      <c r="H8" s="7">
        <v>704000</v>
      </c>
      <c r="I8" s="6">
        <f t="shared" si="2"/>
        <v>0.38205119160355677</v>
      </c>
      <c r="J8" s="7">
        <v>411</v>
      </c>
      <c r="K8" s="6">
        <f t="shared" si="3"/>
        <v>2.2304409055264463E-4</v>
      </c>
      <c r="L8" s="7">
        <v>98274</v>
      </c>
      <c r="M8" s="6">
        <f t="shared" si="4"/>
        <v>5.3331958527909E-2</v>
      </c>
      <c r="N8" s="7">
        <v>2</v>
      </c>
      <c r="O8" s="7">
        <v>8</v>
      </c>
      <c r="P8" s="7">
        <v>8</v>
      </c>
      <c r="Q8" s="7">
        <v>256</v>
      </c>
      <c r="S8" s="7">
        <v>1000</v>
      </c>
      <c r="T8" s="7" t="s">
        <v>52</v>
      </c>
      <c r="U8" s="7">
        <v>100</v>
      </c>
      <c r="V8" s="7">
        <v>100</v>
      </c>
      <c r="W8" s="7">
        <v>1</v>
      </c>
      <c r="X8" s="7">
        <v>2</v>
      </c>
      <c r="Y8" s="7">
        <v>1</v>
      </c>
      <c r="Z8" s="7">
        <v>1</v>
      </c>
      <c r="AA8" s="7">
        <v>2</v>
      </c>
      <c r="AB8" s="7">
        <v>2</v>
      </c>
      <c r="AC8" s="7">
        <v>2</v>
      </c>
      <c r="AD8" s="7" t="s">
        <v>58</v>
      </c>
      <c r="AE8" s="7">
        <v>2</v>
      </c>
      <c r="AF8" s="7" t="s">
        <v>21</v>
      </c>
      <c r="AG8" s="7" t="s">
        <v>47</v>
      </c>
      <c r="AH8" s="7" t="s">
        <v>48</v>
      </c>
      <c r="AI8" s="7" t="s">
        <v>49</v>
      </c>
    </row>
    <row r="9" spans="1:36" x14ac:dyDescent="0.25">
      <c r="A9" s="44"/>
      <c r="E9" s="10"/>
      <c r="F9" s="11"/>
      <c r="G9" s="12"/>
      <c r="H9" s="11"/>
      <c r="I9" s="12"/>
      <c r="J9" s="11"/>
      <c r="K9" s="12"/>
      <c r="L9" s="11"/>
      <c r="M9" s="12"/>
    </row>
    <row r="10" spans="1:36" s="7" customFormat="1" x14ac:dyDescent="0.25">
      <c r="A10" s="44"/>
      <c r="B10" s="43" t="s">
        <v>1</v>
      </c>
      <c r="E10" s="5"/>
      <c r="G10" s="6"/>
      <c r="I10" s="6"/>
      <c r="K10" s="6"/>
      <c r="M10" s="6"/>
    </row>
    <row r="11" spans="1:36" s="5" customFormat="1" x14ac:dyDescent="0.25">
      <c r="A11" s="44"/>
      <c r="B11" s="43"/>
      <c r="C11" s="5">
        <v>285310</v>
      </c>
      <c r="D11" s="5">
        <f>C11/C19</f>
        <v>4.1161364783957293</v>
      </c>
      <c r="E11" s="5">
        <f>F11+H11+J11+L11</f>
        <v>16815739</v>
      </c>
      <c r="F11" s="6">
        <v>16000000</v>
      </c>
      <c r="G11" s="6">
        <f>F11/E11</f>
        <v>0.95148955392326207</v>
      </c>
      <c r="H11" s="6">
        <v>704000</v>
      </c>
      <c r="I11" s="6">
        <f>H11/E11</f>
        <v>4.1865540372623529E-2</v>
      </c>
      <c r="J11" s="6">
        <v>411</v>
      </c>
      <c r="K11" s="6">
        <f>J11/E11</f>
        <v>2.4441387916403794E-5</v>
      </c>
      <c r="L11" s="6">
        <v>111328</v>
      </c>
      <c r="M11" s="6">
        <f>L11/E11</f>
        <v>6.6204643161980568E-3</v>
      </c>
      <c r="N11" s="5">
        <v>64</v>
      </c>
      <c r="O11" s="5">
        <v>8</v>
      </c>
      <c r="P11" s="5">
        <v>8</v>
      </c>
      <c r="Q11" s="5">
        <v>256</v>
      </c>
      <c r="S11" s="5">
        <v>1000</v>
      </c>
      <c r="T11" s="5" t="s">
        <v>61</v>
      </c>
      <c r="U11" s="5">
        <v>100</v>
      </c>
      <c r="V11" s="5">
        <v>100</v>
      </c>
      <c r="W11" s="5">
        <v>1</v>
      </c>
      <c r="X11" s="5">
        <v>2</v>
      </c>
      <c r="Y11" s="5">
        <v>1</v>
      </c>
      <c r="Z11" s="5">
        <v>1</v>
      </c>
      <c r="AA11" s="5">
        <v>2</v>
      </c>
      <c r="AB11" s="5">
        <v>2</v>
      </c>
      <c r="AC11" s="5">
        <v>100</v>
      </c>
      <c r="AD11" s="5">
        <v>1</v>
      </c>
      <c r="AE11" s="5">
        <v>2</v>
      </c>
      <c r="AF11" s="5" t="s">
        <v>21</v>
      </c>
      <c r="AG11" s="5" t="s">
        <v>47</v>
      </c>
      <c r="AH11" s="5" t="s">
        <v>48</v>
      </c>
      <c r="AI11" s="5" t="s">
        <v>49</v>
      </c>
    </row>
    <row r="12" spans="1:36" s="7" customFormat="1" x14ac:dyDescent="0.25">
      <c r="A12" s="44"/>
      <c r="B12" s="43"/>
      <c r="C12" s="7">
        <v>323703</v>
      </c>
      <c r="D12" s="7">
        <f>C12/C19</f>
        <v>4.6700281324388664</v>
      </c>
      <c r="E12" s="9">
        <f t="shared" ref="E12:E24" si="5">F12+H12+J12+L12</f>
        <v>16802685</v>
      </c>
      <c r="F12" s="7">
        <v>16000000</v>
      </c>
      <c r="G12" s="6">
        <f t="shared" ref="G12:G16" si="6">F12/E12</f>
        <v>0.95222876581927229</v>
      </c>
      <c r="H12" s="7">
        <v>704000</v>
      </c>
      <c r="I12" s="6">
        <f t="shared" ref="I12:I16" si="7">H12/E12</f>
        <v>4.1898065696047981E-2</v>
      </c>
      <c r="J12" s="7">
        <v>411</v>
      </c>
      <c r="K12" s="6">
        <f t="shared" ref="K12:K16" si="8">J12/E12</f>
        <v>2.4460376421982559E-5</v>
      </c>
      <c r="L12" s="7">
        <v>98274</v>
      </c>
      <c r="M12" s="6">
        <f t="shared" ref="M12:M16" si="9">L12/E12</f>
        <v>5.8487081082576982E-3</v>
      </c>
      <c r="N12" s="7">
        <v>32</v>
      </c>
      <c r="O12" s="7">
        <v>8</v>
      </c>
      <c r="P12" s="7">
        <v>8</v>
      </c>
      <c r="Q12" s="7">
        <v>256</v>
      </c>
      <c r="S12" s="7">
        <v>1000</v>
      </c>
      <c r="T12" s="7" t="s">
        <v>53</v>
      </c>
      <c r="U12" s="7">
        <v>100</v>
      </c>
      <c r="V12" s="7">
        <v>100</v>
      </c>
      <c r="W12" s="7">
        <v>1</v>
      </c>
      <c r="X12" s="7">
        <v>2</v>
      </c>
      <c r="Y12" s="7">
        <v>1</v>
      </c>
      <c r="Z12" s="7">
        <v>1</v>
      </c>
      <c r="AA12" s="7">
        <v>2</v>
      </c>
      <c r="AB12" s="7">
        <v>2</v>
      </c>
      <c r="AC12" s="7">
        <v>100</v>
      </c>
      <c r="AD12" s="7">
        <v>1</v>
      </c>
      <c r="AE12" s="7">
        <v>2</v>
      </c>
      <c r="AF12" s="7" t="s">
        <v>21</v>
      </c>
      <c r="AG12" s="7" t="s">
        <v>47</v>
      </c>
      <c r="AH12" s="7" t="s">
        <v>48</v>
      </c>
      <c r="AI12" s="7" t="s">
        <v>49</v>
      </c>
    </row>
    <row r="13" spans="1:36" s="5" customFormat="1" x14ac:dyDescent="0.25">
      <c r="A13" s="44"/>
      <c r="B13" s="43"/>
      <c r="C13" s="5">
        <v>400503</v>
      </c>
      <c r="D13" s="6">
        <f>C13/C19</f>
        <v>5.7780134170093049</v>
      </c>
      <c r="E13" s="5">
        <f t="shared" si="5"/>
        <v>16802685</v>
      </c>
      <c r="F13" s="6">
        <v>16000000</v>
      </c>
      <c r="G13" s="6">
        <f t="shared" si="6"/>
        <v>0.95222876581927229</v>
      </c>
      <c r="H13" s="6">
        <v>704000</v>
      </c>
      <c r="I13" s="6">
        <f t="shared" si="7"/>
        <v>4.1898065696047981E-2</v>
      </c>
      <c r="J13" s="6">
        <v>411</v>
      </c>
      <c r="K13" s="6">
        <f t="shared" si="8"/>
        <v>2.4460376421982559E-5</v>
      </c>
      <c r="L13" s="6">
        <v>98274</v>
      </c>
      <c r="M13" s="6">
        <f t="shared" si="9"/>
        <v>5.8487081082576982E-3</v>
      </c>
      <c r="N13" s="5">
        <v>16</v>
      </c>
      <c r="O13" s="5">
        <v>8</v>
      </c>
      <c r="P13" s="5">
        <v>8</v>
      </c>
      <c r="Q13" s="5">
        <v>256</v>
      </c>
      <c r="S13" s="5">
        <v>1000</v>
      </c>
      <c r="T13" s="5" t="s">
        <v>53</v>
      </c>
      <c r="U13" s="5">
        <v>100</v>
      </c>
      <c r="V13" s="5">
        <v>100</v>
      </c>
      <c r="W13" s="5">
        <v>1</v>
      </c>
      <c r="X13" s="5">
        <v>2</v>
      </c>
      <c r="Y13" s="5">
        <v>1</v>
      </c>
      <c r="Z13" s="5">
        <v>1</v>
      </c>
      <c r="AA13" s="5">
        <v>2</v>
      </c>
      <c r="AB13" s="5">
        <v>2</v>
      </c>
      <c r="AC13" s="5">
        <v>100</v>
      </c>
      <c r="AD13" s="5">
        <v>1</v>
      </c>
      <c r="AE13" s="5">
        <v>2</v>
      </c>
      <c r="AF13" s="5" t="s">
        <v>21</v>
      </c>
      <c r="AG13" s="5" t="s">
        <v>47</v>
      </c>
      <c r="AH13" s="5" t="s">
        <v>48</v>
      </c>
      <c r="AI13" s="5" t="s">
        <v>49</v>
      </c>
    </row>
    <row r="14" spans="1:36" s="7" customFormat="1" x14ac:dyDescent="0.25">
      <c r="A14" s="44"/>
      <c r="B14" s="43"/>
      <c r="C14" s="7">
        <v>554103</v>
      </c>
      <c r="D14" s="7">
        <f>C14/C19</f>
        <v>7.9939839861501838</v>
      </c>
      <c r="E14" s="9">
        <f t="shared" si="5"/>
        <v>16802685</v>
      </c>
      <c r="F14" s="7">
        <v>16000000</v>
      </c>
      <c r="G14" s="6">
        <f t="shared" si="6"/>
        <v>0.95222876581927229</v>
      </c>
      <c r="H14" s="7">
        <v>704000</v>
      </c>
      <c r="I14" s="6">
        <f t="shared" si="7"/>
        <v>4.1898065696047981E-2</v>
      </c>
      <c r="J14" s="7">
        <v>411</v>
      </c>
      <c r="K14" s="6">
        <f t="shared" si="8"/>
        <v>2.4460376421982559E-5</v>
      </c>
      <c r="L14" s="7">
        <v>98274</v>
      </c>
      <c r="M14" s="6">
        <f t="shared" si="9"/>
        <v>5.8487081082576982E-3</v>
      </c>
      <c r="N14" s="7">
        <v>8</v>
      </c>
      <c r="O14" s="7">
        <v>8</v>
      </c>
      <c r="P14" s="7">
        <v>8</v>
      </c>
      <c r="Q14" s="7">
        <v>256</v>
      </c>
      <c r="R14" s="7" t="s">
        <v>54</v>
      </c>
      <c r="S14" s="7">
        <v>1000</v>
      </c>
      <c r="T14" s="7" t="s">
        <v>53</v>
      </c>
      <c r="U14" s="7">
        <v>100</v>
      </c>
      <c r="V14" s="7">
        <v>100</v>
      </c>
      <c r="W14" s="7">
        <v>1</v>
      </c>
      <c r="X14" s="7">
        <v>2</v>
      </c>
      <c r="Y14" s="7">
        <v>1</v>
      </c>
      <c r="Z14" s="7">
        <v>1</v>
      </c>
      <c r="AA14" s="7">
        <v>2</v>
      </c>
      <c r="AB14" s="7">
        <v>2</v>
      </c>
      <c r="AC14" s="7">
        <v>100</v>
      </c>
      <c r="AD14" s="7">
        <v>1</v>
      </c>
      <c r="AE14" s="7">
        <v>2</v>
      </c>
      <c r="AF14" s="7" t="s">
        <v>21</v>
      </c>
      <c r="AG14" s="7" t="s">
        <v>47</v>
      </c>
      <c r="AH14" s="7" t="s">
        <v>48</v>
      </c>
      <c r="AI14" s="7" t="s">
        <v>49</v>
      </c>
    </row>
    <row r="15" spans="1:36" s="5" customFormat="1" x14ac:dyDescent="0.25">
      <c r="A15" s="44"/>
      <c r="B15" s="43"/>
      <c r="C15" s="5">
        <v>861303</v>
      </c>
      <c r="D15" s="6">
        <f>C15/C19</f>
        <v>12.425925124431942</v>
      </c>
      <c r="E15" s="5">
        <f t="shared" si="5"/>
        <v>16802685</v>
      </c>
      <c r="F15" s="6">
        <v>16000000</v>
      </c>
      <c r="G15" s="6">
        <f t="shared" si="6"/>
        <v>0.95222876581927229</v>
      </c>
      <c r="H15" s="6">
        <v>704000</v>
      </c>
      <c r="I15" s="6">
        <f t="shared" si="7"/>
        <v>4.1898065696047981E-2</v>
      </c>
      <c r="J15" s="6">
        <v>411</v>
      </c>
      <c r="K15" s="6">
        <f t="shared" si="8"/>
        <v>2.4460376421982559E-5</v>
      </c>
      <c r="L15" s="6">
        <v>98274</v>
      </c>
      <c r="M15" s="6">
        <f t="shared" si="9"/>
        <v>5.8487081082576982E-3</v>
      </c>
      <c r="N15" s="5">
        <v>4</v>
      </c>
      <c r="O15" s="5">
        <v>8</v>
      </c>
      <c r="P15" s="5">
        <v>8</v>
      </c>
      <c r="Q15" s="5">
        <v>256</v>
      </c>
      <c r="S15" s="5">
        <v>1000</v>
      </c>
      <c r="T15" s="5" t="s">
        <v>53</v>
      </c>
      <c r="U15" s="5">
        <v>100</v>
      </c>
      <c r="V15" s="5">
        <v>100</v>
      </c>
      <c r="W15" s="5">
        <v>1</v>
      </c>
      <c r="X15" s="5">
        <v>2</v>
      </c>
      <c r="Y15" s="5">
        <v>1</v>
      </c>
      <c r="Z15" s="5">
        <v>1</v>
      </c>
      <c r="AA15" s="5">
        <v>2</v>
      </c>
      <c r="AB15" s="5">
        <v>2</v>
      </c>
      <c r="AC15" s="5">
        <v>100</v>
      </c>
      <c r="AD15" s="5">
        <v>1</v>
      </c>
      <c r="AE15" s="5">
        <v>2</v>
      </c>
      <c r="AF15" s="5" t="s">
        <v>21</v>
      </c>
      <c r="AG15" s="5" t="s">
        <v>47</v>
      </c>
      <c r="AH15" s="5" t="s">
        <v>48</v>
      </c>
      <c r="AI15" s="5" t="s">
        <v>49</v>
      </c>
    </row>
    <row r="16" spans="1:36" s="7" customFormat="1" x14ac:dyDescent="0.25">
      <c r="A16" s="44"/>
      <c r="B16" s="43"/>
      <c r="C16" s="7">
        <v>1475703</v>
      </c>
      <c r="D16" s="7">
        <f>C16/C19</f>
        <v>21.289807400995457</v>
      </c>
      <c r="E16" s="9">
        <f t="shared" si="5"/>
        <v>16802685</v>
      </c>
      <c r="F16" s="7">
        <v>16000000</v>
      </c>
      <c r="G16" s="6">
        <f t="shared" si="6"/>
        <v>0.95222876581927229</v>
      </c>
      <c r="H16" s="7">
        <v>704000</v>
      </c>
      <c r="I16" s="6">
        <f t="shared" si="7"/>
        <v>4.1898065696047981E-2</v>
      </c>
      <c r="J16" s="7">
        <v>411</v>
      </c>
      <c r="K16" s="6">
        <f t="shared" si="8"/>
        <v>2.4460376421982559E-5</v>
      </c>
      <c r="L16" s="7">
        <v>98274</v>
      </c>
      <c r="M16" s="6">
        <f t="shared" si="9"/>
        <v>5.8487081082576982E-3</v>
      </c>
      <c r="N16" s="7">
        <v>2</v>
      </c>
      <c r="O16" s="7">
        <v>8</v>
      </c>
      <c r="P16" s="7">
        <v>8</v>
      </c>
      <c r="Q16" s="7">
        <v>256</v>
      </c>
      <c r="S16" s="7">
        <v>1000</v>
      </c>
      <c r="T16" s="7" t="s">
        <v>53</v>
      </c>
      <c r="U16" s="7">
        <v>100</v>
      </c>
      <c r="V16" s="7">
        <v>100</v>
      </c>
      <c r="W16" s="7">
        <v>1</v>
      </c>
      <c r="X16" s="7">
        <v>2</v>
      </c>
      <c r="Y16" s="7">
        <v>1</v>
      </c>
      <c r="Z16" s="7">
        <v>1</v>
      </c>
      <c r="AA16" s="7">
        <v>2</v>
      </c>
      <c r="AB16" s="7">
        <v>2</v>
      </c>
      <c r="AC16" s="7">
        <v>100</v>
      </c>
      <c r="AD16" s="7">
        <v>1</v>
      </c>
      <c r="AE16" s="7">
        <v>2</v>
      </c>
      <c r="AF16" s="7" t="s">
        <v>21</v>
      </c>
      <c r="AG16" s="7" t="s">
        <v>47</v>
      </c>
      <c r="AH16" s="7" t="s">
        <v>48</v>
      </c>
      <c r="AI16" s="7" t="s">
        <v>49</v>
      </c>
    </row>
    <row r="17" spans="1:35" x14ac:dyDescent="0.25">
      <c r="A17" s="44"/>
      <c r="E17" s="10"/>
      <c r="F17" s="11"/>
      <c r="G17" s="12"/>
      <c r="H17" s="11"/>
      <c r="I17" s="12"/>
      <c r="J17" s="11"/>
      <c r="K17" s="12"/>
      <c r="L17" s="11"/>
      <c r="M17" s="12"/>
    </row>
    <row r="18" spans="1:35" s="7" customFormat="1" x14ac:dyDescent="0.25">
      <c r="A18" s="44"/>
      <c r="B18" s="43" t="s">
        <v>1</v>
      </c>
      <c r="E18" s="5"/>
      <c r="G18" s="6"/>
      <c r="I18" s="6"/>
      <c r="K18" s="6"/>
      <c r="M18" s="6"/>
    </row>
    <row r="19" spans="1:35" s="5" customFormat="1" x14ac:dyDescent="0.25">
      <c r="A19" s="44"/>
      <c r="B19" s="43"/>
      <c r="C19" s="5">
        <v>69315</v>
      </c>
      <c r="D19" s="5">
        <f>C19/C19</f>
        <v>1</v>
      </c>
      <c r="E19" s="5">
        <f>F19+H19+J19+L19</f>
        <v>9204420</v>
      </c>
      <c r="F19" s="6">
        <v>8388681</v>
      </c>
      <c r="G19" s="6">
        <f>F19/E19</f>
        <v>0.9113752957818092</v>
      </c>
      <c r="H19" s="6">
        <v>704000</v>
      </c>
      <c r="I19" s="6">
        <f>H19/E19</f>
        <v>7.6484993079411853E-2</v>
      </c>
      <c r="J19" s="6">
        <v>411</v>
      </c>
      <c r="K19" s="6">
        <f>J19/E19</f>
        <v>4.4652460448349816E-5</v>
      </c>
      <c r="L19" s="6">
        <v>111328</v>
      </c>
      <c r="M19" s="6">
        <f>L19/E19</f>
        <v>1.2095058678330628E-2</v>
      </c>
      <c r="N19" s="5">
        <v>64</v>
      </c>
      <c r="O19" s="5">
        <v>8</v>
      </c>
      <c r="P19" s="5">
        <v>8</v>
      </c>
      <c r="Q19" s="5">
        <v>256</v>
      </c>
      <c r="S19" s="5">
        <v>1000</v>
      </c>
      <c r="T19" s="5" t="s">
        <v>62</v>
      </c>
      <c r="U19" s="5">
        <v>100</v>
      </c>
      <c r="V19" s="5">
        <v>100</v>
      </c>
      <c r="W19" s="5">
        <v>1</v>
      </c>
      <c r="X19" s="5">
        <v>2</v>
      </c>
      <c r="Y19" s="5">
        <v>1</v>
      </c>
      <c r="Z19" s="5">
        <v>1</v>
      </c>
      <c r="AA19" s="5">
        <v>2</v>
      </c>
      <c r="AB19" s="5">
        <v>2</v>
      </c>
      <c r="AC19" s="5">
        <v>40</v>
      </c>
      <c r="AD19" s="5" t="s">
        <v>18</v>
      </c>
      <c r="AE19" s="5">
        <v>2</v>
      </c>
      <c r="AF19" s="5" t="s">
        <v>21</v>
      </c>
      <c r="AG19" s="5" t="s">
        <v>47</v>
      </c>
      <c r="AH19" s="5" t="s">
        <v>48</v>
      </c>
      <c r="AI19" s="5" t="s">
        <v>49</v>
      </c>
    </row>
    <row r="20" spans="1:35" s="7" customFormat="1" x14ac:dyDescent="0.25">
      <c r="A20" s="44"/>
      <c r="B20" s="43"/>
      <c r="C20" s="7">
        <v>107708</v>
      </c>
      <c r="D20" s="7">
        <f>C20/C19</f>
        <v>1.5538916540431364</v>
      </c>
      <c r="E20" s="9">
        <f t="shared" si="5"/>
        <v>9102685</v>
      </c>
      <c r="F20" s="7">
        <v>8300000</v>
      </c>
      <c r="G20" s="6">
        <f t="shared" ref="G20:G24" si="10">F20/E20</f>
        <v>0.91181887541972506</v>
      </c>
      <c r="H20" s="7">
        <v>704000</v>
      </c>
      <c r="I20" s="6">
        <f t="shared" ref="I20:I24" si="11">H20/E20</f>
        <v>7.7339817866926078E-2</v>
      </c>
      <c r="J20" s="7">
        <v>411</v>
      </c>
      <c r="K20" s="6">
        <f t="shared" ref="K20:K24" si="12">J20/E20</f>
        <v>4.5151512987651444E-5</v>
      </c>
      <c r="L20" s="7">
        <v>98274</v>
      </c>
      <c r="M20" s="6">
        <f t="shared" ref="M20:M24" si="13">L20/E20</f>
        <v>1.0796155200361212E-2</v>
      </c>
      <c r="N20" s="7">
        <v>32</v>
      </c>
      <c r="O20" s="7">
        <v>8</v>
      </c>
      <c r="P20" s="7">
        <v>8</v>
      </c>
      <c r="Q20" s="7">
        <v>256</v>
      </c>
      <c r="S20" s="7">
        <v>1000</v>
      </c>
      <c r="T20" s="7" t="s">
        <v>56</v>
      </c>
      <c r="U20" s="7">
        <v>100</v>
      </c>
      <c r="V20" s="7">
        <v>100</v>
      </c>
      <c r="W20" s="7">
        <v>1</v>
      </c>
      <c r="X20" s="7">
        <v>2</v>
      </c>
      <c r="Y20" s="7">
        <v>1</v>
      </c>
      <c r="Z20" s="7">
        <v>1</v>
      </c>
      <c r="AA20" s="7">
        <v>2</v>
      </c>
      <c r="AB20" s="7">
        <v>2</v>
      </c>
      <c r="AC20" s="7">
        <v>40</v>
      </c>
      <c r="AD20" s="7" t="s">
        <v>18</v>
      </c>
      <c r="AE20" s="7">
        <v>2</v>
      </c>
      <c r="AF20" s="7" t="s">
        <v>21</v>
      </c>
      <c r="AG20" s="7" t="s">
        <v>47</v>
      </c>
      <c r="AH20" s="7" t="s">
        <v>48</v>
      </c>
      <c r="AI20" s="7" t="s">
        <v>49</v>
      </c>
    </row>
    <row r="21" spans="1:35" s="5" customFormat="1" x14ac:dyDescent="0.25">
      <c r="A21" s="44"/>
      <c r="B21" s="43"/>
      <c r="C21" s="5">
        <v>184508</v>
      </c>
      <c r="D21" s="6">
        <f>C21/C19</f>
        <v>2.6618769386135757</v>
      </c>
      <c r="E21" s="5">
        <f t="shared" si="5"/>
        <v>9102685</v>
      </c>
      <c r="F21" s="6">
        <v>8300000</v>
      </c>
      <c r="G21" s="6">
        <f t="shared" si="10"/>
        <v>0.91181887541972506</v>
      </c>
      <c r="H21" s="6">
        <v>704000</v>
      </c>
      <c r="I21" s="6">
        <f t="shared" si="11"/>
        <v>7.7339817866926078E-2</v>
      </c>
      <c r="J21" s="6">
        <v>411</v>
      </c>
      <c r="K21" s="6">
        <f t="shared" si="12"/>
        <v>4.5151512987651444E-5</v>
      </c>
      <c r="L21" s="6">
        <v>98274</v>
      </c>
      <c r="M21" s="6">
        <f t="shared" si="13"/>
        <v>1.0796155200361212E-2</v>
      </c>
      <c r="N21" s="5">
        <v>16</v>
      </c>
      <c r="O21" s="5">
        <v>8</v>
      </c>
      <c r="P21" s="5">
        <v>8</v>
      </c>
      <c r="Q21" s="5">
        <v>256</v>
      </c>
      <c r="S21" s="5">
        <v>1000</v>
      </c>
      <c r="T21" s="5" t="s">
        <v>56</v>
      </c>
      <c r="U21" s="5">
        <v>100</v>
      </c>
      <c r="V21" s="5">
        <v>100</v>
      </c>
      <c r="W21" s="5">
        <v>1</v>
      </c>
      <c r="X21" s="5">
        <v>2</v>
      </c>
      <c r="Y21" s="5">
        <v>1</v>
      </c>
      <c r="Z21" s="5">
        <v>1</v>
      </c>
      <c r="AA21" s="5">
        <v>2</v>
      </c>
      <c r="AB21" s="5">
        <v>2</v>
      </c>
      <c r="AC21" s="5">
        <v>40</v>
      </c>
      <c r="AD21" s="5" t="s">
        <v>18</v>
      </c>
      <c r="AE21" s="5">
        <v>2</v>
      </c>
      <c r="AF21" s="5" t="s">
        <v>21</v>
      </c>
      <c r="AG21" s="5" t="s">
        <v>47</v>
      </c>
      <c r="AH21" s="5" t="s">
        <v>48</v>
      </c>
      <c r="AI21" s="5" t="s">
        <v>49</v>
      </c>
    </row>
    <row r="22" spans="1:35" s="7" customFormat="1" x14ac:dyDescent="0.25">
      <c r="A22" s="44"/>
      <c r="B22" s="43"/>
      <c r="C22" s="7">
        <v>338108</v>
      </c>
      <c r="D22" s="7">
        <f>C22/C19</f>
        <v>4.8778475077544545</v>
      </c>
      <c r="E22" s="9">
        <f t="shared" si="5"/>
        <v>9102685</v>
      </c>
      <c r="F22" s="7">
        <v>8300000</v>
      </c>
      <c r="G22" s="6">
        <f t="shared" si="10"/>
        <v>0.91181887541972506</v>
      </c>
      <c r="H22" s="7">
        <v>704000</v>
      </c>
      <c r="I22" s="6">
        <f t="shared" si="11"/>
        <v>7.7339817866926078E-2</v>
      </c>
      <c r="J22" s="7">
        <v>411</v>
      </c>
      <c r="K22" s="6">
        <f t="shared" si="12"/>
        <v>4.5151512987651444E-5</v>
      </c>
      <c r="L22" s="7">
        <v>98274</v>
      </c>
      <c r="M22" s="6">
        <f t="shared" si="13"/>
        <v>1.0796155200361212E-2</v>
      </c>
      <c r="N22" s="7">
        <v>8</v>
      </c>
      <c r="O22" s="7">
        <v>8</v>
      </c>
      <c r="P22" s="7">
        <v>8</v>
      </c>
      <c r="Q22" s="7">
        <v>256</v>
      </c>
      <c r="S22" s="7">
        <v>1000</v>
      </c>
      <c r="T22" s="7" t="s">
        <v>56</v>
      </c>
      <c r="U22" s="7">
        <v>100</v>
      </c>
      <c r="V22" s="7">
        <v>100</v>
      </c>
      <c r="W22" s="7">
        <v>1</v>
      </c>
      <c r="X22" s="7">
        <v>2</v>
      </c>
      <c r="Y22" s="7">
        <v>1</v>
      </c>
      <c r="Z22" s="7">
        <v>1</v>
      </c>
      <c r="AA22" s="7">
        <v>2</v>
      </c>
      <c r="AB22" s="7">
        <v>2</v>
      </c>
      <c r="AC22" s="7">
        <v>40</v>
      </c>
      <c r="AD22" s="7" t="s">
        <v>18</v>
      </c>
      <c r="AE22" s="7">
        <v>2</v>
      </c>
      <c r="AF22" s="7" t="s">
        <v>21</v>
      </c>
      <c r="AG22" s="7" t="s">
        <v>47</v>
      </c>
      <c r="AH22" s="7" t="s">
        <v>48</v>
      </c>
      <c r="AI22" s="7" t="s">
        <v>49</v>
      </c>
    </row>
    <row r="23" spans="1:35" s="5" customFormat="1" x14ac:dyDescent="0.25">
      <c r="A23" s="44"/>
      <c r="B23" s="43"/>
      <c r="C23" s="5">
        <v>645308</v>
      </c>
      <c r="D23" s="6">
        <f>C23/C19</f>
        <v>9.3097886460362123</v>
      </c>
      <c r="E23" s="8">
        <f t="shared" si="5"/>
        <v>9102685</v>
      </c>
      <c r="F23" s="6">
        <v>8300000</v>
      </c>
      <c r="G23" s="6">
        <f t="shared" si="10"/>
        <v>0.91181887541972506</v>
      </c>
      <c r="H23" s="6">
        <v>704000</v>
      </c>
      <c r="I23" s="6">
        <f t="shared" si="11"/>
        <v>7.7339817866926078E-2</v>
      </c>
      <c r="J23" s="6">
        <v>411</v>
      </c>
      <c r="K23" s="6">
        <f t="shared" si="12"/>
        <v>4.5151512987651444E-5</v>
      </c>
      <c r="L23" s="6">
        <v>98274</v>
      </c>
      <c r="M23" s="6">
        <f t="shared" si="13"/>
        <v>1.0796155200361212E-2</v>
      </c>
      <c r="N23" s="5">
        <v>4</v>
      </c>
      <c r="O23" s="5">
        <v>8</v>
      </c>
      <c r="P23" s="5">
        <v>8</v>
      </c>
      <c r="Q23" s="5">
        <v>256</v>
      </c>
      <c r="S23" s="5">
        <v>1000</v>
      </c>
      <c r="T23" s="5" t="s">
        <v>56</v>
      </c>
      <c r="U23" s="5">
        <v>100</v>
      </c>
      <c r="V23" s="5">
        <v>100</v>
      </c>
      <c r="W23" s="5">
        <v>1</v>
      </c>
      <c r="X23" s="5">
        <v>2</v>
      </c>
      <c r="Y23" s="5">
        <v>1</v>
      </c>
      <c r="Z23" s="5">
        <v>1</v>
      </c>
      <c r="AA23" s="5">
        <v>2</v>
      </c>
      <c r="AB23" s="5">
        <v>2</v>
      </c>
      <c r="AC23" s="5">
        <v>40</v>
      </c>
      <c r="AD23" s="5" t="s">
        <v>18</v>
      </c>
      <c r="AE23" s="5">
        <v>2</v>
      </c>
      <c r="AF23" s="5" t="s">
        <v>21</v>
      </c>
      <c r="AG23" s="5" t="s">
        <v>47</v>
      </c>
      <c r="AH23" s="5" t="s">
        <v>48</v>
      </c>
      <c r="AI23" s="5" t="s">
        <v>49</v>
      </c>
    </row>
    <row r="24" spans="1:35" s="7" customFormat="1" x14ac:dyDescent="0.25">
      <c r="A24" s="44"/>
      <c r="B24" s="43"/>
      <c r="C24" s="7">
        <v>1259708</v>
      </c>
      <c r="D24" s="7">
        <f>C24/C19</f>
        <v>18.173670922599726</v>
      </c>
      <c r="E24" s="9">
        <f t="shared" si="5"/>
        <v>9102685</v>
      </c>
      <c r="F24" s="7">
        <v>8300000</v>
      </c>
      <c r="G24" s="6">
        <f t="shared" si="10"/>
        <v>0.91181887541972506</v>
      </c>
      <c r="H24" s="7">
        <v>704000</v>
      </c>
      <c r="I24" s="6">
        <f t="shared" si="11"/>
        <v>7.7339817866926078E-2</v>
      </c>
      <c r="J24" s="7">
        <v>411</v>
      </c>
      <c r="K24" s="6">
        <f t="shared" si="12"/>
        <v>4.5151512987651444E-5</v>
      </c>
      <c r="L24" s="7">
        <v>98274</v>
      </c>
      <c r="M24" s="6">
        <f t="shared" si="13"/>
        <v>1.0796155200361212E-2</v>
      </c>
      <c r="N24" s="7">
        <v>2</v>
      </c>
      <c r="O24" s="7">
        <v>8</v>
      </c>
      <c r="P24" s="7">
        <v>8</v>
      </c>
      <c r="Q24" s="7">
        <v>256</v>
      </c>
      <c r="S24" s="7">
        <v>1000</v>
      </c>
      <c r="T24" s="7" t="s">
        <v>56</v>
      </c>
      <c r="U24" s="7">
        <v>100</v>
      </c>
      <c r="V24" s="7">
        <v>100</v>
      </c>
      <c r="W24" s="7">
        <v>1</v>
      </c>
      <c r="X24" s="7">
        <v>2</v>
      </c>
      <c r="Y24" s="7">
        <v>1</v>
      </c>
      <c r="Z24" s="7">
        <v>1</v>
      </c>
      <c r="AA24" s="7">
        <v>2</v>
      </c>
      <c r="AB24" s="7">
        <v>2</v>
      </c>
      <c r="AC24" s="7">
        <v>40</v>
      </c>
      <c r="AD24" s="7" t="s">
        <v>18</v>
      </c>
      <c r="AE24" s="7">
        <v>2</v>
      </c>
      <c r="AF24" s="7" t="s">
        <v>21</v>
      </c>
      <c r="AG24" s="7" t="s">
        <v>47</v>
      </c>
      <c r="AH24" s="7" t="s">
        <v>48</v>
      </c>
      <c r="AI24" s="7" t="s">
        <v>49</v>
      </c>
    </row>
  </sheetData>
  <mergeCells count="4">
    <mergeCell ref="B10:B16"/>
    <mergeCell ref="B18:B24"/>
    <mergeCell ref="B2:B8"/>
    <mergeCell ref="A1:A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B46" zoomScale="85" zoomScaleNormal="85" workbookViewId="0">
      <selection activeCell="H1" sqref="H1:I16"/>
    </sheetView>
  </sheetViews>
  <sheetFormatPr defaultRowHeight="15" x14ac:dyDescent="0.25"/>
  <cols>
    <col min="2" max="2" width="22.28515625" customWidth="1"/>
    <col min="3" max="3" width="21.140625" customWidth="1"/>
    <col min="4" max="4" width="27.7109375" customWidth="1"/>
    <col min="5" max="5" width="21.7109375" customWidth="1"/>
    <col min="6" max="6" width="16.42578125" customWidth="1"/>
    <col min="7" max="8" width="9.85546875" customWidth="1"/>
    <col min="9" max="9" width="18.85546875" customWidth="1"/>
    <col min="10" max="10" width="21.85546875" customWidth="1"/>
    <col min="11" max="11" width="25.42578125" customWidth="1"/>
    <col min="12" max="12" width="24.42578125" customWidth="1"/>
    <col min="13" max="13" width="17.140625" customWidth="1"/>
    <col min="14" max="14" width="19.28515625" customWidth="1"/>
    <col min="15" max="15" width="27.7109375" customWidth="1"/>
    <col min="16" max="16" width="21" customWidth="1"/>
    <col min="17" max="17" width="28.85546875" customWidth="1"/>
    <col min="18" max="18" width="33.5703125" customWidth="1"/>
    <col min="19" max="19" width="24.42578125" customWidth="1"/>
    <col min="20" max="20" width="23.7109375" customWidth="1"/>
    <col min="21" max="21" width="16.85546875" customWidth="1"/>
    <col min="22" max="22" width="16.5703125" customWidth="1"/>
    <col min="23" max="23" width="34.85546875" customWidth="1"/>
    <col min="24" max="24" width="24.5703125" customWidth="1"/>
    <col min="25" max="25" width="23" customWidth="1"/>
  </cols>
  <sheetData>
    <row r="1" spans="1:25" x14ac:dyDescent="0.25">
      <c r="A1" s="45" t="s">
        <v>45</v>
      </c>
      <c r="B1" s="1" t="s">
        <v>0</v>
      </c>
      <c r="C1" s="1" t="s">
        <v>6</v>
      </c>
      <c r="D1" s="1" t="s">
        <v>73</v>
      </c>
      <c r="E1" s="1" t="s">
        <v>7</v>
      </c>
      <c r="F1" s="1" t="s">
        <v>51</v>
      </c>
      <c r="G1" s="1" t="s">
        <v>3</v>
      </c>
      <c r="H1" s="1" t="s">
        <v>46</v>
      </c>
      <c r="I1" s="1" t="s">
        <v>4</v>
      </c>
      <c r="J1" s="1" t="s">
        <v>5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19</v>
      </c>
      <c r="V1" s="1" t="s">
        <v>20</v>
      </c>
      <c r="W1" s="1" t="s">
        <v>22</v>
      </c>
      <c r="X1" s="1" t="s">
        <v>23</v>
      </c>
      <c r="Y1" s="1" t="s">
        <v>24</v>
      </c>
    </row>
    <row r="2" spans="1:25" x14ac:dyDescent="0.25">
      <c r="A2" s="45"/>
      <c r="B2" s="1"/>
      <c r="C2" s="1">
        <v>187421</v>
      </c>
      <c r="D2" s="1">
        <f>C2/C2</f>
        <v>1</v>
      </c>
      <c r="E2" s="1">
        <v>4000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45"/>
      <c r="B3" s="46" t="s">
        <v>66</v>
      </c>
      <c r="C3" s="7">
        <v>233416</v>
      </c>
      <c r="D3" s="7">
        <f>C3/C2</f>
        <v>1.2454100661078535</v>
      </c>
      <c r="E3" s="7">
        <v>2000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5">
      <c r="A4" s="45"/>
      <c r="B4" s="46"/>
      <c r="C4" s="5">
        <v>338198</v>
      </c>
      <c r="D4" s="5">
        <f>C4/C2</f>
        <v>1.8044829554852444</v>
      </c>
      <c r="E4" s="5">
        <v>1000</v>
      </c>
      <c r="F4" s="5" t="s">
        <v>60</v>
      </c>
      <c r="G4" s="6">
        <v>8</v>
      </c>
      <c r="H4" s="5">
        <v>8</v>
      </c>
      <c r="I4" s="5">
        <v>8</v>
      </c>
      <c r="J4" s="5">
        <v>256</v>
      </c>
      <c r="K4" s="5">
        <v>100</v>
      </c>
      <c r="L4" s="5">
        <v>100</v>
      </c>
      <c r="M4" s="5">
        <v>1</v>
      </c>
      <c r="N4" s="5">
        <v>2</v>
      </c>
      <c r="O4" s="5">
        <v>1</v>
      </c>
      <c r="P4" s="5">
        <v>1</v>
      </c>
      <c r="Q4" s="5">
        <v>2</v>
      </c>
      <c r="R4" s="5">
        <v>2</v>
      </c>
      <c r="S4" s="5">
        <v>2</v>
      </c>
      <c r="T4" s="5" t="s">
        <v>58</v>
      </c>
      <c r="U4" s="5">
        <v>2</v>
      </c>
      <c r="V4" s="5" t="s">
        <v>21</v>
      </c>
      <c r="W4" s="5" t="s">
        <v>47</v>
      </c>
      <c r="X4" s="5" t="s">
        <v>48</v>
      </c>
      <c r="Y4" s="5" t="s">
        <v>49</v>
      </c>
    </row>
    <row r="5" spans="1:25" x14ac:dyDescent="0.25">
      <c r="A5" s="45"/>
      <c r="B5" s="46"/>
      <c r="C5" s="7">
        <v>2125062</v>
      </c>
      <c r="D5" s="7">
        <f>C5/C2</f>
        <v>11.33844126325225</v>
      </c>
      <c r="E5" s="7">
        <v>100</v>
      </c>
      <c r="F5" s="7" t="s">
        <v>52</v>
      </c>
      <c r="G5" s="7">
        <v>8</v>
      </c>
      <c r="H5" s="7">
        <v>8</v>
      </c>
      <c r="I5" s="7">
        <v>8</v>
      </c>
      <c r="J5" s="7">
        <v>256</v>
      </c>
      <c r="K5" s="7">
        <v>100</v>
      </c>
      <c r="L5" s="7">
        <v>100</v>
      </c>
      <c r="M5" s="7">
        <v>1</v>
      </c>
      <c r="N5" s="7">
        <v>2</v>
      </c>
      <c r="O5" s="7">
        <v>1</v>
      </c>
      <c r="P5" s="7">
        <v>1</v>
      </c>
      <c r="Q5" s="7">
        <v>2</v>
      </c>
      <c r="R5" s="7">
        <v>2</v>
      </c>
      <c r="S5" s="7">
        <v>2</v>
      </c>
      <c r="T5" s="7" t="s">
        <v>58</v>
      </c>
      <c r="U5" s="7">
        <v>2</v>
      </c>
      <c r="V5" s="7" t="s">
        <v>21</v>
      </c>
      <c r="W5" s="7" t="s">
        <v>47</v>
      </c>
      <c r="X5" s="7" t="s">
        <v>48</v>
      </c>
      <c r="Y5" s="7" t="s">
        <v>49</v>
      </c>
    </row>
    <row r="6" spans="1:25" x14ac:dyDescent="0.25">
      <c r="A6" s="45"/>
      <c r="B6" s="46"/>
      <c r="C6" s="5">
        <v>21177302</v>
      </c>
      <c r="D6" s="8">
        <f>C6/C2</f>
        <v>112.99321847605124</v>
      </c>
      <c r="E6" s="5">
        <v>10</v>
      </c>
      <c r="F6" s="5" t="s">
        <v>52</v>
      </c>
      <c r="G6" s="6">
        <v>8</v>
      </c>
      <c r="H6" s="5">
        <v>8</v>
      </c>
      <c r="I6" s="5">
        <v>8</v>
      </c>
      <c r="J6" s="5">
        <v>256</v>
      </c>
      <c r="K6" s="5">
        <v>100</v>
      </c>
      <c r="L6" s="5">
        <v>100</v>
      </c>
      <c r="M6" s="5">
        <v>1</v>
      </c>
      <c r="N6" s="5">
        <v>2</v>
      </c>
      <c r="O6" s="5">
        <v>1</v>
      </c>
      <c r="P6" s="5">
        <v>1</v>
      </c>
      <c r="Q6" s="5">
        <v>2</v>
      </c>
      <c r="R6" s="5">
        <v>2</v>
      </c>
      <c r="S6" s="5">
        <v>2</v>
      </c>
      <c r="T6" s="5" t="s">
        <v>58</v>
      </c>
      <c r="U6" s="5">
        <v>2</v>
      </c>
      <c r="V6" s="5" t="s">
        <v>21</v>
      </c>
      <c r="W6" s="5" t="s">
        <v>47</v>
      </c>
      <c r="X6" s="5" t="s">
        <v>48</v>
      </c>
      <c r="Y6" s="5" t="s">
        <v>49</v>
      </c>
    </row>
    <row r="7" spans="1:25" x14ac:dyDescent="0.25">
      <c r="A7" s="45"/>
      <c r="B7" s="46"/>
      <c r="C7" s="7">
        <v>211772002</v>
      </c>
      <c r="D7" s="7">
        <f>C7/C2</f>
        <v>1129.9267531386558</v>
      </c>
      <c r="E7" s="7">
        <v>1</v>
      </c>
      <c r="F7" s="7" t="s">
        <v>52</v>
      </c>
      <c r="G7" s="7">
        <v>8</v>
      </c>
      <c r="H7" s="7">
        <v>8</v>
      </c>
      <c r="I7" s="7">
        <v>8</v>
      </c>
      <c r="J7" s="7">
        <v>256</v>
      </c>
      <c r="K7" s="7">
        <v>100</v>
      </c>
      <c r="L7" s="7">
        <v>100</v>
      </c>
      <c r="M7" s="7">
        <v>1</v>
      </c>
      <c r="N7" s="7">
        <v>2</v>
      </c>
      <c r="O7" s="7">
        <v>1</v>
      </c>
      <c r="P7" s="7">
        <v>1</v>
      </c>
      <c r="Q7" s="7">
        <v>2</v>
      </c>
      <c r="R7" s="7">
        <v>2</v>
      </c>
      <c r="S7" s="7">
        <v>2</v>
      </c>
      <c r="T7" s="7" t="s">
        <v>58</v>
      </c>
      <c r="U7" s="7">
        <v>2</v>
      </c>
      <c r="V7" s="7" t="s">
        <v>21</v>
      </c>
      <c r="W7" s="7" t="s">
        <v>47</v>
      </c>
      <c r="X7" s="7" t="s">
        <v>48</v>
      </c>
      <c r="Y7" s="7" t="s">
        <v>49</v>
      </c>
    </row>
    <row r="8" spans="1:25" x14ac:dyDescent="0.25">
      <c r="B8" s="1" t="s">
        <v>74</v>
      </c>
    </row>
    <row r="9" spans="1:25" x14ac:dyDescent="0.25">
      <c r="A9" s="48" t="s">
        <v>76</v>
      </c>
      <c r="B9" s="48"/>
    </row>
    <row r="10" spans="1:25" x14ac:dyDescent="0.25">
      <c r="A10" s="45" t="s">
        <v>63</v>
      </c>
      <c r="B10" s="1" t="s">
        <v>0</v>
      </c>
      <c r="C10" s="1" t="s">
        <v>6</v>
      </c>
      <c r="D10" s="1" t="s">
        <v>55</v>
      </c>
      <c r="E10" s="1" t="s">
        <v>7</v>
      </c>
      <c r="F10" s="1" t="s">
        <v>51</v>
      </c>
      <c r="G10" s="1" t="s">
        <v>3</v>
      </c>
      <c r="H10" s="1" t="s">
        <v>46</v>
      </c>
      <c r="I10" s="1" t="s">
        <v>4</v>
      </c>
      <c r="J10" s="1" t="s">
        <v>5</v>
      </c>
      <c r="K10" s="1" t="s">
        <v>8</v>
      </c>
      <c r="L10" s="1" t="s">
        <v>9</v>
      </c>
      <c r="M10" s="1" t="s">
        <v>10</v>
      </c>
      <c r="N10" s="1" t="s">
        <v>11</v>
      </c>
      <c r="O10" s="1" t="s">
        <v>12</v>
      </c>
      <c r="P10" s="1" t="s">
        <v>13</v>
      </c>
      <c r="Q10" s="1" t="s">
        <v>14</v>
      </c>
      <c r="R10" s="1" t="s">
        <v>15</v>
      </c>
      <c r="S10" s="1" t="s">
        <v>16</v>
      </c>
      <c r="T10" s="1" t="s">
        <v>17</v>
      </c>
      <c r="U10" s="1" t="s">
        <v>19</v>
      </c>
      <c r="V10" s="1" t="s">
        <v>20</v>
      </c>
      <c r="W10" s="1" t="s">
        <v>22</v>
      </c>
      <c r="X10" s="1" t="s">
        <v>23</v>
      </c>
      <c r="Y10" s="1" t="s">
        <v>24</v>
      </c>
    </row>
    <row r="11" spans="1:25" x14ac:dyDescent="0.25">
      <c r="A11" s="45"/>
      <c r="B11" s="1"/>
      <c r="C11" s="1">
        <v>345961</v>
      </c>
      <c r="D11" s="1">
        <f>C11/C2</f>
        <v>1.8459030738284397</v>
      </c>
      <c r="E11" s="1">
        <v>4000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45"/>
      <c r="B12" s="46" t="s">
        <v>65</v>
      </c>
      <c r="C12" s="7">
        <v>402321</v>
      </c>
      <c r="D12" s="5">
        <f>C12/C2</f>
        <v>2.1466164410605</v>
      </c>
      <c r="E12" s="7">
        <v>2000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x14ac:dyDescent="0.25">
      <c r="A13" s="45"/>
      <c r="B13" s="46"/>
      <c r="C13" s="5">
        <v>515042</v>
      </c>
      <c r="D13" s="5">
        <f>C13/C2</f>
        <v>2.7480485111060124</v>
      </c>
      <c r="E13" s="5">
        <v>1000</v>
      </c>
      <c r="F13" s="5" t="s">
        <v>60</v>
      </c>
      <c r="G13" s="6">
        <v>8</v>
      </c>
      <c r="H13" s="5">
        <v>8</v>
      </c>
      <c r="I13" s="5">
        <v>8</v>
      </c>
      <c r="J13" s="5">
        <v>256</v>
      </c>
      <c r="K13" s="5">
        <v>100</v>
      </c>
      <c r="L13" s="5">
        <v>100</v>
      </c>
      <c r="M13" s="5">
        <v>1</v>
      </c>
      <c r="N13" s="5">
        <v>2</v>
      </c>
      <c r="O13" s="5">
        <v>1</v>
      </c>
      <c r="P13" s="5">
        <v>1</v>
      </c>
      <c r="Q13" s="5">
        <v>2</v>
      </c>
      <c r="R13" s="5">
        <v>2</v>
      </c>
      <c r="S13" s="5">
        <v>2</v>
      </c>
      <c r="T13" s="5" t="s">
        <v>58</v>
      </c>
      <c r="U13" s="5">
        <v>2</v>
      </c>
      <c r="V13" s="5" t="s">
        <v>21</v>
      </c>
      <c r="W13" s="5" t="s">
        <v>47</v>
      </c>
      <c r="X13" s="5" t="s">
        <v>48</v>
      </c>
      <c r="Y13" s="5" t="s">
        <v>49</v>
      </c>
    </row>
    <row r="14" spans="1:25" x14ac:dyDescent="0.25">
      <c r="A14" s="45"/>
      <c r="B14" s="46"/>
      <c r="C14" s="7">
        <v>2438412</v>
      </c>
      <c r="D14" s="7">
        <f>C14/C2</f>
        <v>13.010345692318364</v>
      </c>
      <c r="E14" s="7">
        <v>100</v>
      </c>
      <c r="F14" s="7" t="s">
        <v>52</v>
      </c>
      <c r="G14" s="7">
        <v>8</v>
      </c>
      <c r="H14" s="7">
        <v>8</v>
      </c>
      <c r="I14" s="7">
        <v>8</v>
      </c>
      <c r="J14" s="7">
        <v>256</v>
      </c>
      <c r="K14" s="7">
        <v>100</v>
      </c>
      <c r="L14" s="7">
        <v>100</v>
      </c>
      <c r="M14" s="7">
        <v>1</v>
      </c>
      <c r="N14" s="7">
        <v>2</v>
      </c>
      <c r="O14" s="7">
        <v>1</v>
      </c>
      <c r="P14" s="7">
        <v>1</v>
      </c>
      <c r="Q14" s="7">
        <v>2</v>
      </c>
      <c r="R14" s="7">
        <v>2</v>
      </c>
      <c r="S14" s="7">
        <v>2</v>
      </c>
      <c r="T14" s="7" t="s">
        <v>58</v>
      </c>
      <c r="U14" s="7">
        <v>2</v>
      </c>
      <c r="V14" s="7" t="s">
        <v>21</v>
      </c>
      <c r="W14" s="7" t="s">
        <v>47</v>
      </c>
      <c r="X14" s="7" t="s">
        <v>48</v>
      </c>
      <c r="Y14" s="7" t="s">
        <v>49</v>
      </c>
    </row>
    <row r="15" spans="1:25" x14ac:dyDescent="0.25">
      <c r="A15" s="45"/>
      <c r="B15" s="46"/>
      <c r="C15" s="5">
        <v>22728102</v>
      </c>
      <c r="D15" s="6">
        <f>C15/C2</f>
        <v>121.26763809818537</v>
      </c>
      <c r="E15" s="5">
        <v>10</v>
      </c>
      <c r="F15" s="5" t="s">
        <v>52</v>
      </c>
      <c r="G15" s="6">
        <v>8</v>
      </c>
      <c r="H15" s="5">
        <v>8</v>
      </c>
      <c r="I15" s="5">
        <v>8</v>
      </c>
      <c r="J15" s="5">
        <v>256</v>
      </c>
      <c r="K15" s="5">
        <v>100</v>
      </c>
      <c r="L15" s="5">
        <v>100</v>
      </c>
      <c r="M15" s="5">
        <v>1</v>
      </c>
      <c r="N15" s="5">
        <v>2</v>
      </c>
      <c r="O15" s="5">
        <v>1</v>
      </c>
      <c r="P15" s="5">
        <v>1</v>
      </c>
      <c r="Q15" s="5">
        <v>2</v>
      </c>
      <c r="R15" s="5">
        <v>2</v>
      </c>
      <c r="S15" s="5">
        <v>2</v>
      </c>
      <c r="T15" s="5" t="s">
        <v>58</v>
      </c>
      <c r="U15" s="5">
        <v>2</v>
      </c>
      <c r="V15" s="5" t="s">
        <v>21</v>
      </c>
      <c r="W15" s="5" t="s">
        <v>47</v>
      </c>
      <c r="X15" s="5" t="s">
        <v>48</v>
      </c>
      <c r="Y15" s="5" t="s">
        <v>49</v>
      </c>
    </row>
    <row r="16" spans="1:25" x14ac:dyDescent="0.25">
      <c r="A16" s="45"/>
      <c r="B16" s="46"/>
      <c r="C16" s="7">
        <v>225441002</v>
      </c>
      <c r="D16" s="7">
        <f>C16/C2</f>
        <v>1202.8588151807962</v>
      </c>
      <c r="E16" s="7">
        <v>1</v>
      </c>
      <c r="F16" s="7" t="s">
        <v>52</v>
      </c>
      <c r="G16" s="7">
        <v>8</v>
      </c>
      <c r="H16" s="7">
        <v>8</v>
      </c>
      <c r="I16" s="7">
        <v>8</v>
      </c>
      <c r="J16" s="7">
        <v>256</v>
      </c>
      <c r="K16" s="7">
        <v>100</v>
      </c>
      <c r="L16" s="7">
        <v>100</v>
      </c>
      <c r="M16" s="7">
        <v>1</v>
      </c>
      <c r="N16" s="7">
        <v>2</v>
      </c>
      <c r="O16" s="7">
        <v>1</v>
      </c>
      <c r="P16" s="7">
        <v>1</v>
      </c>
      <c r="Q16" s="7">
        <v>2</v>
      </c>
      <c r="R16" s="7">
        <v>2</v>
      </c>
      <c r="S16" s="7">
        <v>2</v>
      </c>
      <c r="T16" s="7" t="s">
        <v>58</v>
      </c>
      <c r="U16" s="7">
        <v>2</v>
      </c>
      <c r="V16" s="7" t="s">
        <v>21</v>
      </c>
      <c r="W16" s="7" t="s">
        <v>47</v>
      </c>
      <c r="X16" s="7" t="s">
        <v>48</v>
      </c>
      <c r="Y16" s="7" t="s">
        <v>49</v>
      </c>
    </row>
    <row r="17" spans="1:25" x14ac:dyDescent="0.25">
      <c r="B17">
        <f>C11/C2</f>
        <v>1.8459030738284397</v>
      </c>
      <c r="C17" s="1">
        <f>C12/C3</f>
        <v>1.7236222024197141</v>
      </c>
      <c r="D17" s="1">
        <f>C13/C2</f>
        <v>2.7480485111060124</v>
      </c>
      <c r="E17" s="1">
        <f>C14/C5</f>
        <v>1.1474545213269072</v>
      </c>
      <c r="F17" s="1">
        <f>C15/C6</f>
        <v>1.0732293471566869</v>
      </c>
      <c r="G17" s="1">
        <f>C16/C7</f>
        <v>1.064545831700642</v>
      </c>
    </row>
    <row r="18" spans="1:25" x14ac:dyDescent="0.25">
      <c r="B18" s="1" t="s">
        <v>75</v>
      </c>
    </row>
    <row r="26" spans="1:25" x14ac:dyDescent="0.25">
      <c r="A26" s="45" t="s">
        <v>45</v>
      </c>
      <c r="B26" s="1" t="s">
        <v>0</v>
      </c>
      <c r="C26" s="1" t="s">
        <v>6</v>
      </c>
      <c r="D26" s="1" t="s">
        <v>55</v>
      </c>
      <c r="E26" s="1" t="s">
        <v>7</v>
      </c>
      <c r="F26" s="1" t="s">
        <v>51</v>
      </c>
      <c r="G26" s="1" t="s">
        <v>3</v>
      </c>
      <c r="H26" s="1" t="s">
        <v>46</v>
      </c>
      <c r="I26" s="1" t="s">
        <v>4</v>
      </c>
      <c r="J26" s="1" t="s">
        <v>5</v>
      </c>
      <c r="K26" s="1" t="s">
        <v>8</v>
      </c>
      <c r="L26" s="1" t="s">
        <v>9</v>
      </c>
      <c r="M26" s="1" t="s">
        <v>10</v>
      </c>
      <c r="N26" s="1" t="s">
        <v>11</v>
      </c>
      <c r="O26" s="1" t="s">
        <v>12</v>
      </c>
      <c r="P26" s="1" t="s">
        <v>13</v>
      </c>
      <c r="Q26" s="1" t="s">
        <v>14</v>
      </c>
      <c r="R26" s="1" t="s">
        <v>15</v>
      </c>
      <c r="S26" s="1" t="s">
        <v>16</v>
      </c>
      <c r="T26" s="1" t="s">
        <v>17</v>
      </c>
      <c r="U26" s="1" t="s">
        <v>19</v>
      </c>
      <c r="V26" s="1" t="s">
        <v>20</v>
      </c>
      <c r="W26" s="1" t="s">
        <v>22</v>
      </c>
      <c r="X26" s="1" t="s">
        <v>23</v>
      </c>
      <c r="Y26" s="1" t="s">
        <v>24</v>
      </c>
    </row>
    <row r="27" spans="1:25" x14ac:dyDescent="0.25">
      <c r="A27" s="45"/>
      <c r="B27" s="47" t="s">
        <v>66</v>
      </c>
      <c r="C27" s="5">
        <v>396930</v>
      </c>
      <c r="D27" s="5">
        <f>C27/C27</f>
        <v>1</v>
      </c>
      <c r="E27" s="5">
        <v>4000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4.45" customHeight="1" x14ac:dyDescent="0.25">
      <c r="A28" s="45"/>
      <c r="B28" s="47"/>
      <c r="C28" s="7">
        <v>449321</v>
      </c>
      <c r="D28" s="7">
        <f>C28/C27</f>
        <v>1.1319905272970046</v>
      </c>
      <c r="E28" s="7">
        <v>2000</v>
      </c>
      <c r="F28" s="7" t="s">
        <v>64</v>
      </c>
      <c r="G28" s="7"/>
      <c r="H28" s="7"/>
      <c r="I28" s="7"/>
      <c r="J28" s="7"/>
      <c r="K28" s="7">
        <v>1000</v>
      </c>
      <c r="L28" s="7">
        <v>5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25">
      <c r="A29" s="45"/>
      <c r="B29" s="47"/>
      <c r="C29" s="5">
        <v>554103</v>
      </c>
      <c r="D29" s="5">
        <f>C29/C27</f>
        <v>1.3959715818910134</v>
      </c>
      <c r="E29" s="5">
        <v>1000</v>
      </c>
      <c r="F29" s="8" t="s">
        <v>64</v>
      </c>
      <c r="G29" s="6">
        <v>8</v>
      </c>
      <c r="H29" s="5">
        <v>8</v>
      </c>
      <c r="I29" s="5">
        <v>8</v>
      </c>
      <c r="J29" s="5">
        <v>256</v>
      </c>
      <c r="K29" s="5">
        <v>1000</v>
      </c>
      <c r="L29" s="5">
        <v>5</v>
      </c>
      <c r="M29" s="5">
        <v>1</v>
      </c>
      <c r="N29" s="5">
        <v>2</v>
      </c>
      <c r="O29" s="5">
        <v>1</v>
      </c>
      <c r="P29" s="5">
        <v>1</v>
      </c>
      <c r="Q29" s="5">
        <v>2</v>
      </c>
      <c r="R29" s="5">
        <v>2</v>
      </c>
      <c r="S29" s="5">
        <v>2</v>
      </c>
      <c r="T29" s="5" t="s">
        <v>58</v>
      </c>
      <c r="U29" s="5">
        <v>2</v>
      </c>
      <c r="V29" s="5" t="s">
        <v>21</v>
      </c>
      <c r="W29" s="5" t="s">
        <v>47</v>
      </c>
      <c r="X29" s="5" t="s">
        <v>48</v>
      </c>
      <c r="Y29" s="5" t="s">
        <v>49</v>
      </c>
    </row>
    <row r="30" spans="1:25" x14ac:dyDescent="0.25">
      <c r="A30" s="45"/>
      <c r="B30" s="47"/>
      <c r="C30" s="7">
        <v>2340962</v>
      </c>
      <c r="D30" s="7">
        <f>C30/C27</f>
        <v>5.897669614289673</v>
      </c>
      <c r="E30" s="7">
        <v>100</v>
      </c>
      <c r="F30" s="7" t="s">
        <v>64</v>
      </c>
      <c r="G30" s="7">
        <v>8</v>
      </c>
      <c r="H30" s="7">
        <v>8</v>
      </c>
      <c r="I30" s="7">
        <v>8</v>
      </c>
      <c r="J30" s="7">
        <v>256</v>
      </c>
      <c r="K30" s="7">
        <v>1000</v>
      </c>
      <c r="L30" s="7">
        <v>5</v>
      </c>
      <c r="M30" s="7">
        <v>1</v>
      </c>
      <c r="N30" s="7">
        <v>2</v>
      </c>
      <c r="O30" s="7">
        <v>1</v>
      </c>
      <c r="P30" s="7">
        <v>1</v>
      </c>
      <c r="Q30" s="7">
        <v>2</v>
      </c>
      <c r="R30" s="7">
        <v>2</v>
      </c>
      <c r="S30" s="7">
        <v>2</v>
      </c>
      <c r="T30" s="7" t="s">
        <v>58</v>
      </c>
      <c r="U30" s="7">
        <v>2</v>
      </c>
      <c r="V30" s="7" t="s">
        <v>21</v>
      </c>
      <c r="W30" s="7" t="s">
        <v>47</v>
      </c>
      <c r="X30" s="7" t="s">
        <v>48</v>
      </c>
      <c r="Y30" s="7" t="s">
        <v>49</v>
      </c>
    </row>
    <row r="31" spans="1:25" x14ac:dyDescent="0.25">
      <c r="A31" s="45"/>
      <c r="B31" s="47"/>
      <c r="C31" s="5">
        <v>21249602</v>
      </c>
      <c r="D31" s="8">
        <f>C31/C27</f>
        <v>53.534885244249615</v>
      </c>
      <c r="E31" s="5">
        <v>10</v>
      </c>
      <c r="F31" s="8" t="s">
        <v>64</v>
      </c>
      <c r="G31" s="6">
        <v>8</v>
      </c>
      <c r="H31" s="5">
        <v>8</v>
      </c>
      <c r="I31" s="5">
        <v>8</v>
      </c>
      <c r="J31" s="5">
        <v>256</v>
      </c>
      <c r="K31" s="5">
        <v>1000</v>
      </c>
      <c r="L31" s="5">
        <v>5</v>
      </c>
      <c r="M31" s="5">
        <v>1</v>
      </c>
      <c r="N31" s="5">
        <v>2</v>
      </c>
      <c r="O31" s="5">
        <v>1</v>
      </c>
      <c r="P31" s="5">
        <v>1</v>
      </c>
      <c r="Q31" s="5">
        <v>2</v>
      </c>
      <c r="R31" s="5">
        <v>2</v>
      </c>
      <c r="S31" s="5">
        <v>2</v>
      </c>
      <c r="T31" s="5" t="s">
        <v>58</v>
      </c>
      <c r="U31" s="5">
        <v>2</v>
      </c>
      <c r="V31" s="5" t="s">
        <v>21</v>
      </c>
      <c r="W31" s="5" t="s">
        <v>47</v>
      </c>
      <c r="X31" s="5" t="s">
        <v>48</v>
      </c>
      <c r="Y31" s="5" t="s">
        <v>49</v>
      </c>
    </row>
    <row r="32" spans="1:25" x14ac:dyDescent="0.25">
      <c r="A32" s="45"/>
      <c r="B32" s="47"/>
      <c r="C32" s="7">
        <v>211772002</v>
      </c>
      <c r="D32" s="7">
        <f>C32/C27</f>
        <v>533.52480790063737</v>
      </c>
      <c r="E32" s="7">
        <v>1</v>
      </c>
      <c r="F32" s="7" t="s">
        <v>64</v>
      </c>
      <c r="G32" s="7">
        <v>8</v>
      </c>
      <c r="H32" s="7">
        <v>8</v>
      </c>
      <c r="I32" s="7">
        <v>8</v>
      </c>
      <c r="J32" s="7">
        <v>256</v>
      </c>
      <c r="K32" s="7">
        <v>1000</v>
      </c>
      <c r="L32" s="7">
        <v>5</v>
      </c>
      <c r="M32" s="7">
        <v>1</v>
      </c>
      <c r="N32" s="7">
        <v>2</v>
      </c>
      <c r="O32" s="7">
        <v>1</v>
      </c>
      <c r="P32" s="7">
        <v>1</v>
      </c>
      <c r="Q32" s="7">
        <v>2</v>
      </c>
      <c r="R32" s="7">
        <v>2</v>
      </c>
      <c r="S32" s="7">
        <v>2</v>
      </c>
      <c r="T32" s="7" t="s">
        <v>58</v>
      </c>
      <c r="U32" s="7">
        <v>2</v>
      </c>
      <c r="V32" s="7" t="s">
        <v>21</v>
      </c>
      <c r="W32" s="7" t="s">
        <v>47</v>
      </c>
      <c r="X32" s="7" t="s">
        <v>48</v>
      </c>
      <c r="Y32" s="7" t="s">
        <v>49</v>
      </c>
    </row>
    <row r="35" spans="1:25" x14ac:dyDescent="0.25">
      <c r="A35" s="45" t="s">
        <v>63</v>
      </c>
      <c r="B35" s="1" t="s">
        <v>0</v>
      </c>
      <c r="C35" s="1" t="s">
        <v>6</v>
      </c>
      <c r="D35" s="1" t="s">
        <v>55</v>
      </c>
      <c r="E35" s="1" t="s">
        <v>7</v>
      </c>
      <c r="F35" s="1" t="s">
        <v>51</v>
      </c>
      <c r="G35" s="1" t="s">
        <v>3</v>
      </c>
      <c r="H35" s="1" t="s">
        <v>46</v>
      </c>
      <c r="I35" s="1" t="s">
        <v>4</v>
      </c>
      <c r="J35" s="1" t="s">
        <v>5</v>
      </c>
      <c r="K35" s="1" t="s">
        <v>8</v>
      </c>
      <c r="L35" s="1" t="s">
        <v>9</v>
      </c>
      <c r="M35" s="1" t="s">
        <v>10</v>
      </c>
      <c r="N35" s="1" t="s">
        <v>11</v>
      </c>
      <c r="O35" s="1" t="s">
        <v>12</v>
      </c>
      <c r="P35" s="1" t="s">
        <v>13</v>
      </c>
      <c r="Q35" s="1" t="s">
        <v>14</v>
      </c>
      <c r="R35" s="1" t="s">
        <v>15</v>
      </c>
      <c r="S35" s="1" t="s">
        <v>16</v>
      </c>
      <c r="T35" s="1" t="s">
        <v>17</v>
      </c>
      <c r="U35" s="1" t="s">
        <v>19</v>
      </c>
      <c r="V35" s="1" t="s">
        <v>20</v>
      </c>
      <c r="W35" s="1" t="s">
        <v>22</v>
      </c>
      <c r="X35" s="1" t="s">
        <v>23</v>
      </c>
      <c r="Y35" s="1" t="s">
        <v>24</v>
      </c>
    </row>
    <row r="36" spans="1:25" x14ac:dyDescent="0.25">
      <c r="A36" s="45"/>
      <c r="B36" s="47" t="s">
        <v>65</v>
      </c>
      <c r="C36" s="5">
        <v>409961</v>
      </c>
      <c r="D36" s="5">
        <f>C36/C36</f>
        <v>1</v>
      </c>
      <c r="E36" s="5">
        <v>4000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4.45" customHeight="1" x14ac:dyDescent="0.25">
      <c r="A37" s="45"/>
      <c r="B37" s="47"/>
      <c r="C37" s="7">
        <v>466321</v>
      </c>
      <c r="D37" s="5">
        <f>C37/C36</f>
        <v>1.1374764916662805</v>
      </c>
      <c r="E37" s="7">
        <v>2000</v>
      </c>
      <c r="F37" s="7" t="s">
        <v>64</v>
      </c>
      <c r="G37" s="7"/>
      <c r="H37" s="7"/>
      <c r="I37" s="7"/>
      <c r="J37" s="7"/>
      <c r="K37" s="7">
        <v>1000</v>
      </c>
      <c r="L37" s="7">
        <v>5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25">
      <c r="A38" s="45"/>
      <c r="B38" s="47"/>
      <c r="C38" s="5">
        <v>579042</v>
      </c>
      <c r="D38" s="5">
        <f>C38/C36</f>
        <v>1.4124319142552584</v>
      </c>
      <c r="E38" s="5">
        <v>1000</v>
      </c>
      <c r="F38" s="8" t="s">
        <v>64</v>
      </c>
      <c r="G38" s="6">
        <v>8</v>
      </c>
      <c r="H38" s="5">
        <v>8</v>
      </c>
      <c r="I38" s="5">
        <v>8</v>
      </c>
      <c r="J38" s="5">
        <v>256</v>
      </c>
      <c r="K38" s="5">
        <v>1000</v>
      </c>
      <c r="L38" s="5">
        <v>5</v>
      </c>
      <c r="M38" s="5">
        <v>1</v>
      </c>
      <c r="N38" s="5">
        <v>2</v>
      </c>
      <c r="O38" s="5">
        <v>1</v>
      </c>
      <c r="P38" s="5">
        <v>1</v>
      </c>
      <c r="Q38" s="5">
        <v>2</v>
      </c>
      <c r="R38" s="5">
        <v>2</v>
      </c>
      <c r="S38" s="5">
        <v>2</v>
      </c>
      <c r="T38" s="5" t="s">
        <v>58</v>
      </c>
      <c r="U38" s="5">
        <v>2</v>
      </c>
      <c r="V38" s="5" t="s">
        <v>21</v>
      </c>
      <c r="W38" s="5" t="s">
        <v>47</v>
      </c>
      <c r="X38" s="5" t="s">
        <v>48</v>
      </c>
      <c r="Y38" s="5" t="s">
        <v>49</v>
      </c>
    </row>
    <row r="39" spans="1:25" x14ac:dyDescent="0.25">
      <c r="A39" s="45"/>
      <c r="B39" s="47"/>
      <c r="C39" s="7">
        <v>2494412</v>
      </c>
      <c r="D39" s="7">
        <f>C39/C36</f>
        <v>6.0845104778259396</v>
      </c>
      <c r="E39" s="7">
        <v>100</v>
      </c>
      <c r="F39" s="7" t="s">
        <v>64</v>
      </c>
      <c r="G39" s="7">
        <v>8</v>
      </c>
      <c r="H39" s="7">
        <v>8</v>
      </c>
      <c r="I39" s="7">
        <v>8</v>
      </c>
      <c r="J39" s="7">
        <v>256</v>
      </c>
      <c r="K39" s="7">
        <v>1000</v>
      </c>
      <c r="L39" s="7">
        <v>5</v>
      </c>
      <c r="M39" s="7">
        <v>1</v>
      </c>
      <c r="N39" s="7">
        <v>2</v>
      </c>
      <c r="O39" s="7">
        <v>1</v>
      </c>
      <c r="P39" s="7">
        <v>1</v>
      </c>
      <c r="Q39" s="7">
        <v>2</v>
      </c>
      <c r="R39" s="7">
        <v>2</v>
      </c>
      <c r="S39" s="7">
        <v>2</v>
      </c>
      <c r="T39" s="7" t="s">
        <v>58</v>
      </c>
      <c r="U39" s="7">
        <v>2</v>
      </c>
      <c r="V39" s="7" t="s">
        <v>21</v>
      </c>
      <c r="W39" s="7" t="s">
        <v>47</v>
      </c>
      <c r="X39" s="7" t="s">
        <v>48</v>
      </c>
      <c r="Y39" s="7" t="s">
        <v>49</v>
      </c>
    </row>
    <row r="40" spans="1:25" x14ac:dyDescent="0.25">
      <c r="A40" s="45"/>
      <c r="B40" s="47"/>
      <c r="C40" s="5">
        <v>22784102</v>
      </c>
      <c r="D40" s="6">
        <f>C40/C36</f>
        <v>55.57626701076444</v>
      </c>
      <c r="E40" s="5">
        <v>10</v>
      </c>
      <c r="F40" s="8" t="s">
        <v>64</v>
      </c>
      <c r="G40" s="6">
        <v>8</v>
      </c>
      <c r="H40" s="5">
        <v>8</v>
      </c>
      <c r="I40" s="5">
        <v>8</v>
      </c>
      <c r="J40" s="5">
        <v>256</v>
      </c>
      <c r="K40" s="5">
        <v>1000</v>
      </c>
      <c r="L40" s="5">
        <v>5</v>
      </c>
      <c r="M40" s="5">
        <v>1</v>
      </c>
      <c r="N40" s="5">
        <v>2</v>
      </c>
      <c r="O40" s="5">
        <v>1</v>
      </c>
      <c r="P40" s="5">
        <v>1</v>
      </c>
      <c r="Q40" s="5">
        <v>2</v>
      </c>
      <c r="R40" s="5">
        <v>2</v>
      </c>
      <c r="S40" s="5">
        <v>2</v>
      </c>
      <c r="T40" s="5" t="s">
        <v>58</v>
      </c>
      <c r="U40" s="5">
        <v>2</v>
      </c>
      <c r="V40" s="5" t="s">
        <v>21</v>
      </c>
      <c r="W40" s="5" t="s">
        <v>47</v>
      </c>
      <c r="X40" s="5" t="s">
        <v>48</v>
      </c>
      <c r="Y40" s="5" t="s">
        <v>49</v>
      </c>
    </row>
    <row r="41" spans="1:25" x14ac:dyDescent="0.25">
      <c r="A41" s="45"/>
      <c r="B41" s="47"/>
      <c r="C41" s="7">
        <v>225681002</v>
      </c>
      <c r="D41" s="7">
        <f>C41/C36</f>
        <v>550.49383234014942</v>
      </c>
      <c r="E41" s="7">
        <v>1</v>
      </c>
      <c r="F41" s="7" t="s">
        <v>64</v>
      </c>
      <c r="G41" s="7">
        <v>8</v>
      </c>
      <c r="H41" s="7">
        <v>8</v>
      </c>
      <c r="I41" s="7">
        <v>8</v>
      </c>
      <c r="J41" s="7">
        <v>256</v>
      </c>
      <c r="K41" s="7">
        <v>1000</v>
      </c>
      <c r="L41" s="7">
        <v>5</v>
      </c>
      <c r="M41" s="7">
        <v>1</v>
      </c>
      <c r="N41" s="7">
        <v>2</v>
      </c>
      <c r="O41" s="7">
        <v>1</v>
      </c>
      <c r="P41" s="7">
        <v>1</v>
      </c>
      <c r="Q41" s="7">
        <v>2</v>
      </c>
      <c r="R41" s="7">
        <v>2</v>
      </c>
      <c r="S41" s="7">
        <v>2</v>
      </c>
      <c r="T41" s="7" t="s">
        <v>58</v>
      </c>
      <c r="U41" s="7">
        <v>2</v>
      </c>
      <c r="V41" s="7" t="s">
        <v>21</v>
      </c>
      <c r="W41" s="7" t="s">
        <v>47</v>
      </c>
      <c r="X41" s="7" t="s">
        <v>48</v>
      </c>
      <c r="Y41" s="7" t="s">
        <v>49</v>
      </c>
    </row>
    <row r="42" spans="1:25" x14ac:dyDescent="0.25">
      <c r="B42">
        <f>C36/C27</f>
        <v>1.0328294661527222</v>
      </c>
      <c r="C42">
        <f>C37/C28</f>
        <v>1.0378348663872821</v>
      </c>
      <c r="D42">
        <f>C38/C29</f>
        <v>1.0450078775967644</v>
      </c>
      <c r="E42">
        <f>C39/C30</f>
        <v>1.0655499747539687</v>
      </c>
      <c r="F42">
        <f>C40/C31</f>
        <v>1.0722131172150895</v>
      </c>
      <c r="G42">
        <f>C41/C32</f>
        <v>1.0656791259875797</v>
      </c>
    </row>
    <row r="50" spans="1:25" x14ac:dyDescent="0.25">
      <c r="A50" s="45" t="s">
        <v>45</v>
      </c>
      <c r="B50" s="1" t="s">
        <v>0</v>
      </c>
      <c r="C50" s="1" t="s">
        <v>6</v>
      </c>
      <c r="D50" s="1" t="s">
        <v>55</v>
      </c>
      <c r="E50" s="1" t="s">
        <v>7</v>
      </c>
      <c r="F50" s="1" t="s">
        <v>51</v>
      </c>
      <c r="G50" s="1" t="s">
        <v>3</v>
      </c>
      <c r="H50" s="1" t="s">
        <v>46</v>
      </c>
      <c r="I50" s="1" t="s">
        <v>4</v>
      </c>
      <c r="J50" s="1" t="s">
        <v>5</v>
      </c>
      <c r="K50" s="1" t="s">
        <v>8</v>
      </c>
      <c r="L50" s="1" t="s">
        <v>9</v>
      </c>
      <c r="M50" s="1" t="s">
        <v>10</v>
      </c>
      <c r="N50" s="1" t="s">
        <v>11</v>
      </c>
      <c r="O50" s="1" t="s">
        <v>12</v>
      </c>
      <c r="P50" s="1" t="s">
        <v>13</v>
      </c>
      <c r="Q50" s="1" t="s">
        <v>14</v>
      </c>
      <c r="R50" s="1" t="s">
        <v>15</v>
      </c>
      <c r="S50" s="1" t="s">
        <v>16</v>
      </c>
      <c r="T50" s="1" t="s">
        <v>17</v>
      </c>
      <c r="U50" s="1" t="s">
        <v>19</v>
      </c>
      <c r="V50" s="1" t="s">
        <v>20</v>
      </c>
      <c r="W50" s="1" t="s">
        <v>22</v>
      </c>
      <c r="X50" s="1" t="s">
        <v>23</v>
      </c>
      <c r="Y50" s="1" t="s">
        <v>24</v>
      </c>
    </row>
    <row r="51" spans="1:25" x14ac:dyDescent="0.25">
      <c r="A51" s="45"/>
      <c r="B51" s="13"/>
      <c r="C51" s="5">
        <v>180935</v>
      </c>
      <c r="D51" s="5">
        <f>C51/C51</f>
        <v>1</v>
      </c>
      <c r="E51" s="5">
        <v>4000</v>
      </c>
      <c r="F51" s="7" t="s">
        <v>62</v>
      </c>
      <c r="G51" s="6">
        <v>8</v>
      </c>
      <c r="H51" s="5">
        <v>8</v>
      </c>
      <c r="I51" s="5">
        <v>8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25">
      <c r="A52" s="45"/>
      <c r="B52" s="46" t="s">
        <v>66</v>
      </c>
      <c r="C52" s="7">
        <v>233326</v>
      </c>
      <c r="D52" s="7">
        <f>C52/C51</f>
        <v>1.2895570232403901</v>
      </c>
      <c r="E52" s="7">
        <v>2000</v>
      </c>
      <c r="F52" s="7" t="s">
        <v>62</v>
      </c>
      <c r="G52" s="6">
        <v>8</v>
      </c>
      <c r="H52" s="5">
        <v>8</v>
      </c>
      <c r="I52" s="5">
        <v>8</v>
      </c>
      <c r="J52" s="7"/>
      <c r="K52" s="7">
        <v>100</v>
      </c>
      <c r="L52" s="7">
        <v>10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x14ac:dyDescent="0.25">
      <c r="A53" s="45"/>
      <c r="B53" s="46"/>
      <c r="C53" s="5">
        <v>338108</v>
      </c>
      <c r="D53" s="5">
        <f>C53/C51</f>
        <v>1.8686710697211706</v>
      </c>
      <c r="E53" s="5">
        <v>1000</v>
      </c>
      <c r="F53" s="8" t="s">
        <v>62</v>
      </c>
      <c r="G53" s="6">
        <v>8</v>
      </c>
      <c r="H53" s="5">
        <v>8</v>
      </c>
      <c r="I53" s="5">
        <v>8</v>
      </c>
      <c r="J53" s="5">
        <v>256</v>
      </c>
      <c r="K53" s="5">
        <v>100</v>
      </c>
      <c r="L53" s="5">
        <v>10</v>
      </c>
      <c r="M53" s="5">
        <v>1</v>
      </c>
      <c r="N53" s="5">
        <v>2</v>
      </c>
      <c r="O53" s="5">
        <v>1</v>
      </c>
      <c r="P53" s="5">
        <v>1</v>
      </c>
      <c r="Q53" s="5">
        <v>2</v>
      </c>
      <c r="R53" s="5">
        <v>2</v>
      </c>
      <c r="S53" s="5">
        <v>2</v>
      </c>
      <c r="T53" s="5" t="s">
        <v>58</v>
      </c>
      <c r="U53" s="5">
        <v>2</v>
      </c>
      <c r="V53" s="5" t="s">
        <v>21</v>
      </c>
      <c r="W53" s="5" t="s">
        <v>47</v>
      </c>
      <c r="X53" s="5" t="s">
        <v>48</v>
      </c>
      <c r="Y53" s="5" t="s">
        <v>49</v>
      </c>
    </row>
    <row r="54" spans="1:25" x14ac:dyDescent="0.25">
      <c r="A54" s="45"/>
      <c r="B54" s="46"/>
      <c r="C54" s="7">
        <v>2124972</v>
      </c>
      <c r="D54" s="7">
        <f>C54/C51</f>
        <v>11.744394395777489</v>
      </c>
      <c r="E54" s="7">
        <v>100</v>
      </c>
      <c r="F54" s="7" t="s">
        <v>62</v>
      </c>
      <c r="G54" s="7">
        <v>8</v>
      </c>
      <c r="H54" s="7">
        <v>8</v>
      </c>
      <c r="I54" s="7">
        <v>8</v>
      </c>
      <c r="J54" s="7">
        <v>256</v>
      </c>
      <c r="K54" s="7">
        <v>100</v>
      </c>
      <c r="L54" s="7">
        <v>10</v>
      </c>
      <c r="M54" s="7">
        <v>1</v>
      </c>
      <c r="N54" s="7">
        <v>2</v>
      </c>
      <c r="O54" s="7">
        <v>1</v>
      </c>
      <c r="P54" s="7">
        <v>1</v>
      </c>
      <c r="Q54" s="7">
        <v>2</v>
      </c>
      <c r="R54" s="7">
        <v>2</v>
      </c>
      <c r="S54" s="7">
        <v>2</v>
      </c>
      <c r="T54" s="7" t="s">
        <v>58</v>
      </c>
      <c r="U54" s="7">
        <v>2</v>
      </c>
      <c r="V54" s="7" t="s">
        <v>21</v>
      </c>
      <c r="W54" s="7" t="s">
        <v>47</v>
      </c>
      <c r="X54" s="7" t="s">
        <v>48</v>
      </c>
      <c r="Y54" s="7" t="s">
        <v>49</v>
      </c>
    </row>
    <row r="55" spans="1:25" x14ac:dyDescent="0.25">
      <c r="A55" s="45"/>
      <c r="B55" s="46"/>
      <c r="C55" s="5">
        <v>21177202</v>
      </c>
      <c r="D55" s="8">
        <f>C55/C51</f>
        <v>117.0431480918562</v>
      </c>
      <c r="E55" s="5">
        <v>10</v>
      </c>
      <c r="F55" s="8" t="s">
        <v>62</v>
      </c>
      <c r="G55" s="6">
        <v>8</v>
      </c>
      <c r="H55" s="5">
        <v>8</v>
      </c>
      <c r="I55" s="5">
        <v>8</v>
      </c>
      <c r="J55" s="5">
        <v>256</v>
      </c>
      <c r="K55" s="5">
        <v>100</v>
      </c>
      <c r="L55" s="5">
        <v>10</v>
      </c>
      <c r="M55" s="5">
        <v>1</v>
      </c>
      <c r="N55" s="5">
        <v>2</v>
      </c>
      <c r="O55" s="5">
        <v>1</v>
      </c>
      <c r="P55" s="5">
        <v>1</v>
      </c>
      <c r="Q55" s="5">
        <v>2</v>
      </c>
      <c r="R55" s="5">
        <v>2</v>
      </c>
      <c r="S55" s="5">
        <v>2</v>
      </c>
      <c r="T55" s="5" t="s">
        <v>58</v>
      </c>
      <c r="U55" s="5">
        <v>2</v>
      </c>
      <c r="V55" s="5" t="s">
        <v>21</v>
      </c>
      <c r="W55" s="5" t="s">
        <v>47</v>
      </c>
      <c r="X55" s="5" t="s">
        <v>48</v>
      </c>
      <c r="Y55" s="5" t="s">
        <v>49</v>
      </c>
    </row>
    <row r="56" spans="1:25" x14ac:dyDescent="0.25">
      <c r="A56" s="45"/>
      <c r="B56" s="46"/>
      <c r="C56" s="7">
        <v>211772002</v>
      </c>
      <c r="D56" s="7">
        <f>C56/C51</f>
        <v>1170.431381435322</v>
      </c>
      <c r="E56" s="7">
        <v>1</v>
      </c>
      <c r="F56" s="7" t="s">
        <v>62</v>
      </c>
      <c r="G56" s="7">
        <v>8</v>
      </c>
      <c r="H56" s="7">
        <v>8</v>
      </c>
      <c r="I56" s="7">
        <v>8</v>
      </c>
      <c r="J56" s="7">
        <v>256</v>
      </c>
      <c r="K56" s="7">
        <v>100</v>
      </c>
      <c r="L56" s="7">
        <v>10</v>
      </c>
      <c r="M56" s="7">
        <v>1</v>
      </c>
      <c r="N56" s="7">
        <v>2</v>
      </c>
      <c r="O56" s="7">
        <v>1</v>
      </c>
      <c r="P56" s="7">
        <v>1</v>
      </c>
      <c r="Q56" s="7">
        <v>2</v>
      </c>
      <c r="R56" s="7">
        <v>2</v>
      </c>
      <c r="S56" s="7">
        <v>2</v>
      </c>
      <c r="T56" s="7" t="s">
        <v>58</v>
      </c>
      <c r="U56" s="7">
        <v>2</v>
      </c>
      <c r="V56" s="7" t="s">
        <v>21</v>
      </c>
      <c r="W56" s="7" t="s">
        <v>47</v>
      </c>
      <c r="X56" s="7" t="s">
        <v>48</v>
      </c>
      <c r="Y56" s="7" t="s">
        <v>49</v>
      </c>
    </row>
    <row r="59" spans="1:25" x14ac:dyDescent="0.25">
      <c r="A59" s="45" t="s">
        <v>63</v>
      </c>
      <c r="B59" s="1" t="s">
        <v>0</v>
      </c>
      <c r="C59" s="1" t="s">
        <v>6</v>
      </c>
      <c r="D59" s="1" t="s">
        <v>55</v>
      </c>
      <c r="E59" s="1" t="s">
        <v>7</v>
      </c>
      <c r="F59" s="1" t="s">
        <v>51</v>
      </c>
      <c r="G59" s="1" t="s">
        <v>3</v>
      </c>
      <c r="H59" s="1" t="s">
        <v>46</v>
      </c>
      <c r="I59" s="1" t="s">
        <v>4</v>
      </c>
      <c r="J59" s="1" t="s">
        <v>5</v>
      </c>
      <c r="K59" s="1" t="s">
        <v>8</v>
      </c>
      <c r="L59" s="1" t="s">
        <v>9</v>
      </c>
      <c r="M59" s="1" t="s">
        <v>10</v>
      </c>
      <c r="N59" s="1" t="s">
        <v>11</v>
      </c>
      <c r="O59" s="1" t="s">
        <v>12</v>
      </c>
      <c r="P59" s="1" t="s">
        <v>13</v>
      </c>
      <c r="Q59" s="1" t="s">
        <v>14</v>
      </c>
      <c r="R59" s="1" t="s">
        <v>15</v>
      </c>
      <c r="S59" s="1" t="s">
        <v>16</v>
      </c>
      <c r="T59" s="1" t="s">
        <v>17</v>
      </c>
      <c r="U59" s="1" t="s">
        <v>19</v>
      </c>
      <c r="V59" s="1" t="s">
        <v>20</v>
      </c>
      <c r="W59" s="1" t="s">
        <v>22</v>
      </c>
      <c r="X59" s="1" t="s">
        <v>23</v>
      </c>
      <c r="Y59" s="1" t="s">
        <v>24</v>
      </c>
    </row>
    <row r="60" spans="1:25" x14ac:dyDescent="0.25">
      <c r="A60" s="45"/>
      <c r="B60" s="13"/>
      <c r="C60" s="5">
        <v>201961</v>
      </c>
      <c r="D60" s="5">
        <f>C60/C51</f>
        <v>1.1162074778235278</v>
      </c>
      <c r="E60" s="5">
        <v>4000</v>
      </c>
      <c r="F60" s="7" t="s">
        <v>62</v>
      </c>
      <c r="G60" s="6">
        <v>8</v>
      </c>
      <c r="H60" s="5">
        <v>8</v>
      </c>
      <c r="I60" s="5">
        <v>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25">
      <c r="A61" s="45"/>
      <c r="B61" s="46" t="s">
        <v>67</v>
      </c>
      <c r="C61" s="7">
        <v>258321</v>
      </c>
      <c r="D61" s="5">
        <f>C61/C51</f>
        <v>1.427700555448089</v>
      </c>
      <c r="E61" s="7">
        <v>2000</v>
      </c>
      <c r="F61" s="7" t="s">
        <v>62</v>
      </c>
      <c r="G61" s="6">
        <v>8</v>
      </c>
      <c r="H61" s="5">
        <v>8</v>
      </c>
      <c r="I61" s="5">
        <v>8</v>
      </c>
      <c r="J61" s="7"/>
      <c r="K61" s="7">
        <v>100</v>
      </c>
      <c r="L61" s="7">
        <v>10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x14ac:dyDescent="0.25">
      <c r="A62" s="45"/>
      <c r="B62" s="46"/>
      <c r="C62" s="5">
        <v>371042</v>
      </c>
      <c r="D62" s="5">
        <f>C62/C51</f>
        <v>2.0506922375438692</v>
      </c>
      <c r="E62" s="5">
        <v>1000</v>
      </c>
      <c r="F62" s="8" t="s">
        <v>62</v>
      </c>
      <c r="G62" s="6">
        <v>8</v>
      </c>
      <c r="H62" s="5">
        <v>8</v>
      </c>
      <c r="I62" s="5">
        <v>8</v>
      </c>
      <c r="J62" s="5">
        <v>256</v>
      </c>
      <c r="K62" s="5">
        <v>100</v>
      </c>
      <c r="L62" s="5">
        <v>10</v>
      </c>
      <c r="M62" s="5">
        <v>1</v>
      </c>
      <c r="N62" s="5">
        <v>2</v>
      </c>
      <c r="O62" s="5">
        <v>1</v>
      </c>
      <c r="P62" s="5">
        <v>1</v>
      </c>
      <c r="Q62" s="5">
        <v>2</v>
      </c>
      <c r="R62" s="5">
        <v>2</v>
      </c>
      <c r="S62" s="5">
        <v>2</v>
      </c>
      <c r="T62" s="5" t="s">
        <v>58</v>
      </c>
      <c r="U62" s="5">
        <v>2</v>
      </c>
      <c r="V62" s="5" t="s">
        <v>21</v>
      </c>
      <c r="W62" s="5" t="s">
        <v>47</v>
      </c>
      <c r="X62" s="5" t="s">
        <v>48</v>
      </c>
      <c r="Y62" s="5" t="s">
        <v>49</v>
      </c>
    </row>
    <row r="63" spans="1:25" x14ac:dyDescent="0.25">
      <c r="A63" s="45"/>
      <c r="B63" s="46"/>
      <c r="C63" s="7">
        <v>2294412</v>
      </c>
      <c r="D63" s="7">
        <f>C63/C51</f>
        <v>12.680863293447922</v>
      </c>
      <c r="E63" s="7">
        <v>100</v>
      </c>
      <c r="F63" s="7" t="s">
        <v>62</v>
      </c>
      <c r="G63" s="7">
        <v>8</v>
      </c>
      <c r="H63" s="7">
        <v>8</v>
      </c>
      <c r="I63" s="7">
        <v>8</v>
      </c>
      <c r="J63" s="7">
        <v>256</v>
      </c>
      <c r="K63" s="7">
        <v>100</v>
      </c>
      <c r="L63" s="7">
        <v>10</v>
      </c>
      <c r="M63" s="7">
        <v>1</v>
      </c>
      <c r="N63" s="7">
        <v>2</v>
      </c>
      <c r="O63" s="7">
        <v>1</v>
      </c>
      <c r="P63" s="7">
        <v>1</v>
      </c>
      <c r="Q63" s="7">
        <v>2</v>
      </c>
      <c r="R63" s="7">
        <v>2</v>
      </c>
      <c r="S63" s="7">
        <v>2</v>
      </c>
      <c r="T63" s="7" t="s">
        <v>58</v>
      </c>
      <c r="U63" s="7">
        <v>2</v>
      </c>
      <c r="V63" s="7" t="s">
        <v>21</v>
      </c>
      <c r="W63" s="7" t="s">
        <v>47</v>
      </c>
      <c r="X63" s="7" t="s">
        <v>48</v>
      </c>
      <c r="Y63" s="7" t="s">
        <v>49</v>
      </c>
    </row>
    <row r="64" spans="1:25" x14ac:dyDescent="0.25">
      <c r="A64" s="45"/>
      <c r="B64" s="46"/>
      <c r="C64" s="5">
        <v>22568102</v>
      </c>
      <c r="D64" s="6">
        <f>C64/C51</f>
        <v>124.73043910796694</v>
      </c>
      <c r="E64" s="5">
        <v>10</v>
      </c>
      <c r="F64" s="8" t="s">
        <v>62</v>
      </c>
      <c r="G64" s="6">
        <v>8</v>
      </c>
      <c r="H64" s="5">
        <v>8</v>
      </c>
      <c r="I64" s="5">
        <v>8</v>
      </c>
      <c r="J64" s="5">
        <v>256</v>
      </c>
      <c r="K64" s="5">
        <v>100</v>
      </c>
      <c r="L64" s="5">
        <v>10</v>
      </c>
      <c r="M64" s="5">
        <v>1</v>
      </c>
      <c r="N64" s="5">
        <v>2</v>
      </c>
      <c r="O64" s="5">
        <v>1</v>
      </c>
      <c r="P64" s="5">
        <v>1</v>
      </c>
      <c r="Q64" s="5">
        <v>2</v>
      </c>
      <c r="R64" s="5">
        <v>2</v>
      </c>
      <c r="S64" s="5">
        <v>2</v>
      </c>
      <c r="T64" s="5" t="s">
        <v>58</v>
      </c>
      <c r="U64" s="5">
        <v>2</v>
      </c>
      <c r="V64" s="5" t="s">
        <v>21</v>
      </c>
      <c r="W64" s="5" t="s">
        <v>47</v>
      </c>
      <c r="X64" s="5" t="s">
        <v>48</v>
      </c>
      <c r="Y64" s="5" t="s">
        <v>49</v>
      </c>
    </row>
    <row r="65" spans="1:25" x14ac:dyDescent="0.25">
      <c r="A65" s="45"/>
      <c r="B65" s="46"/>
      <c r="C65" s="7">
        <v>225441002</v>
      </c>
      <c r="D65" s="7">
        <f>C65/C51</f>
        <v>1245.9778483985963</v>
      </c>
      <c r="E65" s="7">
        <v>1</v>
      </c>
      <c r="F65" s="7" t="s">
        <v>62</v>
      </c>
      <c r="G65" s="7">
        <v>8</v>
      </c>
      <c r="H65" s="7">
        <v>8</v>
      </c>
      <c r="I65" s="7">
        <v>8</v>
      </c>
      <c r="J65" s="7">
        <v>256</v>
      </c>
      <c r="K65" s="7">
        <v>100</v>
      </c>
      <c r="L65" s="7">
        <v>10</v>
      </c>
      <c r="M65" s="7">
        <v>1</v>
      </c>
      <c r="N65" s="7">
        <v>2</v>
      </c>
      <c r="O65" s="7">
        <v>1</v>
      </c>
      <c r="P65" s="7">
        <v>1</v>
      </c>
      <c r="Q65" s="7">
        <v>2</v>
      </c>
      <c r="R65" s="7">
        <v>2</v>
      </c>
      <c r="S65" s="7">
        <v>2</v>
      </c>
      <c r="T65" s="7" t="s">
        <v>58</v>
      </c>
      <c r="U65" s="7">
        <v>2</v>
      </c>
      <c r="V65" s="7" t="s">
        <v>21</v>
      </c>
      <c r="W65" s="7" t="s">
        <v>47</v>
      </c>
      <c r="X65" s="7" t="s">
        <v>48</v>
      </c>
      <c r="Y65" s="7" t="s">
        <v>49</v>
      </c>
    </row>
    <row r="66" spans="1:25" x14ac:dyDescent="0.25">
      <c r="B66">
        <f>C60/C51</f>
        <v>1.1162074778235278</v>
      </c>
      <c r="C66">
        <f>C61/C52</f>
        <v>1.1071247953507111</v>
      </c>
      <c r="D66">
        <f>C62/C53</f>
        <v>1.0974067457735399</v>
      </c>
      <c r="E66">
        <f>C63/C54</f>
        <v>1.0797375212473388</v>
      </c>
      <c r="F66">
        <f>C64/C55</f>
        <v>1.0656791204050469</v>
      </c>
      <c r="G66">
        <f>C65/C56</f>
        <v>1.064545831700642</v>
      </c>
    </row>
  </sheetData>
  <mergeCells count="13">
    <mergeCell ref="B3:B7"/>
    <mergeCell ref="B12:B16"/>
    <mergeCell ref="A1:A7"/>
    <mergeCell ref="A10:A16"/>
    <mergeCell ref="A26:A32"/>
    <mergeCell ref="B27:B32"/>
    <mergeCell ref="A9:B9"/>
    <mergeCell ref="A35:A41"/>
    <mergeCell ref="A50:A56"/>
    <mergeCell ref="B52:B56"/>
    <mergeCell ref="A59:A65"/>
    <mergeCell ref="B61:B65"/>
    <mergeCell ref="B36:B4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6"/>
  <sheetViews>
    <sheetView topLeftCell="B54" workbookViewId="0">
      <selection activeCell="E81" sqref="E81"/>
    </sheetView>
  </sheetViews>
  <sheetFormatPr defaultColWidth="8.7109375" defaultRowHeight="15" x14ac:dyDescent="0.25"/>
  <cols>
    <col min="1" max="1" width="8.7109375" style="14"/>
    <col min="2" max="2" width="21.28515625" style="14" customWidth="1"/>
    <col min="3" max="3" width="14.28515625" style="14" customWidth="1"/>
    <col min="4" max="4" width="15.7109375" style="14" customWidth="1"/>
    <col min="5" max="5" width="14.85546875" style="14" customWidth="1"/>
    <col min="6" max="6" width="27.42578125" style="14" customWidth="1"/>
    <col min="7" max="7" width="15.5703125" style="14" customWidth="1"/>
    <col min="8" max="8" width="20.5703125" style="14" customWidth="1"/>
    <col min="9" max="9" width="36.85546875" style="14" customWidth="1"/>
    <col min="10" max="16384" width="8.7109375" style="14"/>
  </cols>
  <sheetData>
    <row r="3" spans="1:11" x14ac:dyDescent="0.25">
      <c r="C3" s="14" t="s">
        <v>77</v>
      </c>
      <c r="D3" s="14" t="s">
        <v>78</v>
      </c>
      <c r="E3" s="14" t="s">
        <v>84</v>
      </c>
      <c r="F3" s="14" t="s">
        <v>79</v>
      </c>
      <c r="G3" s="16" t="s">
        <v>104</v>
      </c>
      <c r="H3" s="23" t="s">
        <v>105</v>
      </c>
      <c r="I3" s="14" t="s">
        <v>106</v>
      </c>
    </row>
    <row r="4" spans="1:11" x14ac:dyDescent="0.25">
      <c r="B4" s="15" t="s">
        <v>88</v>
      </c>
      <c r="C4" s="15" t="s">
        <v>80</v>
      </c>
      <c r="D4" s="15" t="s">
        <v>81</v>
      </c>
      <c r="E4" s="15" t="s">
        <v>82</v>
      </c>
      <c r="F4" s="15" t="s">
        <v>102</v>
      </c>
      <c r="G4" s="17" t="s">
        <v>85</v>
      </c>
      <c r="H4" s="15" t="s">
        <v>95</v>
      </c>
      <c r="I4" s="15" t="s">
        <v>96</v>
      </c>
    </row>
    <row r="5" spans="1:11" x14ac:dyDescent="0.25">
      <c r="E5" s="21"/>
      <c r="F5" s="21"/>
    </row>
    <row r="7" spans="1:11" x14ac:dyDescent="0.25">
      <c r="C7" s="14" t="s">
        <v>77</v>
      </c>
      <c r="D7" s="14" t="s">
        <v>78</v>
      </c>
      <c r="E7" s="14" t="s">
        <v>84</v>
      </c>
      <c r="F7" s="14" t="s">
        <v>79</v>
      </c>
      <c r="H7" s="14" t="s">
        <v>86</v>
      </c>
      <c r="I7" s="14" t="s">
        <v>101</v>
      </c>
    </row>
    <row r="8" spans="1:11" ht="15.75" x14ac:dyDescent="0.25">
      <c r="B8" s="50" t="s">
        <v>87</v>
      </c>
      <c r="C8" s="18" t="s">
        <v>80</v>
      </c>
      <c r="D8" s="18" t="s">
        <v>81</v>
      </c>
      <c r="E8" s="18" t="s">
        <v>82</v>
      </c>
      <c r="F8" s="18" t="s">
        <v>102</v>
      </c>
      <c r="G8" s="19"/>
      <c r="H8" s="18" t="s">
        <v>95</v>
      </c>
      <c r="I8" s="18" t="s">
        <v>112</v>
      </c>
    </row>
    <row r="9" spans="1:11" ht="15.75" x14ac:dyDescent="0.25">
      <c r="B9" s="50"/>
      <c r="C9" s="18"/>
      <c r="D9" s="18"/>
      <c r="E9" s="18" t="s">
        <v>83</v>
      </c>
      <c r="F9" s="18" t="s">
        <v>103</v>
      </c>
      <c r="G9" s="19"/>
      <c r="H9" s="18" t="s">
        <v>83</v>
      </c>
      <c r="I9" s="18" t="s">
        <v>111</v>
      </c>
      <c r="J9" s="14" t="s">
        <v>97</v>
      </c>
      <c r="K9" s="14">
        <f>IF(256/B16&lt;B18,B18/(256/B16),0)</f>
        <v>0</v>
      </c>
    </row>
    <row r="12" spans="1:11" ht="14.45" customHeight="1" x14ac:dyDescent="0.25">
      <c r="F12" s="49" t="s">
        <v>79</v>
      </c>
      <c r="G12" s="49"/>
      <c r="H12" s="49"/>
      <c r="I12" s="14" t="s">
        <v>110</v>
      </c>
    </row>
    <row r="13" spans="1:11" x14ac:dyDescent="0.25">
      <c r="B13" s="52" t="s">
        <v>98</v>
      </c>
      <c r="C13" s="14" t="s">
        <v>91</v>
      </c>
      <c r="D13" s="14" t="s">
        <v>113</v>
      </c>
      <c r="E13" s="14" t="s">
        <v>78</v>
      </c>
      <c r="F13" s="14" t="s">
        <v>108</v>
      </c>
      <c r="G13" s="22" t="s">
        <v>107</v>
      </c>
      <c r="H13" s="22" t="s">
        <v>105</v>
      </c>
      <c r="I13" s="14" t="s">
        <v>106</v>
      </c>
      <c r="J13" s="14" t="s">
        <v>109</v>
      </c>
    </row>
    <row r="14" spans="1:11" x14ac:dyDescent="0.25">
      <c r="B14" s="52"/>
      <c r="C14" s="14">
        <v>0.25</v>
      </c>
      <c r="D14" s="14">
        <f>4*C14</f>
        <v>1</v>
      </c>
      <c r="E14" s="14">
        <f>2*C14+technology!B3</f>
        <v>10.5</v>
      </c>
      <c r="F14" s="14">
        <f xml:space="preserve"> IF((C14+technology!B11)&gt;(2*Sheet3!C14),(C14+technology!B11),(2*Sheet3!C14))</f>
        <v>1.25</v>
      </c>
      <c r="G14" s="14">
        <f xml:space="preserve"> IF(technology!B12&gt;Sheet3!C14,(3*C14+technology!B12)*256/B16,(4*Sheet3!C14)*256/B16)</f>
        <v>88</v>
      </c>
      <c r="H14" s="14">
        <f xml:space="preserve"> IF(technology!B13&gt;Sheet3!C14,(C14+technology!B13),(2*Sheet3!C14))</f>
        <v>2.25</v>
      </c>
      <c r="I14" s="14">
        <f>(2*C14)/B18</f>
        <v>6.25E-2</v>
      </c>
      <c r="J14" s="14">
        <f>D14+E14+G14+I14</f>
        <v>99.5625</v>
      </c>
    </row>
    <row r="15" spans="1:11" x14ac:dyDescent="0.25">
      <c r="B15" s="52"/>
      <c r="C15" s="14">
        <v>0.5</v>
      </c>
      <c r="D15" s="14">
        <f t="shared" ref="D15:D19" si="0">4*C15</f>
        <v>2</v>
      </c>
      <c r="E15" s="14">
        <f>2*C15+technology!B3</f>
        <v>11</v>
      </c>
      <c r="F15" s="14">
        <f xml:space="preserve"> IF((C15+technology!B11)&gt;(2*C15),(C15+technology!B11),(2*C15))</f>
        <v>1.5</v>
      </c>
      <c r="G15" s="14">
        <f xml:space="preserve"> IF(technology!B12&gt;Sheet3!C15,(3*C15+technology!B12)*256/B16,(4*Sheet3!C15)*256/B16)</f>
        <v>112</v>
      </c>
      <c r="H15" s="14">
        <f xml:space="preserve"> IF(technology!B13&gt;Sheet3!C15,(C15+technology!B13),(2*Sheet3!C15))</f>
        <v>2.5</v>
      </c>
      <c r="I15" s="14">
        <f>(2*C15)/B18</f>
        <v>0.125</v>
      </c>
      <c r="J15" s="14">
        <f t="shared" ref="J15:J19" si="1">D15+E15+G15+I15</f>
        <v>125.125</v>
      </c>
    </row>
    <row r="16" spans="1:11" x14ac:dyDescent="0.25">
      <c r="A16" s="54" t="s">
        <v>99</v>
      </c>
      <c r="B16" s="53">
        <v>8</v>
      </c>
      <c r="C16" s="14">
        <v>1</v>
      </c>
      <c r="D16" s="14">
        <f t="shared" si="0"/>
        <v>4</v>
      </c>
      <c r="E16" s="14">
        <f>2*C16+technology!B3</f>
        <v>12</v>
      </c>
      <c r="F16" s="14">
        <f xml:space="preserve"> IF((C16+technology!B11)&gt;(2*Sheet3!C16),(C16+technology!B11),(2*Sheet3!C16))</f>
        <v>2</v>
      </c>
      <c r="G16" s="14">
        <f xml:space="preserve"> IF(technology!B12&gt;Sheet3!C16,(3*C16+technology!B12)*256/B16,(4*Sheet3!C16)*256/B16)</f>
        <v>160</v>
      </c>
      <c r="H16" s="14">
        <f xml:space="preserve"> IF(technology!B13&gt;Sheet3!C16,(C16+technology!B13),(2*Sheet3!C16))</f>
        <v>3</v>
      </c>
      <c r="I16" s="14">
        <f>(2*C16)/B18</f>
        <v>0.25</v>
      </c>
      <c r="J16" s="14">
        <f t="shared" si="1"/>
        <v>176.25</v>
      </c>
    </row>
    <row r="17" spans="1:10" x14ac:dyDescent="0.25">
      <c r="A17" s="54"/>
      <c r="B17" s="53"/>
      <c r="C17" s="14">
        <v>10</v>
      </c>
      <c r="D17" s="14">
        <f t="shared" si="0"/>
        <v>40</v>
      </c>
      <c r="E17" s="14">
        <f>2*C17+technology!B3</f>
        <v>30</v>
      </c>
      <c r="F17" s="14">
        <f xml:space="preserve"> IF((C17+technology!B11)&gt;(2*Sheet3!C17),(C17+technology!B11),(2*Sheet3!C17))</f>
        <v>20</v>
      </c>
      <c r="G17" s="14">
        <f xml:space="preserve"> IF(technology!B12&gt;Sheet3!C17,(3*C17+technology!B12)*256/B16,(4*Sheet3!C17)*256/B16)</f>
        <v>1280</v>
      </c>
      <c r="H17" s="14">
        <f xml:space="preserve"> IF(technology!B13&gt;Sheet3!C17,(C17+technology!B13),(2*Sheet3!C17))</f>
        <v>20</v>
      </c>
      <c r="I17" s="14">
        <f>(2*C17)/B18</f>
        <v>2.5</v>
      </c>
      <c r="J17" s="14">
        <f t="shared" si="1"/>
        <v>1352.5</v>
      </c>
    </row>
    <row r="18" spans="1:10" x14ac:dyDescent="0.25">
      <c r="A18" s="51" t="s">
        <v>100</v>
      </c>
      <c r="B18" s="51">
        <v>8</v>
      </c>
      <c r="C18" s="14">
        <v>100</v>
      </c>
      <c r="D18" s="14">
        <f t="shared" si="0"/>
        <v>400</v>
      </c>
      <c r="E18" s="14">
        <f>2*C18+technology!B3</f>
        <v>210</v>
      </c>
      <c r="F18" s="14">
        <f xml:space="preserve"> IF((C18+technology!B11)&gt;(2*Sheet3!C18),(C18+technology!B11),(2*Sheet3!C18))</f>
        <v>200</v>
      </c>
      <c r="G18" s="14">
        <f xml:space="preserve"> IF(technology!B12&gt;Sheet3!C18,(3*C18+technology!B12)*256/B16,(4*Sheet3!C18)*256/B16)</f>
        <v>12800</v>
      </c>
      <c r="H18" s="14">
        <f xml:space="preserve"> IF(technology!B13&gt;Sheet3!C18,(C18+technology!B13),(2*Sheet3!C18))</f>
        <v>200</v>
      </c>
      <c r="I18" s="14">
        <f>(2*C18)/B18</f>
        <v>25</v>
      </c>
      <c r="J18" s="14">
        <f t="shared" si="1"/>
        <v>13435</v>
      </c>
    </row>
    <row r="19" spans="1:10" x14ac:dyDescent="0.25">
      <c r="A19" s="51"/>
      <c r="B19" s="51"/>
      <c r="C19" s="14">
        <v>1000</v>
      </c>
      <c r="D19" s="14">
        <f t="shared" si="0"/>
        <v>4000</v>
      </c>
      <c r="E19" s="14">
        <f>2*C19+technology!B3</f>
        <v>2010</v>
      </c>
      <c r="F19" s="14">
        <f xml:space="preserve"> IF((C19+technology!B11)&gt;(2*Sheet3!C19),(C19+technology!B11),(2*Sheet3!C19))</f>
        <v>2000</v>
      </c>
      <c r="G19" s="14">
        <f xml:space="preserve"> IF(technology!B12&gt;Sheet3!C19,(3*C19+technology!B12)*256/B16,(4*Sheet3!C19)*256/B16)</f>
        <v>128000</v>
      </c>
      <c r="H19" s="14">
        <f xml:space="preserve"> IF(technology!B13&gt;Sheet3!C19,(C19+technology!B13),(2*Sheet3!C19))</f>
        <v>2000</v>
      </c>
      <c r="I19" s="14">
        <f>(2*C19)/B18</f>
        <v>250</v>
      </c>
      <c r="J19" s="14">
        <f t="shared" si="1"/>
        <v>134260</v>
      </c>
    </row>
    <row r="21" spans="1:10" x14ac:dyDescent="0.25">
      <c r="C21" s="14" t="s">
        <v>91</v>
      </c>
    </row>
    <row r="22" spans="1:10" x14ac:dyDescent="0.25">
      <c r="B22" s="14">
        <v>4000</v>
      </c>
      <c r="C22" s="14">
        <v>0.25</v>
      </c>
      <c r="D22" s="14">
        <f>D14/J14</f>
        <v>1.0043942247332079E-2</v>
      </c>
      <c r="E22" s="14">
        <f>E14/J14</f>
        <v>0.10546139359698682</v>
      </c>
      <c r="G22" s="14">
        <f>G14/J14</f>
        <v>0.88386691776522286</v>
      </c>
      <c r="I22" s="14">
        <f>I14/J14</f>
        <v>6.2774639045825491E-4</v>
      </c>
    </row>
    <row r="23" spans="1:10" x14ac:dyDescent="0.25">
      <c r="B23" s="14">
        <v>2000</v>
      </c>
      <c r="C23" s="14">
        <v>0.5</v>
      </c>
      <c r="D23" s="14">
        <f t="shared" ref="D23:D27" si="2">D15/J15</f>
        <v>1.5984015984015984E-2</v>
      </c>
      <c r="E23" s="14">
        <f t="shared" ref="E23:E27" si="3">E15/J15</f>
        <v>8.7912087912087919E-2</v>
      </c>
      <c r="G23" s="14">
        <f t="shared" ref="G23:G27" si="4">G15/J15</f>
        <v>0.8951048951048951</v>
      </c>
      <c r="I23" s="14">
        <f t="shared" ref="I23:I27" si="5">I15/J15</f>
        <v>9.99000999000999E-4</v>
      </c>
    </row>
    <row r="24" spans="1:10" x14ac:dyDescent="0.25">
      <c r="B24" s="14">
        <v>1000</v>
      </c>
      <c r="C24" s="14">
        <v>1</v>
      </c>
      <c r="D24" s="14">
        <f t="shared" si="2"/>
        <v>2.2695035460992909E-2</v>
      </c>
      <c r="E24" s="14">
        <f t="shared" si="3"/>
        <v>6.8085106382978725E-2</v>
      </c>
      <c r="G24" s="14">
        <f t="shared" si="4"/>
        <v>0.90780141843971629</v>
      </c>
      <c r="I24" s="14">
        <f t="shared" si="5"/>
        <v>1.4184397163120568E-3</v>
      </c>
    </row>
    <row r="25" spans="1:10" x14ac:dyDescent="0.25">
      <c r="B25" s="14">
        <v>100</v>
      </c>
      <c r="C25" s="14">
        <v>10</v>
      </c>
      <c r="D25" s="14">
        <f t="shared" si="2"/>
        <v>2.9574861367837338E-2</v>
      </c>
      <c r="E25" s="14">
        <f t="shared" si="3"/>
        <v>2.2181146025878003E-2</v>
      </c>
      <c r="G25" s="14">
        <f t="shared" si="4"/>
        <v>0.94639556377079481</v>
      </c>
      <c r="I25" s="14">
        <f t="shared" si="5"/>
        <v>1.8484288354898336E-3</v>
      </c>
    </row>
    <row r="26" spans="1:10" x14ac:dyDescent="0.25">
      <c r="B26" s="14">
        <v>10</v>
      </c>
      <c r="C26" s="14">
        <v>100</v>
      </c>
      <c r="D26" s="14">
        <f t="shared" si="2"/>
        <v>2.9772981019724601E-2</v>
      </c>
      <c r="E26" s="14">
        <f t="shared" si="3"/>
        <v>1.5630815035355416E-2</v>
      </c>
      <c r="G26" s="14">
        <f t="shared" si="4"/>
        <v>0.95273539263118723</v>
      </c>
      <c r="I26" s="14">
        <f t="shared" si="5"/>
        <v>1.8608113137327876E-3</v>
      </c>
    </row>
    <row r="27" spans="1:10" x14ac:dyDescent="0.25">
      <c r="B27" s="14">
        <v>1</v>
      </c>
      <c r="C27" s="14">
        <v>1000</v>
      </c>
      <c r="D27" s="14">
        <f t="shared" si="2"/>
        <v>2.9792939073439596E-2</v>
      </c>
      <c r="E27" s="14">
        <f t="shared" si="3"/>
        <v>1.4970951884403396E-2</v>
      </c>
      <c r="G27" s="14">
        <f t="shared" si="4"/>
        <v>0.95337405035006706</v>
      </c>
      <c r="I27" s="14">
        <f t="shared" si="5"/>
        <v>1.8620586920899747E-3</v>
      </c>
    </row>
    <row r="47" spans="2:9" x14ac:dyDescent="0.25">
      <c r="C47" s="14" t="s">
        <v>77</v>
      </c>
      <c r="D47" s="14" t="s">
        <v>78</v>
      </c>
      <c r="E47" s="14" t="s">
        <v>84</v>
      </c>
      <c r="F47" s="14" t="s">
        <v>79</v>
      </c>
      <c r="H47" s="14" t="s">
        <v>86</v>
      </c>
      <c r="I47" s="14" t="s">
        <v>89</v>
      </c>
    </row>
    <row r="48" spans="2:9" ht="15.75" x14ac:dyDescent="0.25">
      <c r="B48" s="50" t="s">
        <v>87</v>
      </c>
      <c r="C48" s="18" t="s">
        <v>80</v>
      </c>
      <c r="D48" s="18" t="s">
        <v>81</v>
      </c>
      <c r="E48" s="18" t="s">
        <v>82</v>
      </c>
      <c r="F48" s="18" t="s">
        <v>102</v>
      </c>
      <c r="G48" s="19"/>
      <c r="H48" s="18" t="s">
        <v>95</v>
      </c>
      <c r="I48" s="18" t="s">
        <v>112</v>
      </c>
    </row>
    <row r="49" spans="1:10" ht="15.75" x14ac:dyDescent="0.25">
      <c r="B49" s="50"/>
      <c r="C49" s="18"/>
      <c r="D49" s="18"/>
      <c r="E49" s="18" t="s">
        <v>83</v>
      </c>
      <c r="F49" s="18" t="s">
        <v>103</v>
      </c>
      <c r="G49" s="19"/>
      <c r="H49" s="18" t="s">
        <v>83</v>
      </c>
      <c r="I49" s="18" t="s">
        <v>111</v>
      </c>
    </row>
    <row r="52" spans="1:10" x14ac:dyDescent="0.25">
      <c r="F52" s="49" t="s">
        <v>79</v>
      </c>
      <c r="G52" s="49"/>
      <c r="H52" s="49"/>
      <c r="I52" s="14" t="s">
        <v>110</v>
      </c>
    </row>
    <row r="53" spans="1:10" x14ac:dyDescent="0.25">
      <c r="B53" s="52" t="s">
        <v>98</v>
      </c>
      <c r="C53" s="14" t="s">
        <v>99</v>
      </c>
      <c r="D53" s="14" t="s">
        <v>113</v>
      </c>
      <c r="E53" s="14" t="s">
        <v>78</v>
      </c>
      <c r="F53" s="14" t="s">
        <v>108</v>
      </c>
      <c r="G53" s="22" t="s">
        <v>107</v>
      </c>
      <c r="H53" s="22" t="s">
        <v>105</v>
      </c>
      <c r="I53" s="14" t="s">
        <v>106</v>
      </c>
      <c r="J53" s="14" t="s">
        <v>109</v>
      </c>
    </row>
    <row r="54" spans="1:10" x14ac:dyDescent="0.25">
      <c r="B54" s="52"/>
      <c r="C54" s="14">
        <v>4</v>
      </c>
      <c r="D54" s="14">
        <f>4*B56</f>
        <v>4</v>
      </c>
      <c r="E54" s="14">
        <f>2*Sheet3!B56+technology!B3</f>
        <v>12</v>
      </c>
      <c r="F54" s="14">
        <f xml:space="preserve"> IF((B56+technology!B11)&gt;(2*B56),(B56+technology!B11),(2*B56))</f>
        <v>2</v>
      </c>
      <c r="G54" s="14">
        <f xml:space="preserve"> IF(technology!B12&gt;B56,(3*B56+technology!B12)*256/C54,(4*B56)*256/C54)</f>
        <v>320</v>
      </c>
      <c r="H54" s="14">
        <f xml:space="preserve"> IF(technology!B13&gt;B56,(B56+technology!B53),(2*B56))</f>
        <v>1</v>
      </c>
      <c r="I54" s="14">
        <f>(2*B56)/B58</f>
        <v>0.25</v>
      </c>
      <c r="J54" s="14">
        <f>D54+E54+G54+I54</f>
        <v>336.25</v>
      </c>
    </row>
    <row r="55" spans="1:10" x14ac:dyDescent="0.25">
      <c r="B55" s="52"/>
      <c r="C55" s="14">
        <v>8</v>
      </c>
      <c r="D55" s="14">
        <f>4*B56</f>
        <v>4</v>
      </c>
      <c r="E55" s="14">
        <f>2*Sheet3!B56+technology!B3</f>
        <v>12</v>
      </c>
      <c r="F55" s="14">
        <f xml:space="preserve"> IF((B56+technology!B11)&gt;(2*B56),(B56+technology!B11),(2*B56))</f>
        <v>2</v>
      </c>
      <c r="G55" s="14">
        <f xml:space="preserve"> IF(technology!B12&gt;B56,(3*B56+technology!B12)*256/C55,(4*B56)*256/C55)</f>
        <v>160</v>
      </c>
      <c r="H55" s="14">
        <f xml:space="preserve"> IF(technology!B13&gt;B56,(B56+technology!B53),(2*B56))</f>
        <v>1</v>
      </c>
      <c r="I55" s="14">
        <f>(2*B56)/B58</f>
        <v>0.25</v>
      </c>
      <c r="J55" s="14">
        <f t="shared" ref="J55:J58" si="6">D55+E55+G55+I55</f>
        <v>176.25</v>
      </c>
    </row>
    <row r="56" spans="1:10" x14ac:dyDescent="0.25">
      <c r="A56" s="54" t="s">
        <v>90</v>
      </c>
      <c r="B56" s="53">
        <v>1</v>
      </c>
      <c r="C56" s="14">
        <v>16</v>
      </c>
      <c r="D56" s="14">
        <f>4*B56</f>
        <v>4</v>
      </c>
      <c r="E56" s="14">
        <f>2*Sheet3!B56+technology!B3</f>
        <v>12</v>
      </c>
      <c r="F56" s="14">
        <f xml:space="preserve"> IF((B56+technology!B11)&gt;(2*B56),(B56+technology!B11),(2*B56))</f>
        <v>2</v>
      </c>
      <c r="G56" s="14">
        <f xml:space="preserve"> IF(technology!B12&gt;B56,(3*B56+technology!B12)*256/C56,(4*B56)*256/C56)</f>
        <v>80</v>
      </c>
      <c r="H56" s="14">
        <f xml:space="preserve"> IF(technology!B13&gt;B56,(B56+technology!B53),(2*B56))</f>
        <v>1</v>
      </c>
      <c r="I56" s="14">
        <f>(2*B56)/B58</f>
        <v>0.25</v>
      </c>
      <c r="J56" s="14">
        <f t="shared" si="6"/>
        <v>96.25</v>
      </c>
    </row>
    <row r="57" spans="1:10" x14ac:dyDescent="0.25">
      <c r="A57" s="54"/>
      <c r="B57" s="53"/>
      <c r="C57" s="14">
        <v>32</v>
      </c>
      <c r="D57" s="14">
        <f>4*B56</f>
        <v>4</v>
      </c>
      <c r="E57" s="14">
        <f>2*Sheet3!B56+technology!B3</f>
        <v>12</v>
      </c>
      <c r="F57" s="14">
        <f xml:space="preserve"> IF((B56+technology!B11)&gt;(2*B56),(B56+technology!B11),(2*B56))</f>
        <v>2</v>
      </c>
      <c r="G57" s="14">
        <f xml:space="preserve"> IF(technology!B12&gt;B56,(3*B56+technology!B12)*256/C57,(4*B56)*256/C57)</f>
        <v>40</v>
      </c>
      <c r="H57" s="14">
        <f xml:space="preserve"> IF(technology!B13&gt;B56,(B56+technology!B53),(2*B56))</f>
        <v>1</v>
      </c>
      <c r="I57" s="14">
        <f>(2*B56)/B58</f>
        <v>0.25</v>
      </c>
      <c r="J57" s="14">
        <f t="shared" si="6"/>
        <v>56.25</v>
      </c>
    </row>
    <row r="58" spans="1:10" x14ac:dyDescent="0.25">
      <c r="A58" s="51" t="s">
        <v>100</v>
      </c>
      <c r="B58" s="51">
        <v>8</v>
      </c>
      <c r="C58" s="14">
        <v>64</v>
      </c>
      <c r="D58" s="14">
        <f>4*B56</f>
        <v>4</v>
      </c>
      <c r="E58" s="14">
        <f>2*Sheet3!B56+technology!B3</f>
        <v>12</v>
      </c>
      <c r="F58" s="14">
        <f xml:space="preserve"> IF((B56+technology!B11)&gt;(2*B56),(B56+technology!B11),(2*B56))</f>
        <v>2</v>
      </c>
      <c r="G58" s="14">
        <f xml:space="preserve"> IF(technology!B12&gt;B56,(3*B56+technology!B12)*256/C58,(4*B56)*256/C58)</f>
        <v>20</v>
      </c>
      <c r="H58" s="14">
        <f xml:space="preserve"> IF(technology!B13&gt;B56,(B56+technology!B53),(2*B56))</f>
        <v>1</v>
      </c>
      <c r="I58" s="24">
        <f>(2*B56+2*(2*B56+technology!B14)+2*B56)/B58</f>
        <v>1.5</v>
      </c>
      <c r="J58" s="14">
        <f t="shared" si="6"/>
        <v>37.5</v>
      </c>
    </row>
    <row r="59" spans="1:10" x14ac:dyDescent="0.25">
      <c r="A59" s="51"/>
      <c r="B59" s="51"/>
    </row>
    <row r="61" spans="1:10" x14ac:dyDescent="0.25">
      <c r="C61" s="14" t="s">
        <v>99</v>
      </c>
    </row>
    <row r="62" spans="1:10" x14ac:dyDescent="0.25">
      <c r="C62" s="14">
        <v>4</v>
      </c>
      <c r="D62" s="14">
        <f>D54/J54</f>
        <v>1.1895910780669145E-2</v>
      </c>
      <c r="E62" s="14">
        <f>E54/J54</f>
        <v>3.5687732342007436E-2</v>
      </c>
      <c r="G62" s="14">
        <f>G54/J54</f>
        <v>0.95167286245353155</v>
      </c>
      <c r="I62" s="14">
        <f>I54/J54</f>
        <v>7.4349442379182155E-4</v>
      </c>
    </row>
    <row r="63" spans="1:10" x14ac:dyDescent="0.25">
      <c r="C63" s="14">
        <v>8</v>
      </c>
      <c r="D63" s="14">
        <f t="shared" ref="D63:D66" si="7">D55/J55</f>
        <v>2.2695035460992909E-2</v>
      </c>
      <c r="E63" s="14">
        <f t="shared" ref="E63:E66" si="8">E55/J55</f>
        <v>6.8085106382978725E-2</v>
      </c>
      <c r="G63" s="14">
        <f t="shared" ref="G63:G66" si="9">G55/J55</f>
        <v>0.90780141843971629</v>
      </c>
      <c r="I63" s="14">
        <f t="shared" ref="I63:I66" si="10">I55/J55</f>
        <v>1.4184397163120568E-3</v>
      </c>
    </row>
    <row r="64" spans="1:10" x14ac:dyDescent="0.25">
      <c r="C64" s="14">
        <v>16</v>
      </c>
      <c r="D64" s="14">
        <f t="shared" si="7"/>
        <v>4.1558441558441558E-2</v>
      </c>
      <c r="E64" s="14">
        <f t="shared" si="8"/>
        <v>0.12467532467532468</v>
      </c>
      <c r="G64" s="14">
        <f t="shared" si="9"/>
        <v>0.83116883116883122</v>
      </c>
      <c r="I64" s="14">
        <f t="shared" si="10"/>
        <v>2.5974025974025974E-3</v>
      </c>
    </row>
    <row r="65" spans="3:9" x14ac:dyDescent="0.25">
      <c r="C65" s="14">
        <v>32</v>
      </c>
      <c r="D65" s="14">
        <f t="shared" si="7"/>
        <v>7.1111111111111111E-2</v>
      </c>
      <c r="E65" s="14">
        <f t="shared" si="8"/>
        <v>0.21333333333333335</v>
      </c>
      <c r="G65" s="14">
        <f t="shared" si="9"/>
        <v>0.71111111111111114</v>
      </c>
      <c r="I65" s="14">
        <f t="shared" si="10"/>
        <v>4.4444444444444444E-3</v>
      </c>
    </row>
    <row r="66" spans="3:9" x14ac:dyDescent="0.25">
      <c r="C66" s="14">
        <v>64</v>
      </c>
      <c r="D66" s="14">
        <f t="shared" si="7"/>
        <v>0.10666666666666667</v>
      </c>
      <c r="E66" s="14">
        <f t="shared" si="8"/>
        <v>0.32</v>
      </c>
      <c r="G66" s="14">
        <f t="shared" si="9"/>
        <v>0.53333333333333333</v>
      </c>
      <c r="I66" s="14">
        <f t="shared" si="10"/>
        <v>0.04</v>
      </c>
    </row>
  </sheetData>
  <mergeCells count="14">
    <mergeCell ref="F12:H12"/>
    <mergeCell ref="B8:B9"/>
    <mergeCell ref="A58:A59"/>
    <mergeCell ref="B58:B59"/>
    <mergeCell ref="B13:B15"/>
    <mergeCell ref="B16:B17"/>
    <mergeCell ref="B18:B19"/>
    <mergeCell ref="A16:A17"/>
    <mergeCell ref="A18:A19"/>
    <mergeCell ref="B48:B49"/>
    <mergeCell ref="F52:H52"/>
    <mergeCell ref="B53:B55"/>
    <mergeCell ref="A56:A57"/>
    <mergeCell ref="B56:B5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7" zoomScale="85" zoomScaleNormal="85" workbookViewId="0">
      <selection activeCell="O34" sqref="O34"/>
    </sheetView>
  </sheetViews>
  <sheetFormatPr defaultRowHeight="15" x14ac:dyDescent="0.25"/>
  <cols>
    <col min="2" max="2" width="25.85546875" customWidth="1"/>
    <col min="3" max="3" width="19.140625" customWidth="1"/>
    <col min="4" max="4" width="14.85546875" customWidth="1"/>
    <col min="5" max="5" width="17.28515625" customWidth="1"/>
    <col min="6" max="6" width="19.42578125" customWidth="1"/>
    <col min="8" max="8" width="10.85546875" customWidth="1"/>
    <col min="11" max="11" width="11.85546875" bestFit="1" customWidth="1"/>
    <col min="16" max="16" width="14.140625" customWidth="1"/>
    <col min="17" max="17" width="19.85546875" customWidth="1"/>
    <col min="18" max="18" width="15.85546875" customWidth="1"/>
    <col min="19" max="19" width="20.85546875" customWidth="1"/>
    <col min="20" max="20" width="16.7109375" customWidth="1"/>
  </cols>
  <sheetData>
    <row r="1" spans="1:20" x14ac:dyDescent="0.25">
      <c r="A1" s="44" t="s">
        <v>148</v>
      </c>
      <c r="B1" s="30" t="s">
        <v>0</v>
      </c>
      <c r="C1" s="30" t="s">
        <v>6</v>
      </c>
      <c r="D1" s="30" t="s">
        <v>55</v>
      </c>
      <c r="E1" s="30" t="s">
        <v>25</v>
      </c>
      <c r="F1" s="30" t="s">
        <v>68</v>
      </c>
      <c r="G1" s="30"/>
      <c r="H1" s="30" t="s">
        <v>70</v>
      </c>
      <c r="I1" s="30"/>
      <c r="J1" s="30" t="s">
        <v>71</v>
      </c>
      <c r="K1" s="30"/>
      <c r="L1" s="30" t="s">
        <v>72</v>
      </c>
      <c r="M1" s="30"/>
      <c r="N1" s="30" t="s">
        <v>3</v>
      </c>
      <c r="O1" s="30" t="s">
        <v>46</v>
      </c>
      <c r="P1" s="30" t="s">
        <v>4</v>
      </c>
      <c r="Q1" s="30" t="s">
        <v>5</v>
      </c>
      <c r="R1" s="30" t="s">
        <v>2</v>
      </c>
      <c r="S1" s="30" t="s">
        <v>7</v>
      </c>
      <c r="T1" s="30" t="s">
        <v>51</v>
      </c>
    </row>
    <row r="2" spans="1:20" x14ac:dyDescent="0.25">
      <c r="A2" s="44"/>
      <c r="B2" s="43" t="s">
        <v>1</v>
      </c>
      <c r="C2" s="7"/>
      <c r="D2" s="7"/>
      <c r="E2" s="7" t="s">
        <v>149</v>
      </c>
      <c r="F2" s="7" t="s">
        <v>69</v>
      </c>
      <c r="G2" s="7"/>
      <c r="H2" s="7" t="s">
        <v>69</v>
      </c>
      <c r="I2" s="7"/>
      <c r="J2" s="7" t="s">
        <v>69</v>
      </c>
      <c r="K2" s="7"/>
      <c r="L2" s="7" t="s">
        <v>69</v>
      </c>
      <c r="M2" s="7"/>
      <c r="N2" s="7"/>
      <c r="O2" s="7"/>
      <c r="P2" s="7"/>
      <c r="Q2" s="7"/>
      <c r="R2" s="7"/>
      <c r="S2" s="7"/>
      <c r="T2" s="7"/>
    </row>
    <row r="3" spans="1:20" x14ac:dyDescent="0.25">
      <c r="A3" s="44"/>
      <c r="B3" s="43"/>
      <c r="C3" s="5">
        <v>75319</v>
      </c>
      <c r="D3" s="5"/>
      <c r="E3" s="5">
        <v>4218973</v>
      </c>
      <c r="F3" s="6">
        <v>2651330</v>
      </c>
      <c r="G3" s="6">
        <f>F3/E3</f>
        <v>0.62843018905311787</v>
      </c>
      <c r="H3" s="6">
        <v>1370314</v>
      </c>
      <c r="I3" s="6">
        <f>H3/E3</f>
        <v>0.32479800178858692</v>
      </c>
      <c r="J3" s="6">
        <v>512</v>
      </c>
      <c r="K3" s="6">
        <f>J3/E3</f>
        <v>1.2135654814572172E-4</v>
      </c>
      <c r="L3" s="6">
        <v>80233</v>
      </c>
      <c r="M3" s="6">
        <f>L3/E3</f>
        <v>1.9017187358155645E-2</v>
      </c>
      <c r="N3" s="5">
        <v>64</v>
      </c>
      <c r="O3" s="5">
        <v>8</v>
      </c>
      <c r="P3" s="5">
        <v>8</v>
      </c>
      <c r="Q3" s="5">
        <v>256</v>
      </c>
      <c r="R3" s="5"/>
      <c r="S3" s="5">
        <v>1000</v>
      </c>
      <c r="T3" s="5" t="s">
        <v>126</v>
      </c>
    </row>
    <row r="4" spans="1:20" x14ac:dyDescent="0.25">
      <c r="A4" s="44"/>
      <c r="B4" s="43"/>
      <c r="C4" s="7">
        <v>116272</v>
      </c>
      <c r="D4" s="7"/>
      <c r="E4" s="9">
        <v>4239226</v>
      </c>
      <c r="F4" s="6">
        <v>2651330</v>
      </c>
      <c r="G4" s="6">
        <f t="shared" ref="G4:G8" si="0">F4/E4</f>
        <v>0.62542784932909923</v>
      </c>
      <c r="H4" s="7">
        <v>1370310</v>
      </c>
      <c r="I4" s="6">
        <f t="shared" ref="I4:I8" si="1">H4/E4</f>
        <v>0.32324532827454822</v>
      </c>
      <c r="J4" s="7">
        <v>512</v>
      </c>
      <c r="K4" s="6">
        <f t="shared" ref="K4:K8" si="2">J4/E4</f>
        <v>1.2077676443765914E-4</v>
      </c>
      <c r="L4" s="7">
        <v>80233</v>
      </c>
      <c r="M4" s="6">
        <f t="shared" ref="M4:M8" si="3">L4/E4</f>
        <v>1.8926332306888095E-2</v>
      </c>
      <c r="N4" s="7">
        <v>32</v>
      </c>
      <c r="O4" s="7">
        <v>8</v>
      </c>
      <c r="P4" s="7">
        <v>8</v>
      </c>
      <c r="Q4" s="7">
        <v>256</v>
      </c>
      <c r="R4" s="7"/>
      <c r="S4" s="7">
        <v>1000</v>
      </c>
      <c r="T4" s="5" t="s">
        <v>126</v>
      </c>
    </row>
    <row r="5" spans="1:20" x14ac:dyDescent="0.25">
      <c r="A5" s="44"/>
      <c r="B5" s="43"/>
      <c r="C5" s="5">
        <v>198192</v>
      </c>
      <c r="D5" s="6"/>
      <c r="E5" s="5">
        <v>4218973</v>
      </c>
      <c r="F5" s="6">
        <v>2651330</v>
      </c>
      <c r="G5" s="6">
        <f t="shared" si="0"/>
        <v>0.62843018905311787</v>
      </c>
      <c r="H5" s="8">
        <v>1370310</v>
      </c>
      <c r="I5" s="6">
        <f t="shared" si="1"/>
        <v>0.32479705369055456</v>
      </c>
      <c r="J5" s="8">
        <v>512</v>
      </c>
      <c r="K5" s="6">
        <f t="shared" si="2"/>
        <v>1.2135654814572172E-4</v>
      </c>
      <c r="L5" s="6">
        <v>80233</v>
      </c>
      <c r="M5" s="6">
        <f t="shared" si="3"/>
        <v>1.9017187358155645E-2</v>
      </c>
      <c r="N5" s="5">
        <v>16</v>
      </c>
      <c r="O5" s="5">
        <v>8</v>
      </c>
      <c r="P5" s="5">
        <v>8</v>
      </c>
      <c r="Q5" s="5">
        <v>256</v>
      </c>
      <c r="R5" s="5"/>
      <c r="S5" s="5">
        <v>1000</v>
      </c>
      <c r="T5" s="5" t="s">
        <v>126</v>
      </c>
    </row>
    <row r="6" spans="1:20" x14ac:dyDescent="0.25">
      <c r="A6" s="44"/>
      <c r="B6" s="43"/>
      <c r="C6" s="7">
        <v>362032</v>
      </c>
      <c r="D6" s="7"/>
      <c r="E6" s="7">
        <v>4241374</v>
      </c>
      <c r="F6" s="6">
        <v>2651330</v>
      </c>
      <c r="G6" s="6">
        <f t="shared" si="0"/>
        <v>0.62511110786268786</v>
      </c>
      <c r="H6" s="7">
        <v>1370310</v>
      </c>
      <c r="I6" s="6">
        <f t="shared" si="1"/>
        <v>0.32308162402089513</v>
      </c>
      <c r="J6" s="7">
        <v>512</v>
      </c>
      <c r="K6" s="6">
        <f t="shared" si="2"/>
        <v>1.2071559829432633E-4</v>
      </c>
      <c r="L6" s="7">
        <v>80233</v>
      </c>
      <c r="M6" s="6">
        <f t="shared" si="3"/>
        <v>1.8916747261618523E-2</v>
      </c>
      <c r="N6" s="7">
        <v>8</v>
      </c>
      <c r="O6" s="7">
        <v>8</v>
      </c>
      <c r="P6" s="7">
        <v>8</v>
      </c>
      <c r="Q6" s="7">
        <v>256</v>
      </c>
      <c r="R6" s="7" t="s">
        <v>50</v>
      </c>
      <c r="S6" s="7">
        <v>1000</v>
      </c>
      <c r="T6" s="5" t="s">
        <v>126</v>
      </c>
    </row>
    <row r="7" spans="1:20" x14ac:dyDescent="0.25">
      <c r="A7" s="44"/>
      <c r="B7" s="43"/>
      <c r="C7" s="5">
        <v>689712</v>
      </c>
      <c r="D7" s="6"/>
      <c r="E7" s="8">
        <v>4225474</v>
      </c>
      <c r="F7" s="6">
        <v>2651330</v>
      </c>
      <c r="G7" s="6">
        <f t="shared" si="0"/>
        <v>0.62746333310771762</v>
      </c>
      <c r="H7" s="8">
        <v>1370310</v>
      </c>
      <c r="I7" s="6">
        <f t="shared" si="1"/>
        <v>0.32429734510258496</v>
      </c>
      <c r="J7" s="8">
        <v>512</v>
      </c>
      <c r="K7" s="6">
        <f t="shared" si="2"/>
        <v>1.2116983798740686E-4</v>
      </c>
      <c r="L7" s="6">
        <v>80233</v>
      </c>
      <c r="M7" s="6">
        <f t="shared" si="3"/>
        <v>1.8987928928210183E-2</v>
      </c>
      <c r="N7" s="5">
        <v>4</v>
      </c>
      <c r="O7" s="5">
        <v>8</v>
      </c>
      <c r="P7" s="5">
        <v>8</v>
      </c>
      <c r="Q7" s="5">
        <v>256</v>
      </c>
      <c r="R7" s="5"/>
      <c r="S7" s="5">
        <v>1000</v>
      </c>
      <c r="T7" s="5" t="s">
        <v>126</v>
      </c>
    </row>
    <row r="8" spans="1:20" x14ac:dyDescent="0.25">
      <c r="A8" s="44"/>
      <c r="B8" s="43"/>
      <c r="C8" s="7">
        <v>1345072</v>
      </c>
      <c r="D8" s="7"/>
      <c r="E8" s="7">
        <v>4238292</v>
      </c>
      <c r="F8" s="6">
        <v>2651330</v>
      </c>
      <c r="G8" s="6">
        <f t="shared" si="0"/>
        <v>0.62556567598457113</v>
      </c>
      <c r="H8" s="7">
        <v>1370310</v>
      </c>
      <c r="I8" s="6">
        <f t="shared" si="1"/>
        <v>0.32331656242656237</v>
      </c>
      <c r="J8" s="7">
        <v>512</v>
      </c>
      <c r="K8" s="6">
        <f t="shared" si="2"/>
        <v>1.2080338022958305E-4</v>
      </c>
      <c r="L8" s="7">
        <v>80233</v>
      </c>
      <c r="M8" s="6">
        <f t="shared" si="3"/>
        <v>1.8930503136640891E-2</v>
      </c>
      <c r="N8" s="7">
        <v>2</v>
      </c>
      <c r="O8" s="7">
        <v>8</v>
      </c>
      <c r="P8" s="7">
        <v>8</v>
      </c>
      <c r="Q8" s="7">
        <v>256</v>
      </c>
      <c r="R8" s="7"/>
      <c r="S8" s="7">
        <v>1000</v>
      </c>
      <c r="T8" s="5" t="s">
        <v>126</v>
      </c>
    </row>
    <row r="9" spans="1:20" x14ac:dyDescent="0.25">
      <c r="A9" s="44"/>
    </row>
    <row r="10" spans="1:20" x14ac:dyDescent="0.25">
      <c r="A10" s="44"/>
      <c r="C10" t="s">
        <v>152</v>
      </c>
    </row>
    <row r="11" spans="1:20" x14ac:dyDescent="0.25">
      <c r="A11" s="44"/>
      <c r="B11" s="31" t="s">
        <v>0</v>
      </c>
      <c r="C11" s="31" t="s">
        <v>6</v>
      </c>
      <c r="D11" s="31" t="s">
        <v>55</v>
      </c>
      <c r="E11" s="31" t="s">
        <v>25</v>
      </c>
      <c r="F11" s="31" t="s">
        <v>68</v>
      </c>
      <c r="G11" s="31"/>
      <c r="H11" s="31" t="s">
        <v>70</v>
      </c>
      <c r="I11" s="31"/>
      <c r="J11" s="31" t="s">
        <v>71</v>
      </c>
      <c r="K11" s="31"/>
      <c r="L11" s="31" t="s">
        <v>72</v>
      </c>
      <c r="M11" s="31"/>
      <c r="N11" s="31" t="s">
        <v>3</v>
      </c>
      <c r="O11" s="31" t="s">
        <v>46</v>
      </c>
      <c r="P11" s="31" t="s">
        <v>4</v>
      </c>
      <c r="Q11" s="31" t="s">
        <v>5</v>
      </c>
      <c r="R11" s="31" t="s">
        <v>2</v>
      </c>
      <c r="S11" s="31" t="s">
        <v>7</v>
      </c>
      <c r="T11" s="31" t="s">
        <v>51</v>
      </c>
    </row>
    <row r="12" spans="1:20" x14ac:dyDescent="0.25">
      <c r="A12" s="44"/>
      <c r="B12" s="43" t="s">
        <v>1</v>
      </c>
      <c r="C12" s="7"/>
      <c r="D12" s="7"/>
      <c r="E12" s="7" t="s">
        <v>150</v>
      </c>
      <c r="F12" s="7" t="s">
        <v>69</v>
      </c>
      <c r="G12" s="7"/>
      <c r="H12" s="7" t="s">
        <v>69</v>
      </c>
      <c r="I12" s="7"/>
      <c r="J12" s="7" t="s">
        <v>69</v>
      </c>
      <c r="K12" s="7"/>
      <c r="L12" s="7" t="s">
        <v>69</v>
      </c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44"/>
      <c r="B13" s="43"/>
      <c r="C13" s="5">
        <v>75319</v>
      </c>
      <c r="D13" s="5">
        <f>C13/C23</f>
        <v>1.1573472241429648</v>
      </c>
      <c r="E13" s="5">
        <v>5422039</v>
      </c>
      <c r="F13" s="6">
        <v>4025609</v>
      </c>
      <c r="G13" s="6">
        <f>F13/E13</f>
        <v>0.74245297756065565</v>
      </c>
      <c r="H13" s="6">
        <v>1370314</v>
      </c>
      <c r="I13" s="6">
        <f>H13/E13</f>
        <v>0.25273038427056682</v>
      </c>
      <c r="J13" s="6">
        <v>512</v>
      </c>
      <c r="K13" s="6">
        <f>J13/E13</f>
        <v>9.4429420371192459E-5</v>
      </c>
      <c r="L13" s="6">
        <v>80233</v>
      </c>
      <c r="M13" s="6">
        <f>L13/E13</f>
        <v>1.4797569696566181E-2</v>
      </c>
      <c r="N13" s="5">
        <v>64</v>
      </c>
      <c r="O13" s="5">
        <v>8</v>
      </c>
      <c r="P13" s="5">
        <v>8</v>
      </c>
      <c r="Q13" s="5">
        <v>256</v>
      </c>
      <c r="R13" s="5"/>
      <c r="S13" s="5">
        <v>1000</v>
      </c>
      <c r="T13" s="5" t="s">
        <v>115</v>
      </c>
    </row>
    <row r="14" spans="1:20" x14ac:dyDescent="0.25">
      <c r="A14" s="44"/>
      <c r="B14" s="43"/>
      <c r="C14" s="7">
        <v>116272</v>
      </c>
      <c r="D14" s="7">
        <f>C14/C24</f>
        <v>1.0965746189829486</v>
      </c>
      <c r="E14" s="7">
        <v>5422039</v>
      </c>
      <c r="F14" s="7">
        <v>4025609</v>
      </c>
      <c r="G14" s="6">
        <f t="shared" ref="G14:G18" si="4">F14/E14</f>
        <v>0.74245297756065565</v>
      </c>
      <c r="H14" s="7">
        <v>1370314</v>
      </c>
      <c r="I14" s="6">
        <f t="shared" ref="I14:I18" si="5">H14/E14</f>
        <v>0.25273038427056682</v>
      </c>
      <c r="J14" s="7">
        <v>512</v>
      </c>
      <c r="K14" s="6"/>
      <c r="L14" s="7">
        <v>80233</v>
      </c>
      <c r="M14" s="6"/>
      <c r="N14" s="7">
        <v>32</v>
      </c>
      <c r="O14" s="7">
        <v>8</v>
      </c>
      <c r="P14" s="7">
        <v>8</v>
      </c>
      <c r="Q14" s="7">
        <v>256</v>
      </c>
      <c r="R14" s="7"/>
      <c r="S14" s="7">
        <v>1000</v>
      </c>
      <c r="T14" s="5" t="s">
        <v>115</v>
      </c>
    </row>
    <row r="15" spans="1:20" x14ac:dyDescent="0.25">
      <c r="A15" s="44"/>
      <c r="B15" s="43"/>
      <c r="C15" s="5">
        <v>198192</v>
      </c>
      <c r="D15" s="5">
        <f>C15/C23</f>
        <v>3.0454063522795374</v>
      </c>
      <c r="E15" s="5">
        <v>5422039</v>
      </c>
      <c r="F15" s="6">
        <v>4025609</v>
      </c>
      <c r="G15" s="6">
        <f t="shared" si="4"/>
        <v>0.74245297756065565</v>
      </c>
      <c r="H15" s="8">
        <v>1370314</v>
      </c>
      <c r="I15" s="6">
        <f t="shared" si="5"/>
        <v>0.25273038427056682</v>
      </c>
      <c r="J15" s="8">
        <v>512</v>
      </c>
      <c r="K15" s="8"/>
      <c r="L15" s="6">
        <v>80233</v>
      </c>
      <c r="M15" s="6"/>
      <c r="N15" s="5">
        <v>16</v>
      </c>
      <c r="O15" s="5">
        <v>8</v>
      </c>
      <c r="P15" s="5">
        <v>8</v>
      </c>
      <c r="Q15" s="5">
        <v>256</v>
      </c>
      <c r="R15" s="5"/>
      <c r="S15" s="5">
        <v>1000</v>
      </c>
      <c r="T15" s="5" t="s">
        <v>115</v>
      </c>
    </row>
    <row r="16" spans="1:20" x14ac:dyDescent="0.25">
      <c r="A16" s="44"/>
      <c r="B16" s="43"/>
      <c r="C16" s="7">
        <v>362032</v>
      </c>
      <c r="D16" s="7">
        <f>C16/C23</f>
        <v>5.5629619385669722</v>
      </c>
      <c r="E16" s="7">
        <v>5422039</v>
      </c>
      <c r="F16" s="7">
        <v>4025609</v>
      </c>
      <c r="G16" s="6">
        <f t="shared" si="4"/>
        <v>0.74245297756065565</v>
      </c>
      <c r="H16" s="7">
        <v>1370314</v>
      </c>
      <c r="I16" s="6">
        <f t="shared" si="5"/>
        <v>0.25273038427056682</v>
      </c>
      <c r="J16" s="7">
        <v>512</v>
      </c>
      <c r="K16" s="7"/>
      <c r="L16" s="7">
        <v>80233</v>
      </c>
      <c r="M16" s="6"/>
      <c r="N16" s="7">
        <v>8</v>
      </c>
      <c r="O16" s="7">
        <v>8</v>
      </c>
      <c r="P16" s="7">
        <v>8</v>
      </c>
      <c r="Q16" s="7">
        <v>256</v>
      </c>
      <c r="R16" s="7" t="s">
        <v>50</v>
      </c>
      <c r="S16" s="7">
        <v>1000</v>
      </c>
      <c r="T16" s="5" t="s">
        <v>115</v>
      </c>
    </row>
    <row r="17" spans="1:20" x14ac:dyDescent="0.25">
      <c r="A17" s="44"/>
      <c r="B17" s="43"/>
      <c r="C17" s="5">
        <v>689712</v>
      </c>
      <c r="D17" s="5">
        <f>C17/C23</f>
        <v>10.598073111141844</v>
      </c>
      <c r="E17" s="5">
        <v>5422039</v>
      </c>
      <c r="F17" s="6">
        <v>4025609</v>
      </c>
      <c r="G17" s="6">
        <f t="shared" si="4"/>
        <v>0.74245297756065565</v>
      </c>
      <c r="H17" s="8">
        <v>1370314</v>
      </c>
      <c r="I17" s="6">
        <f t="shared" si="5"/>
        <v>0.25273038427056682</v>
      </c>
      <c r="J17" s="8">
        <v>512</v>
      </c>
      <c r="K17" s="8"/>
      <c r="L17" s="6">
        <v>80233</v>
      </c>
      <c r="M17" s="6"/>
      <c r="N17" s="5">
        <v>4</v>
      </c>
      <c r="O17" s="5">
        <v>8</v>
      </c>
      <c r="P17" s="5">
        <v>8</v>
      </c>
      <c r="Q17" s="5">
        <v>256</v>
      </c>
      <c r="R17" s="5"/>
      <c r="S17" s="5">
        <v>1000</v>
      </c>
      <c r="T17" s="5" t="s">
        <v>115</v>
      </c>
    </row>
    <row r="18" spans="1:20" x14ac:dyDescent="0.25">
      <c r="A18" s="44"/>
      <c r="B18" s="43"/>
      <c r="C18" s="7">
        <v>1345072</v>
      </c>
      <c r="D18" s="7">
        <f>C18/C23</f>
        <v>20.668295456291585</v>
      </c>
      <c r="E18" s="7">
        <v>5422039</v>
      </c>
      <c r="F18" s="7">
        <v>4025609</v>
      </c>
      <c r="G18" s="6">
        <f t="shared" si="4"/>
        <v>0.74245297756065565</v>
      </c>
      <c r="H18" s="7">
        <v>1370314</v>
      </c>
      <c r="I18" s="6">
        <f t="shared" si="5"/>
        <v>0.25273038427056682</v>
      </c>
      <c r="J18" s="7">
        <v>512</v>
      </c>
      <c r="K18" s="6"/>
      <c r="L18" s="7">
        <v>80233</v>
      </c>
      <c r="M18" s="6"/>
      <c r="N18" s="7">
        <v>2</v>
      </c>
      <c r="O18" s="7">
        <v>8</v>
      </c>
      <c r="P18" s="7">
        <v>8</v>
      </c>
      <c r="Q18" s="7">
        <v>256</v>
      </c>
      <c r="R18" s="7"/>
      <c r="S18" s="7">
        <v>1000</v>
      </c>
      <c r="T18" s="5" t="s">
        <v>115</v>
      </c>
    </row>
    <row r="19" spans="1:20" x14ac:dyDescent="0.25">
      <c r="A19" s="44"/>
    </row>
    <row r="20" spans="1:20" x14ac:dyDescent="0.25">
      <c r="A20" s="44"/>
    </row>
    <row r="21" spans="1:20" x14ac:dyDescent="0.25">
      <c r="A21" s="44"/>
      <c r="B21" s="31" t="s">
        <v>0</v>
      </c>
      <c r="C21" s="31" t="s">
        <v>6</v>
      </c>
      <c r="D21" s="31" t="s">
        <v>55</v>
      </c>
      <c r="E21" s="31" t="s">
        <v>25</v>
      </c>
      <c r="F21" s="31" t="s">
        <v>68</v>
      </c>
      <c r="G21" s="31"/>
      <c r="H21" s="31" t="s">
        <v>70</v>
      </c>
      <c r="I21" s="31"/>
      <c r="J21" s="31" t="s">
        <v>162</v>
      </c>
      <c r="K21" s="31"/>
      <c r="L21" s="31" t="s">
        <v>165</v>
      </c>
      <c r="M21" s="31"/>
      <c r="N21" s="31" t="s">
        <v>3</v>
      </c>
      <c r="O21" s="31" t="s">
        <v>46</v>
      </c>
      <c r="P21" s="31" t="s">
        <v>4</v>
      </c>
      <c r="Q21" s="31" t="s">
        <v>5</v>
      </c>
      <c r="R21" s="31" t="s">
        <v>2</v>
      </c>
      <c r="S21" s="31" t="s">
        <v>7</v>
      </c>
      <c r="T21" s="31" t="s">
        <v>51</v>
      </c>
    </row>
    <row r="22" spans="1:20" x14ac:dyDescent="0.25">
      <c r="A22" s="44"/>
      <c r="B22" s="43" t="s">
        <v>1</v>
      </c>
      <c r="C22" s="7"/>
      <c r="D22" s="7"/>
      <c r="E22" s="7" t="s">
        <v>151</v>
      </c>
      <c r="F22" s="7" t="s">
        <v>69</v>
      </c>
      <c r="G22" s="7"/>
      <c r="H22" s="7" t="s">
        <v>69</v>
      </c>
      <c r="I22" s="7"/>
      <c r="J22" s="7" t="s">
        <v>69</v>
      </c>
      <c r="K22" s="7"/>
      <c r="L22" s="7" t="s">
        <v>69</v>
      </c>
      <c r="M22" s="7"/>
      <c r="N22" s="7"/>
      <c r="O22" s="7"/>
      <c r="P22" s="7"/>
      <c r="Q22" s="7"/>
      <c r="R22" s="7"/>
      <c r="S22" s="7"/>
      <c r="T22" s="7"/>
    </row>
    <row r="23" spans="1:20" x14ac:dyDescent="0.25">
      <c r="A23" s="44"/>
      <c r="B23" s="43"/>
      <c r="C23" s="5">
        <v>65079</v>
      </c>
      <c r="D23" s="5">
        <f>C23/C23</f>
        <v>1</v>
      </c>
      <c r="E23" s="5">
        <v>84282715</v>
      </c>
      <c r="F23" s="8">
        <v>82002086</v>
      </c>
      <c r="G23" s="6">
        <f>F23/E23</f>
        <v>0.97294072693315592</v>
      </c>
      <c r="H23" s="6">
        <v>1370314</v>
      </c>
      <c r="I23" s="6">
        <f>H23/E23</f>
        <v>1.6258541267921898E-2</v>
      </c>
      <c r="J23" s="6">
        <v>512</v>
      </c>
      <c r="K23" s="6">
        <f>J23/E23</f>
        <v>6.0747924411310197E-6</v>
      </c>
      <c r="L23" s="6">
        <v>80233</v>
      </c>
      <c r="M23" s="6">
        <f>L23/E23</f>
        <v>9.5195082408059588E-4</v>
      </c>
      <c r="N23" s="5">
        <v>64</v>
      </c>
      <c r="O23" s="5">
        <v>8</v>
      </c>
      <c r="P23" s="5">
        <v>8</v>
      </c>
      <c r="Q23" s="5">
        <v>256</v>
      </c>
      <c r="R23" s="5"/>
      <c r="S23" s="5">
        <v>1000</v>
      </c>
      <c r="T23" s="5" t="s">
        <v>153</v>
      </c>
    </row>
    <row r="24" spans="1:20" x14ac:dyDescent="0.25">
      <c r="A24" s="44"/>
      <c r="B24" s="43"/>
      <c r="C24" s="7">
        <v>106032</v>
      </c>
      <c r="D24" s="7">
        <f>C24/C23</f>
        <v>1.6292813349928548</v>
      </c>
      <c r="E24" s="9">
        <v>84355252</v>
      </c>
      <c r="F24" s="8">
        <v>82002086</v>
      </c>
      <c r="G24" s="6"/>
      <c r="H24" s="7">
        <v>1370314</v>
      </c>
      <c r="I24" s="6"/>
      <c r="J24" s="7">
        <v>512</v>
      </c>
      <c r="K24" s="6"/>
      <c r="L24" s="7">
        <v>80233</v>
      </c>
      <c r="M24" s="6"/>
      <c r="N24" s="7">
        <v>32</v>
      </c>
      <c r="O24" s="7">
        <v>8</v>
      </c>
      <c r="P24" s="7">
        <v>8</v>
      </c>
      <c r="Q24" s="7">
        <v>256</v>
      </c>
      <c r="R24" s="7"/>
      <c r="S24" s="7">
        <v>1000</v>
      </c>
      <c r="T24" s="5" t="s">
        <v>157</v>
      </c>
    </row>
    <row r="25" spans="1:20" x14ac:dyDescent="0.25">
      <c r="B25" s="43"/>
      <c r="C25" s="5">
        <v>187952</v>
      </c>
      <c r="D25" s="5">
        <f>C25/C23</f>
        <v>2.8880591281365726</v>
      </c>
      <c r="E25" s="5">
        <v>84141656</v>
      </c>
      <c r="F25" s="8">
        <v>82002086</v>
      </c>
      <c r="G25" s="6"/>
      <c r="H25" s="8">
        <v>1370310</v>
      </c>
      <c r="I25" s="8"/>
      <c r="J25" s="8">
        <v>512</v>
      </c>
      <c r="K25" s="8"/>
      <c r="L25" s="6">
        <v>80233</v>
      </c>
      <c r="M25" s="6"/>
      <c r="N25" s="5">
        <v>16</v>
      </c>
      <c r="O25" s="5">
        <v>8</v>
      </c>
      <c r="P25" s="5">
        <v>8</v>
      </c>
      <c r="Q25" s="5">
        <v>256</v>
      </c>
      <c r="R25" s="5"/>
      <c r="S25" s="5">
        <v>1000</v>
      </c>
      <c r="T25" s="5" t="s">
        <v>127</v>
      </c>
    </row>
    <row r="26" spans="1:20" x14ac:dyDescent="0.25">
      <c r="B26" s="43"/>
      <c r="C26" s="7">
        <v>351792</v>
      </c>
      <c r="D26" s="7">
        <f>C26/C23</f>
        <v>5.4056147144240079</v>
      </c>
      <c r="E26" s="7">
        <v>84129942</v>
      </c>
      <c r="F26" s="8">
        <v>82002086</v>
      </c>
      <c r="G26" s="7"/>
      <c r="H26" s="7">
        <v>1370310</v>
      </c>
      <c r="I26" s="7"/>
      <c r="J26" s="7">
        <v>512</v>
      </c>
      <c r="K26" s="7"/>
      <c r="L26" s="7">
        <v>80233</v>
      </c>
      <c r="M26" s="6"/>
      <c r="N26" s="7">
        <v>8</v>
      </c>
      <c r="O26" s="7">
        <v>8</v>
      </c>
      <c r="P26" s="7">
        <v>8</v>
      </c>
      <c r="Q26" s="7">
        <v>256</v>
      </c>
      <c r="R26" s="7" t="s">
        <v>50</v>
      </c>
      <c r="S26" s="7">
        <v>1000</v>
      </c>
      <c r="T26" s="5" t="s">
        <v>127</v>
      </c>
    </row>
    <row r="27" spans="1:20" x14ac:dyDescent="0.25">
      <c r="B27" s="43"/>
      <c r="C27" s="5">
        <v>679472</v>
      </c>
      <c r="D27" s="5">
        <f>C27/C23</f>
        <v>10.440725886998878</v>
      </c>
      <c r="E27" s="8">
        <v>84385204</v>
      </c>
      <c r="F27" s="8">
        <v>82002086</v>
      </c>
      <c r="G27" s="8"/>
      <c r="H27" s="8">
        <v>1370310</v>
      </c>
      <c r="I27" s="8"/>
      <c r="J27" s="8">
        <v>512</v>
      </c>
      <c r="K27" s="8"/>
      <c r="L27" s="6">
        <v>80233</v>
      </c>
      <c r="M27" s="6"/>
      <c r="N27" s="5">
        <v>4</v>
      </c>
      <c r="O27" s="5">
        <v>8</v>
      </c>
      <c r="P27" s="5">
        <v>8</v>
      </c>
      <c r="Q27" s="5">
        <v>256</v>
      </c>
      <c r="R27" s="5"/>
      <c r="S27" s="5">
        <v>1000</v>
      </c>
      <c r="T27" s="5" t="s">
        <v>127</v>
      </c>
    </row>
    <row r="28" spans="1:20" x14ac:dyDescent="0.25">
      <c r="B28" s="43"/>
      <c r="C28" s="7">
        <v>1334832</v>
      </c>
      <c r="D28" s="7">
        <f>C28/C23</f>
        <v>20.510948232148618</v>
      </c>
      <c r="E28" s="7">
        <v>84229052</v>
      </c>
      <c r="F28" s="8">
        <v>82002086</v>
      </c>
      <c r="G28" s="6"/>
      <c r="H28" s="7">
        <v>1370310</v>
      </c>
      <c r="I28" s="6"/>
      <c r="J28" s="7">
        <v>512</v>
      </c>
      <c r="K28" s="6"/>
      <c r="L28" s="7">
        <v>80233</v>
      </c>
      <c r="M28" s="6"/>
      <c r="N28" s="7">
        <v>2</v>
      </c>
      <c r="O28" s="7">
        <v>8</v>
      </c>
      <c r="P28" s="7">
        <v>8</v>
      </c>
      <c r="Q28" s="7">
        <v>256</v>
      </c>
      <c r="R28" s="7"/>
      <c r="S28" s="7">
        <v>1000</v>
      </c>
      <c r="T28" s="5" t="s">
        <v>127</v>
      </c>
    </row>
  </sheetData>
  <mergeCells count="4">
    <mergeCell ref="B2:B8"/>
    <mergeCell ref="A1:A24"/>
    <mergeCell ref="B12:B18"/>
    <mergeCell ref="B22:B2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8"/>
  <sheetViews>
    <sheetView topLeftCell="A10" zoomScale="78" zoomScaleNormal="78" workbookViewId="0">
      <selection activeCell="G23" sqref="G23"/>
    </sheetView>
  </sheetViews>
  <sheetFormatPr defaultRowHeight="15" x14ac:dyDescent="0.25"/>
  <cols>
    <col min="1" max="1" width="12.28515625" customWidth="1"/>
    <col min="2" max="2" width="21.42578125" customWidth="1"/>
    <col min="3" max="3" width="18.85546875" customWidth="1"/>
    <col min="4" max="4" width="25" customWidth="1"/>
    <col min="5" max="5" width="24.85546875" customWidth="1"/>
    <col min="6" max="6" width="17.28515625" customWidth="1"/>
    <col min="9" max="9" width="13.5703125" customWidth="1"/>
  </cols>
  <sheetData>
    <row r="1" spans="1:9" x14ac:dyDescent="0.25">
      <c r="A1" s="45" t="s">
        <v>45</v>
      </c>
      <c r="B1" s="32" t="s">
        <v>0</v>
      </c>
      <c r="C1" s="32" t="s">
        <v>6</v>
      </c>
      <c r="D1" s="32" t="s">
        <v>73</v>
      </c>
      <c r="E1" s="32" t="s">
        <v>7</v>
      </c>
      <c r="F1" s="32" t="s">
        <v>51</v>
      </c>
      <c r="G1" s="32" t="s">
        <v>3</v>
      </c>
      <c r="H1" s="32" t="s">
        <v>46</v>
      </c>
      <c r="I1" s="32" t="s">
        <v>4</v>
      </c>
    </row>
    <row r="2" spans="1:9" x14ac:dyDescent="0.25">
      <c r="A2" s="45"/>
      <c r="B2" s="32" t="s">
        <v>155</v>
      </c>
      <c r="C2" s="8">
        <v>50959</v>
      </c>
      <c r="D2" s="32">
        <f>C2/C2</f>
        <v>1</v>
      </c>
      <c r="E2" s="32">
        <v>4000</v>
      </c>
      <c r="F2" s="5" t="s">
        <v>154</v>
      </c>
      <c r="G2" s="6">
        <v>16</v>
      </c>
      <c r="H2" s="5">
        <v>8</v>
      </c>
      <c r="I2" s="5">
        <v>8</v>
      </c>
    </row>
    <row r="3" spans="1:9" x14ac:dyDescent="0.25">
      <c r="A3" s="45"/>
      <c r="B3" s="46" t="s">
        <v>66</v>
      </c>
      <c r="C3" s="7">
        <v>53779</v>
      </c>
      <c r="D3" s="7">
        <f>C3/C2</f>
        <v>1.0553386055456346</v>
      </c>
      <c r="E3" s="7">
        <v>2000</v>
      </c>
      <c r="F3" s="7" t="s">
        <v>154</v>
      </c>
      <c r="G3" s="7">
        <v>16</v>
      </c>
      <c r="H3" s="7">
        <v>8</v>
      </c>
      <c r="I3" s="7">
        <v>8</v>
      </c>
    </row>
    <row r="4" spans="1:9" x14ac:dyDescent="0.25">
      <c r="A4" s="45"/>
      <c r="B4" s="46"/>
      <c r="C4" s="5">
        <v>72221</v>
      </c>
      <c r="D4" s="5">
        <f>C4/C2</f>
        <v>1.4172373869188957</v>
      </c>
      <c r="E4" s="5">
        <v>1000</v>
      </c>
      <c r="F4" s="5" t="s">
        <v>154</v>
      </c>
      <c r="G4" s="6">
        <v>16</v>
      </c>
      <c r="H4" s="5">
        <v>8</v>
      </c>
      <c r="I4" s="5">
        <v>8</v>
      </c>
    </row>
    <row r="5" spans="1:9" x14ac:dyDescent="0.25">
      <c r="A5" s="45"/>
      <c r="B5" s="46"/>
      <c r="C5" s="7">
        <v>409810</v>
      </c>
      <c r="D5" s="7">
        <f>C5/C2</f>
        <v>8.0419552973959458</v>
      </c>
      <c r="E5" s="7">
        <v>100</v>
      </c>
      <c r="F5" s="7" t="s">
        <v>126</v>
      </c>
      <c r="G5" s="7">
        <v>16</v>
      </c>
      <c r="H5" s="7">
        <v>8</v>
      </c>
      <c r="I5" s="7">
        <v>8</v>
      </c>
    </row>
    <row r="6" spans="1:9" x14ac:dyDescent="0.25">
      <c r="A6" s="45"/>
      <c r="B6" s="46"/>
      <c r="C6" s="5">
        <v>3842000</v>
      </c>
      <c r="D6" s="8">
        <f>C6/C2</f>
        <v>75.393944151180364</v>
      </c>
      <c r="E6" s="5">
        <v>10</v>
      </c>
      <c r="F6" s="5" t="s">
        <v>126</v>
      </c>
      <c r="G6" s="6">
        <v>16</v>
      </c>
      <c r="H6" s="5">
        <v>8</v>
      </c>
      <c r="I6" s="5">
        <v>8</v>
      </c>
    </row>
    <row r="7" spans="1:9" x14ac:dyDescent="0.25">
      <c r="A7" s="45"/>
      <c r="B7" s="46"/>
      <c r="C7" s="7">
        <v>38420000</v>
      </c>
      <c r="D7" s="7">
        <f>C7/C2</f>
        <v>753.93944151180358</v>
      </c>
      <c r="E7" s="7">
        <v>1</v>
      </c>
      <c r="F7" s="7" t="s">
        <v>154</v>
      </c>
      <c r="G7" s="7">
        <v>16</v>
      </c>
      <c r="H7" s="7">
        <v>8</v>
      </c>
      <c r="I7" s="7">
        <v>8</v>
      </c>
    </row>
    <row r="8" spans="1:9" x14ac:dyDescent="0.25">
      <c r="B8" s="32" t="s">
        <v>163</v>
      </c>
    </row>
    <row r="9" spans="1:9" x14ac:dyDescent="0.25">
      <c r="A9" s="48" t="s">
        <v>76</v>
      </c>
      <c r="B9" s="48"/>
    </row>
    <row r="10" spans="1:9" x14ac:dyDescent="0.25">
      <c r="A10" s="45" t="s">
        <v>63</v>
      </c>
      <c r="B10" s="32" t="s">
        <v>0</v>
      </c>
      <c r="C10" s="32" t="s">
        <v>6</v>
      </c>
      <c r="D10" s="32" t="s">
        <v>55</v>
      </c>
      <c r="E10" s="32" t="s">
        <v>7</v>
      </c>
      <c r="F10" s="32" t="s">
        <v>51</v>
      </c>
      <c r="G10" s="32" t="s">
        <v>3</v>
      </c>
      <c r="H10" s="32" t="s">
        <v>46</v>
      </c>
      <c r="I10" s="32" t="s">
        <v>4</v>
      </c>
    </row>
    <row r="11" spans="1:9" x14ac:dyDescent="0.25">
      <c r="A11" s="45"/>
      <c r="B11" s="32"/>
      <c r="C11" s="6">
        <v>73875</v>
      </c>
      <c r="D11" s="5">
        <f>C11/C2</f>
        <v>1.4496948527247395</v>
      </c>
      <c r="E11" s="32">
        <v>4000</v>
      </c>
      <c r="F11" s="5" t="s">
        <v>126</v>
      </c>
      <c r="G11" s="6">
        <v>16</v>
      </c>
      <c r="H11" s="5">
        <v>8</v>
      </c>
      <c r="I11" s="5">
        <v>8</v>
      </c>
    </row>
    <row r="12" spans="1:9" x14ac:dyDescent="0.25">
      <c r="A12" s="45"/>
      <c r="B12" s="46" t="s">
        <v>65</v>
      </c>
      <c r="C12" s="7">
        <v>90360</v>
      </c>
      <c r="D12" s="5">
        <f>C12/C2</f>
        <v>1.7731902117388489</v>
      </c>
      <c r="E12" s="7">
        <v>2000</v>
      </c>
      <c r="F12" s="5" t="s">
        <v>126</v>
      </c>
      <c r="G12" s="7">
        <v>16</v>
      </c>
      <c r="H12" s="7">
        <v>8</v>
      </c>
      <c r="I12" s="7">
        <v>8</v>
      </c>
    </row>
    <row r="13" spans="1:9" x14ac:dyDescent="0.25">
      <c r="A13" s="45"/>
      <c r="B13" s="46"/>
      <c r="C13" s="5">
        <v>123394</v>
      </c>
      <c r="D13" s="5">
        <f>C13/C2</f>
        <v>2.4214368413822878</v>
      </c>
      <c r="E13" s="5">
        <v>1000</v>
      </c>
      <c r="F13" s="5" t="s">
        <v>126</v>
      </c>
      <c r="G13" s="6">
        <v>16</v>
      </c>
      <c r="H13" s="5">
        <v>8</v>
      </c>
      <c r="I13" s="5">
        <v>8</v>
      </c>
    </row>
    <row r="14" spans="1:9" x14ac:dyDescent="0.25">
      <c r="A14" s="45"/>
      <c r="B14" s="46"/>
      <c r="C14" s="7">
        <v>717835</v>
      </c>
      <c r="D14" s="7">
        <f>C14/C2</f>
        <v>14.086520536117272</v>
      </c>
      <c r="E14" s="7">
        <v>100</v>
      </c>
      <c r="F14" s="7" t="s">
        <v>126</v>
      </c>
      <c r="G14" s="7">
        <v>16</v>
      </c>
      <c r="H14" s="7">
        <v>8</v>
      </c>
      <c r="I14" s="7">
        <v>8</v>
      </c>
    </row>
    <row r="15" spans="1:9" x14ac:dyDescent="0.25">
      <c r="A15" s="45"/>
      <c r="B15" s="46"/>
      <c r="C15" s="5">
        <v>6662245</v>
      </c>
      <c r="D15" s="6">
        <f>C15/C2</f>
        <v>130.73735748346709</v>
      </c>
      <c r="E15" s="5">
        <v>10</v>
      </c>
      <c r="F15" s="5" t="s">
        <v>126</v>
      </c>
      <c r="G15" s="6">
        <v>16</v>
      </c>
      <c r="H15" s="5">
        <v>8</v>
      </c>
      <c r="I15" s="5">
        <v>8</v>
      </c>
    </row>
    <row r="16" spans="1:9" x14ac:dyDescent="0.25">
      <c r="A16" s="45"/>
      <c r="B16" s="46"/>
      <c r="C16" s="7">
        <v>66106345</v>
      </c>
      <c r="D16" s="7">
        <f>C16/C2</f>
        <v>1297.2457269569654</v>
      </c>
      <c r="E16" s="7">
        <v>1</v>
      </c>
      <c r="F16" s="7" t="s">
        <v>154</v>
      </c>
      <c r="G16" s="7">
        <v>16</v>
      </c>
      <c r="H16" s="7">
        <v>8</v>
      </c>
      <c r="I16" s="7">
        <v>8</v>
      </c>
    </row>
    <row r="17" spans="1:7" x14ac:dyDescent="0.25">
      <c r="A17" t="s">
        <v>164</v>
      </c>
      <c r="B17">
        <f>C11/C2</f>
        <v>1.4496948527247395</v>
      </c>
      <c r="C17" s="32">
        <f>C12/C3</f>
        <v>1.6802097472991315</v>
      </c>
      <c r="D17" s="32">
        <f>C13/C4</f>
        <v>1.7085612218052921</v>
      </c>
      <c r="E17" s="32">
        <f>C14/C5</f>
        <v>1.7516288035919085</v>
      </c>
      <c r="F17" s="32">
        <f>C15/C6</f>
        <v>1.7340564809994794</v>
      </c>
      <c r="G17" s="32">
        <f>C16/C7</f>
        <v>1.7206232431025508</v>
      </c>
    </row>
    <row r="18" spans="1:7" x14ac:dyDescent="0.25">
      <c r="A18" t="s">
        <v>156</v>
      </c>
      <c r="B18">
        <f>B17-1</f>
        <v>0.44969485272473952</v>
      </c>
      <c r="C18">
        <f t="shared" ref="C18:G18" si="0">C17-1</f>
        <v>0.68020974729913153</v>
      </c>
      <c r="D18">
        <f t="shared" si="0"/>
        <v>0.70856122180529213</v>
      </c>
      <c r="E18">
        <f t="shared" si="0"/>
        <v>0.75162880359190853</v>
      </c>
      <c r="F18">
        <f t="shared" si="0"/>
        <v>0.7340564809994794</v>
      </c>
      <c r="G18">
        <f t="shared" si="0"/>
        <v>0.72062324310255077</v>
      </c>
    </row>
  </sheetData>
  <mergeCells count="5">
    <mergeCell ref="A1:A7"/>
    <mergeCell ref="B3:B7"/>
    <mergeCell ref="A9:B9"/>
    <mergeCell ref="A10:A16"/>
    <mergeCell ref="B12:B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C10" zoomScale="83" zoomScaleNormal="83" workbookViewId="0">
      <selection activeCell="G46" sqref="A1:XFD1048576"/>
    </sheetView>
  </sheetViews>
  <sheetFormatPr defaultRowHeight="15" x14ac:dyDescent="0.25"/>
  <cols>
    <col min="3" max="3" width="19.85546875" customWidth="1"/>
    <col min="4" max="4" width="15.42578125" customWidth="1"/>
    <col min="5" max="5" width="16.85546875" customWidth="1"/>
    <col min="6" max="6" width="16.5703125" customWidth="1"/>
    <col min="7" max="7" width="24.85546875" customWidth="1"/>
    <col min="8" max="8" width="11" customWidth="1"/>
    <col min="9" max="9" width="14.140625" customWidth="1"/>
    <col min="10" max="10" width="36" customWidth="1"/>
  </cols>
  <sheetData>
    <row r="1" spans="2:12" x14ac:dyDescent="0.25">
      <c r="C1" s="33"/>
      <c r="D1" s="33" t="s">
        <v>77</v>
      </c>
      <c r="E1" s="33" t="s">
        <v>78</v>
      </c>
      <c r="F1" s="33" t="s">
        <v>84</v>
      </c>
      <c r="G1" s="33" t="s">
        <v>79</v>
      </c>
      <c r="H1" s="16" t="s">
        <v>104</v>
      </c>
      <c r="I1" s="23" t="s">
        <v>105</v>
      </c>
      <c r="J1" s="33" t="s">
        <v>106</v>
      </c>
      <c r="K1" s="33"/>
      <c r="L1" s="33"/>
    </row>
    <row r="2" spans="2:12" x14ac:dyDescent="0.25">
      <c r="C2" s="15" t="s">
        <v>88</v>
      </c>
      <c r="D2" s="15" t="s">
        <v>80</v>
      </c>
      <c r="E2" s="15" t="s">
        <v>81</v>
      </c>
      <c r="F2" s="15" t="s">
        <v>82</v>
      </c>
      <c r="G2" s="15" t="s">
        <v>102</v>
      </c>
      <c r="H2" s="17" t="s">
        <v>85</v>
      </c>
      <c r="I2" s="15" t="s">
        <v>95</v>
      </c>
      <c r="J2" s="15" t="s">
        <v>96</v>
      </c>
      <c r="K2" s="33"/>
      <c r="L2" s="33"/>
    </row>
    <row r="3" spans="2:12" x14ac:dyDescent="0.25">
      <c r="C3" s="33"/>
      <c r="D3" s="33"/>
      <c r="E3" s="33"/>
      <c r="F3" s="21"/>
      <c r="G3" s="21"/>
      <c r="H3" s="33"/>
      <c r="I3" s="33"/>
      <c r="J3" s="33"/>
      <c r="K3" s="33"/>
      <c r="L3" s="33"/>
    </row>
    <row r="4" spans="2:12" x14ac:dyDescent="0.25"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 x14ac:dyDescent="0.25">
      <c r="C5" s="33"/>
      <c r="D5" s="33" t="s">
        <v>77</v>
      </c>
      <c r="E5" s="33" t="s">
        <v>78</v>
      </c>
      <c r="F5" s="33" t="s">
        <v>84</v>
      </c>
      <c r="G5" s="33" t="s">
        <v>79</v>
      </c>
      <c r="H5" s="33"/>
      <c r="I5" s="33" t="s">
        <v>86</v>
      </c>
      <c r="J5" s="33" t="s">
        <v>101</v>
      </c>
      <c r="K5" s="33"/>
      <c r="L5" s="33"/>
    </row>
    <row r="6" spans="2:12" ht="15.75" x14ac:dyDescent="0.25">
      <c r="C6" s="50" t="s">
        <v>87</v>
      </c>
      <c r="D6" s="18" t="s">
        <v>158</v>
      </c>
      <c r="E6" s="18" t="s">
        <v>81</v>
      </c>
      <c r="F6" s="18" t="s">
        <v>82</v>
      </c>
      <c r="G6" s="18" t="s">
        <v>102</v>
      </c>
      <c r="H6" s="19"/>
      <c r="I6" s="18" t="s">
        <v>95</v>
      </c>
      <c r="J6" s="18" t="s">
        <v>112</v>
      </c>
      <c r="K6" s="33"/>
      <c r="L6" s="33"/>
    </row>
    <row r="7" spans="2:12" ht="15.75" x14ac:dyDescent="0.25">
      <c r="C7" s="50"/>
      <c r="D7" s="18"/>
      <c r="E7" s="18"/>
      <c r="F7" s="18" t="s">
        <v>83</v>
      </c>
      <c r="G7" s="18" t="s">
        <v>103</v>
      </c>
      <c r="H7" s="19"/>
      <c r="I7" s="18" t="s">
        <v>83</v>
      </c>
      <c r="J7" s="18" t="s">
        <v>111</v>
      </c>
      <c r="K7" s="33" t="s">
        <v>97</v>
      </c>
      <c r="L7" s="33">
        <f>IF(256/C14&lt;C16,C16/(256/C14),0)</f>
        <v>0</v>
      </c>
    </row>
    <row r="8" spans="2:12" x14ac:dyDescent="0.25"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 x14ac:dyDescent="0.25"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2:12" x14ac:dyDescent="0.25">
      <c r="C10" s="33"/>
      <c r="D10" s="33"/>
      <c r="E10" s="33"/>
      <c r="F10" s="33"/>
      <c r="G10" s="34" t="s">
        <v>79</v>
      </c>
      <c r="H10" s="34"/>
      <c r="I10" s="34"/>
      <c r="J10" s="33" t="s">
        <v>110</v>
      </c>
      <c r="K10" s="33"/>
      <c r="L10" s="33"/>
    </row>
    <row r="11" spans="2:12" x14ac:dyDescent="0.25">
      <c r="C11" s="52" t="s">
        <v>98</v>
      </c>
      <c r="D11" s="33" t="s">
        <v>91</v>
      </c>
      <c r="E11" s="33" t="s">
        <v>160</v>
      </c>
      <c r="F11" s="33" t="s">
        <v>161</v>
      </c>
      <c r="G11" s="33" t="s">
        <v>108</v>
      </c>
      <c r="H11" s="22" t="s">
        <v>159</v>
      </c>
      <c r="I11" s="22" t="s">
        <v>105</v>
      </c>
      <c r="J11" s="33" t="s">
        <v>106</v>
      </c>
      <c r="K11" s="33" t="s">
        <v>109</v>
      </c>
      <c r="L11" s="33"/>
    </row>
    <row r="12" spans="2:12" x14ac:dyDescent="0.25">
      <c r="C12" s="52"/>
      <c r="D12" s="33">
        <v>0.25</v>
      </c>
      <c r="E12" s="33">
        <f>2*D12+8*D12</f>
        <v>2.5</v>
      </c>
      <c r="F12" s="33">
        <f>1*D12+10</f>
        <v>10.25</v>
      </c>
      <c r="G12" s="33">
        <f>1*0.25+1</f>
        <v>1.25</v>
      </c>
      <c r="H12" s="33">
        <f>35-15</f>
        <v>20</v>
      </c>
      <c r="I12" s="33"/>
      <c r="J12" s="33">
        <f>1*D12+2</f>
        <v>2.25</v>
      </c>
      <c r="K12" s="33">
        <f>E12+F12+H12+J12</f>
        <v>35</v>
      </c>
      <c r="L12" s="33"/>
    </row>
    <row r="13" spans="2:12" x14ac:dyDescent="0.25">
      <c r="C13" s="52"/>
      <c r="D13" s="33">
        <v>0.5</v>
      </c>
      <c r="E13" s="33">
        <f t="shared" ref="E13:E17" si="0">2*D13+8*D13</f>
        <v>5</v>
      </c>
      <c r="F13" s="33">
        <f t="shared" ref="F13:F17" si="1">1*D13+10</f>
        <v>10.5</v>
      </c>
      <c r="G13" s="33">
        <f>1*0.5+1</f>
        <v>1.5</v>
      </c>
      <c r="H13" s="33">
        <f>43.5-19</f>
        <v>24.5</v>
      </c>
      <c r="I13" s="33"/>
      <c r="J13" s="33">
        <f t="shared" ref="J13:J17" si="2">1*D13+2</f>
        <v>2.5</v>
      </c>
      <c r="K13" s="33">
        <f t="shared" ref="K13:K17" si="3">E13+F13+H13+J13</f>
        <v>42.5</v>
      </c>
      <c r="L13" s="33"/>
    </row>
    <row r="14" spans="2:12" x14ac:dyDescent="0.25">
      <c r="B14" s="54" t="s">
        <v>99</v>
      </c>
      <c r="C14" s="53">
        <v>16</v>
      </c>
      <c r="D14" s="33">
        <v>1</v>
      </c>
      <c r="E14" s="33">
        <f t="shared" si="0"/>
        <v>10</v>
      </c>
      <c r="F14" s="33">
        <f t="shared" si="1"/>
        <v>11</v>
      </c>
      <c r="G14" s="33">
        <f>1*1+1</f>
        <v>2</v>
      </c>
      <c r="H14" s="33">
        <f>60-27 +G14</f>
        <v>35</v>
      </c>
      <c r="I14" s="33">
        <f>1*1+1</f>
        <v>2</v>
      </c>
      <c r="J14" s="33">
        <f t="shared" si="2"/>
        <v>3</v>
      </c>
      <c r="K14" s="33">
        <f t="shared" si="3"/>
        <v>59</v>
      </c>
      <c r="L14" s="33"/>
    </row>
    <row r="15" spans="2:12" x14ac:dyDescent="0.25">
      <c r="B15" s="54"/>
      <c r="C15" s="53"/>
      <c r="D15" s="33">
        <v>10</v>
      </c>
      <c r="E15" s="33">
        <f t="shared" si="0"/>
        <v>100</v>
      </c>
      <c r="F15" s="33">
        <f t="shared" si="1"/>
        <v>20</v>
      </c>
      <c r="G15" s="33">
        <f>1*10+1</f>
        <v>11</v>
      </c>
      <c r="H15" s="33">
        <f>357-182</f>
        <v>175</v>
      </c>
      <c r="I15" s="33"/>
      <c r="J15" s="33">
        <f t="shared" si="2"/>
        <v>12</v>
      </c>
      <c r="K15" s="33">
        <f t="shared" si="3"/>
        <v>307</v>
      </c>
      <c r="L15" s="33"/>
    </row>
    <row r="16" spans="2:12" x14ac:dyDescent="0.25">
      <c r="B16" s="51" t="s">
        <v>100</v>
      </c>
      <c r="C16" s="51">
        <v>8</v>
      </c>
      <c r="D16" s="33">
        <v>100</v>
      </c>
      <c r="E16" s="33">
        <f t="shared" si="0"/>
        <v>1000</v>
      </c>
      <c r="F16" s="33">
        <f t="shared" si="1"/>
        <v>110</v>
      </c>
      <c r="G16" s="33">
        <f>1*100+1</f>
        <v>101</v>
      </c>
      <c r="H16" s="33">
        <f>3327-1712</f>
        <v>1615</v>
      </c>
      <c r="I16" s="33"/>
      <c r="J16" s="33">
        <f t="shared" si="2"/>
        <v>102</v>
      </c>
      <c r="K16" s="33">
        <f t="shared" si="3"/>
        <v>2827</v>
      </c>
      <c r="L16" s="33"/>
    </row>
    <row r="17" spans="2:12" x14ac:dyDescent="0.25">
      <c r="B17" s="51"/>
      <c r="C17" s="51"/>
      <c r="D17" s="33">
        <v>1000</v>
      </c>
      <c r="E17" s="33">
        <f t="shared" si="0"/>
        <v>10000</v>
      </c>
      <c r="F17" s="33">
        <f t="shared" si="1"/>
        <v>1010</v>
      </c>
      <c r="G17" s="33">
        <f>1*1000+1</f>
        <v>1001</v>
      </c>
      <c r="H17" s="33">
        <f>33027-16011</f>
        <v>17016</v>
      </c>
      <c r="I17" s="33"/>
      <c r="J17" s="33">
        <f t="shared" si="2"/>
        <v>1002</v>
      </c>
      <c r="K17" s="33">
        <f t="shared" si="3"/>
        <v>29028</v>
      </c>
      <c r="L17" s="33"/>
    </row>
    <row r="19" spans="2:12" x14ac:dyDescent="0.25">
      <c r="C19" s="33"/>
      <c r="D19" s="33" t="s">
        <v>91</v>
      </c>
      <c r="E19" s="33"/>
      <c r="F19" s="33"/>
      <c r="G19" s="33"/>
      <c r="H19" s="33"/>
      <c r="I19" s="33"/>
      <c r="J19" s="33"/>
    </row>
    <row r="20" spans="2:12" x14ac:dyDescent="0.25">
      <c r="C20" s="33">
        <v>4000</v>
      </c>
      <c r="D20" s="33">
        <v>0.25</v>
      </c>
      <c r="E20" s="33">
        <f>E12/K12</f>
        <v>7.1428571428571425E-2</v>
      </c>
      <c r="F20" s="33">
        <f>F12/K12</f>
        <v>0.29285714285714287</v>
      </c>
      <c r="G20" s="33"/>
      <c r="H20" s="33">
        <f>H12/K12</f>
        <v>0.5714285714285714</v>
      </c>
      <c r="I20" s="33"/>
      <c r="J20" s="33">
        <f>J12/K12</f>
        <v>6.4285714285714279E-2</v>
      </c>
    </row>
    <row r="21" spans="2:12" x14ac:dyDescent="0.25">
      <c r="C21" s="33">
        <v>2000</v>
      </c>
      <c r="D21" s="33">
        <v>0.5</v>
      </c>
      <c r="E21" s="33">
        <f t="shared" ref="E21:E25" si="4">E13/K13</f>
        <v>0.11764705882352941</v>
      </c>
      <c r="F21" s="33">
        <f t="shared" ref="F21:F25" si="5">F13/K13</f>
        <v>0.24705882352941178</v>
      </c>
      <c r="G21" s="33"/>
      <c r="H21" s="33">
        <f t="shared" ref="H21:H25" si="6">H13/K13</f>
        <v>0.57647058823529407</v>
      </c>
      <c r="I21" s="33"/>
      <c r="J21" s="33">
        <f t="shared" ref="J21:J25" si="7">J13/K13</f>
        <v>5.8823529411764705E-2</v>
      </c>
    </row>
    <row r="22" spans="2:12" x14ac:dyDescent="0.25">
      <c r="C22" s="33">
        <v>1000</v>
      </c>
      <c r="D22" s="33">
        <v>1</v>
      </c>
      <c r="E22" s="33">
        <f t="shared" si="4"/>
        <v>0.16949152542372881</v>
      </c>
      <c r="F22" s="33">
        <f t="shared" si="5"/>
        <v>0.1864406779661017</v>
      </c>
      <c r="G22" s="33"/>
      <c r="H22" s="33">
        <f t="shared" si="6"/>
        <v>0.59322033898305082</v>
      </c>
      <c r="I22" s="33"/>
      <c r="J22" s="33">
        <f t="shared" si="7"/>
        <v>5.0847457627118647E-2</v>
      </c>
    </row>
    <row r="23" spans="2:12" x14ac:dyDescent="0.25">
      <c r="C23" s="33">
        <v>100</v>
      </c>
      <c r="D23" s="33">
        <v>10</v>
      </c>
      <c r="E23" s="33">
        <f t="shared" si="4"/>
        <v>0.32573289902280128</v>
      </c>
      <c r="F23" s="33">
        <f t="shared" si="5"/>
        <v>6.5146579804560262E-2</v>
      </c>
      <c r="G23" s="33"/>
      <c r="H23" s="33">
        <f t="shared" si="6"/>
        <v>0.57003257328990231</v>
      </c>
      <c r="I23" s="33"/>
      <c r="J23" s="33">
        <f t="shared" si="7"/>
        <v>3.9087947882736153E-2</v>
      </c>
    </row>
    <row r="24" spans="2:12" x14ac:dyDescent="0.25">
      <c r="C24" s="33">
        <v>10</v>
      </c>
      <c r="D24" s="33">
        <v>100</v>
      </c>
      <c r="E24" s="33">
        <f t="shared" si="4"/>
        <v>0.35373187124159888</v>
      </c>
      <c r="F24" s="33">
        <f t="shared" si="5"/>
        <v>3.8910505836575876E-2</v>
      </c>
      <c r="G24" s="33"/>
      <c r="H24" s="33">
        <f t="shared" si="6"/>
        <v>0.57127697205518213</v>
      </c>
      <c r="I24" s="33"/>
      <c r="J24" s="33">
        <f t="shared" si="7"/>
        <v>3.6080650866643083E-2</v>
      </c>
    </row>
    <row r="25" spans="2:12" x14ac:dyDescent="0.25">
      <c r="C25" s="33">
        <v>1</v>
      </c>
      <c r="D25" s="33">
        <v>1000</v>
      </c>
      <c r="E25" s="33">
        <f t="shared" si="4"/>
        <v>0.34449497037343257</v>
      </c>
      <c r="F25" s="33">
        <f t="shared" si="5"/>
        <v>3.4793992007716684E-2</v>
      </c>
      <c r="G25" s="33"/>
      <c r="H25" s="33">
        <f t="shared" si="6"/>
        <v>0.58619264158743278</v>
      </c>
      <c r="I25" s="33"/>
      <c r="J25" s="33">
        <f t="shared" si="7"/>
        <v>3.4518396031417944E-2</v>
      </c>
    </row>
  </sheetData>
  <mergeCells count="6">
    <mergeCell ref="C6:C7"/>
    <mergeCell ref="C11:C13"/>
    <mergeCell ref="C14:C15"/>
    <mergeCell ref="C16:C17"/>
    <mergeCell ref="B14:B15"/>
    <mergeCell ref="B16:B1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opLeftCell="A13" zoomScale="70" zoomScaleNormal="70" workbookViewId="0">
      <selection activeCell="F35" sqref="F35"/>
    </sheetView>
  </sheetViews>
  <sheetFormatPr defaultRowHeight="15" x14ac:dyDescent="0.25"/>
  <cols>
    <col min="3" max="3" width="19.28515625" customWidth="1"/>
    <col min="4" max="4" width="14.140625" customWidth="1"/>
    <col min="5" max="5" width="15.85546875" customWidth="1"/>
    <col min="6" max="6" width="13.28515625" customWidth="1"/>
    <col min="7" max="7" width="25" customWidth="1"/>
    <col min="8" max="8" width="14.28515625" customWidth="1"/>
    <col min="9" max="9" width="14.5703125" customWidth="1"/>
    <col min="10" max="10" width="35.140625" customWidth="1"/>
  </cols>
  <sheetData>
    <row r="1" spans="2:12" x14ac:dyDescent="0.25">
      <c r="C1" s="33"/>
      <c r="D1" s="33" t="s">
        <v>77</v>
      </c>
      <c r="E1" s="33" t="s">
        <v>78</v>
      </c>
      <c r="F1" s="33" t="s">
        <v>84</v>
      </c>
      <c r="G1" s="33" t="s">
        <v>79</v>
      </c>
      <c r="H1" s="16" t="s">
        <v>104</v>
      </c>
      <c r="I1" s="23" t="s">
        <v>105</v>
      </c>
      <c r="J1" s="33" t="s">
        <v>106</v>
      </c>
      <c r="K1" s="33"/>
      <c r="L1" s="33"/>
    </row>
    <row r="2" spans="2:12" x14ac:dyDescent="0.25">
      <c r="C2" s="15" t="s">
        <v>88</v>
      </c>
      <c r="D2" s="15" t="s">
        <v>80</v>
      </c>
      <c r="E2" s="15" t="s">
        <v>81</v>
      </c>
      <c r="F2" s="15" t="s">
        <v>82</v>
      </c>
      <c r="G2" s="15" t="s">
        <v>102</v>
      </c>
      <c r="H2" s="17" t="s">
        <v>85</v>
      </c>
      <c r="I2" s="15" t="s">
        <v>95</v>
      </c>
      <c r="J2" s="15" t="s">
        <v>96</v>
      </c>
      <c r="K2" s="33"/>
      <c r="L2" s="33"/>
    </row>
    <row r="3" spans="2:12" x14ac:dyDescent="0.25">
      <c r="C3" s="33"/>
      <c r="D3" s="33"/>
      <c r="E3" s="33"/>
      <c r="F3" s="21"/>
      <c r="G3" s="21"/>
      <c r="H3" s="33"/>
      <c r="I3" s="33"/>
      <c r="J3" s="33"/>
      <c r="K3" s="33"/>
      <c r="L3" s="33"/>
    </row>
    <row r="4" spans="2:12" x14ac:dyDescent="0.25"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2:12" x14ac:dyDescent="0.25">
      <c r="C5" s="33"/>
      <c r="D5" s="33" t="s">
        <v>77</v>
      </c>
      <c r="E5" s="33" t="s">
        <v>78</v>
      </c>
      <c r="F5" s="33" t="s">
        <v>84</v>
      </c>
      <c r="G5" s="33" t="s">
        <v>79</v>
      </c>
      <c r="H5" s="33"/>
      <c r="I5" s="33" t="s">
        <v>86</v>
      </c>
      <c r="J5" s="33" t="s">
        <v>101</v>
      </c>
      <c r="K5" s="33"/>
      <c r="L5" s="33"/>
    </row>
    <row r="6" spans="2:12" ht="15.75" x14ac:dyDescent="0.25">
      <c r="C6" s="50" t="s">
        <v>87</v>
      </c>
      <c r="D6" s="18" t="s">
        <v>158</v>
      </c>
      <c r="E6" s="18" t="s">
        <v>81</v>
      </c>
      <c r="F6" s="18" t="s">
        <v>82</v>
      </c>
      <c r="G6" s="18" t="s">
        <v>102</v>
      </c>
      <c r="H6" s="19"/>
      <c r="I6" s="18" t="s">
        <v>95</v>
      </c>
      <c r="J6" s="18" t="s">
        <v>112</v>
      </c>
      <c r="K6" s="33"/>
      <c r="L6" s="33"/>
    </row>
    <row r="7" spans="2:12" ht="15.75" x14ac:dyDescent="0.25">
      <c r="C7" s="50"/>
      <c r="D7" s="18"/>
      <c r="E7" s="18"/>
      <c r="F7" s="18" t="s">
        <v>83</v>
      </c>
      <c r="G7" s="18" t="s">
        <v>103</v>
      </c>
      <c r="H7" s="19"/>
      <c r="I7" s="18" t="s">
        <v>83</v>
      </c>
      <c r="J7" s="18" t="s">
        <v>111</v>
      </c>
      <c r="K7" s="33"/>
      <c r="L7" s="33"/>
    </row>
    <row r="8" spans="2:12" x14ac:dyDescent="0.25"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2:12" x14ac:dyDescent="0.25"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2:12" x14ac:dyDescent="0.25">
      <c r="C10" s="33"/>
      <c r="D10" s="33"/>
      <c r="E10" s="33"/>
      <c r="F10" s="33"/>
      <c r="G10" s="34" t="s">
        <v>79</v>
      </c>
      <c r="H10" s="34"/>
      <c r="I10" s="34"/>
      <c r="J10" s="33" t="s">
        <v>110</v>
      </c>
      <c r="K10" s="33"/>
      <c r="L10" s="33"/>
    </row>
    <row r="11" spans="2:12" x14ac:dyDescent="0.25">
      <c r="C11" s="52" t="s">
        <v>98</v>
      </c>
      <c r="D11" s="33" t="s">
        <v>92</v>
      </c>
      <c r="E11" s="33" t="s">
        <v>160</v>
      </c>
      <c r="F11" s="33" t="s">
        <v>161</v>
      </c>
      <c r="G11" s="33" t="s">
        <v>108</v>
      </c>
      <c r="H11" s="22" t="s">
        <v>159</v>
      </c>
      <c r="I11" s="22" t="s">
        <v>105</v>
      </c>
      <c r="J11" s="33" t="s">
        <v>106</v>
      </c>
      <c r="K11" s="33" t="s">
        <v>109</v>
      </c>
      <c r="L11" s="33"/>
    </row>
    <row r="12" spans="2:12" x14ac:dyDescent="0.25">
      <c r="C12" s="52"/>
      <c r="D12" s="33">
        <v>1</v>
      </c>
      <c r="E12" s="33">
        <f>2*10+8*10</f>
        <v>100</v>
      </c>
      <c r="F12" s="33">
        <f>1*10+10</f>
        <v>20</v>
      </c>
      <c r="G12" s="33">
        <f>1*10+1</f>
        <v>11</v>
      </c>
      <c r="H12" s="33">
        <f>1268*2-10</f>
        <v>2526</v>
      </c>
      <c r="I12" s="33"/>
      <c r="J12" s="33">
        <f>1*10+2</f>
        <v>12</v>
      </c>
      <c r="K12" s="33">
        <f>E12+F12+H12+J12</f>
        <v>2658</v>
      </c>
      <c r="L12" s="33"/>
    </row>
    <row r="13" spans="2:12" x14ac:dyDescent="0.25">
      <c r="C13" s="52"/>
      <c r="D13" s="33">
        <v>2</v>
      </c>
      <c r="E13" s="33">
        <f t="shared" ref="E13:E18" si="0">2*10+8*10</f>
        <v>100</v>
      </c>
      <c r="F13" s="33">
        <f t="shared" ref="F13:F18" si="1">1*10+10</f>
        <v>20</v>
      </c>
      <c r="G13" s="33">
        <f t="shared" ref="G13:G18" si="2">1*10+1</f>
        <v>11</v>
      </c>
      <c r="H13" s="33">
        <f>644*2-10</f>
        <v>1278</v>
      </c>
      <c r="I13" s="33"/>
      <c r="J13" s="33">
        <f t="shared" ref="J13:J18" si="3">1*10+2</f>
        <v>12</v>
      </c>
      <c r="K13" s="33">
        <f t="shared" ref="K13:K18" si="4">E13+F13+H13+J13</f>
        <v>1410</v>
      </c>
      <c r="L13" s="33"/>
    </row>
    <row r="14" spans="2:12" x14ac:dyDescent="0.25">
      <c r="B14" s="54" t="s">
        <v>90</v>
      </c>
      <c r="C14" s="53" t="s">
        <v>131</v>
      </c>
      <c r="D14" s="33">
        <v>4</v>
      </c>
      <c r="E14" s="33">
        <f t="shared" si="0"/>
        <v>100</v>
      </c>
      <c r="F14" s="33">
        <f t="shared" si="1"/>
        <v>20</v>
      </c>
      <c r="G14" s="33">
        <f t="shared" si="2"/>
        <v>11</v>
      </c>
      <c r="H14" s="33">
        <f>332*2-10</f>
        <v>654</v>
      </c>
      <c r="I14" s="33">
        <f>1*1+1</f>
        <v>2</v>
      </c>
      <c r="J14" s="33">
        <f t="shared" si="3"/>
        <v>12</v>
      </c>
      <c r="K14" s="33">
        <f t="shared" si="4"/>
        <v>786</v>
      </c>
      <c r="L14" s="33"/>
    </row>
    <row r="15" spans="2:12" x14ac:dyDescent="0.25">
      <c r="B15" s="54"/>
      <c r="C15" s="53"/>
      <c r="D15" s="33">
        <v>8</v>
      </c>
      <c r="E15" s="33">
        <f t="shared" si="0"/>
        <v>100</v>
      </c>
      <c r="F15" s="33">
        <f t="shared" si="1"/>
        <v>20</v>
      </c>
      <c r="G15" s="33">
        <f t="shared" si="2"/>
        <v>11</v>
      </c>
      <c r="H15" s="33">
        <f>176*2-10</f>
        <v>342</v>
      </c>
      <c r="I15" s="33"/>
      <c r="J15" s="33">
        <f t="shared" si="3"/>
        <v>12</v>
      </c>
      <c r="K15" s="33">
        <f t="shared" si="4"/>
        <v>474</v>
      </c>
      <c r="L15" s="33"/>
    </row>
    <row r="16" spans="2:12" x14ac:dyDescent="0.25">
      <c r="B16" s="51" t="s">
        <v>100</v>
      </c>
      <c r="C16" s="51">
        <v>8</v>
      </c>
      <c r="D16" s="33">
        <v>16</v>
      </c>
      <c r="E16" s="33">
        <f t="shared" si="0"/>
        <v>100</v>
      </c>
      <c r="F16" s="33">
        <f t="shared" si="1"/>
        <v>20</v>
      </c>
      <c r="G16" s="33">
        <f t="shared" si="2"/>
        <v>11</v>
      </c>
      <c r="H16" s="33">
        <f>176+10</f>
        <v>186</v>
      </c>
      <c r="I16" s="33"/>
      <c r="J16" s="33">
        <f t="shared" si="3"/>
        <v>12</v>
      </c>
      <c r="K16" s="33">
        <f t="shared" si="4"/>
        <v>318</v>
      </c>
      <c r="L16" s="33"/>
    </row>
    <row r="17" spans="2:12" x14ac:dyDescent="0.25">
      <c r="B17" s="51"/>
      <c r="C17" s="51"/>
      <c r="D17" s="33">
        <v>32</v>
      </c>
      <c r="E17" s="33">
        <f t="shared" si="0"/>
        <v>100</v>
      </c>
      <c r="F17" s="33">
        <f t="shared" si="1"/>
        <v>20</v>
      </c>
      <c r="G17" s="33">
        <f t="shared" si="2"/>
        <v>11</v>
      </c>
      <c r="H17" s="33">
        <f>269-171</f>
        <v>98</v>
      </c>
      <c r="I17" s="33"/>
      <c r="J17" s="33">
        <f t="shared" si="3"/>
        <v>12</v>
      </c>
      <c r="K17" s="33">
        <f t="shared" si="4"/>
        <v>230</v>
      </c>
      <c r="L17" s="33"/>
    </row>
    <row r="18" spans="2:12" x14ac:dyDescent="0.25">
      <c r="D18" s="33">
        <v>64</v>
      </c>
      <c r="E18" s="33">
        <f t="shared" si="0"/>
        <v>100</v>
      </c>
      <c r="F18" s="33">
        <f t="shared" si="1"/>
        <v>20</v>
      </c>
      <c r="G18" s="33">
        <f t="shared" si="2"/>
        <v>11</v>
      </c>
      <c r="H18" s="33">
        <f>225-171</f>
        <v>54</v>
      </c>
      <c r="J18" s="33">
        <f t="shared" si="3"/>
        <v>12</v>
      </c>
      <c r="K18" s="33">
        <f t="shared" si="4"/>
        <v>186</v>
      </c>
    </row>
    <row r="20" spans="2:12" x14ac:dyDescent="0.25">
      <c r="C20" s="33"/>
      <c r="D20" s="33" t="s">
        <v>92</v>
      </c>
      <c r="E20" s="33"/>
      <c r="F20" s="33"/>
      <c r="G20" s="33"/>
      <c r="H20" s="33"/>
      <c r="I20" s="33"/>
      <c r="J20" s="33"/>
    </row>
    <row r="21" spans="2:12" x14ac:dyDescent="0.25">
      <c r="C21" s="33"/>
      <c r="D21" s="33">
        <v>1</v>
      </c>
      <c r="E21" s="33">
        <f t="shared" ref="E21:E27" si="5">E12/K12</f>
        <v>3.7622272385252072E-2</v>
      </c>
      <c r="F21" s="33">
        <f t="shared" ref="F21:F27" si="6">F12/K12</f>
        <v>7.5244544770504138E-3</v>
      </c>
      <c r="G21" s="33"/>
      <c r="H21" s="33">
        <f t="shared" ref="H21:H27" si="7">H12/K12</f>
        <v>0.95033860045146723</v>
      </c>
      <c r="I21" s="33"/>
      <c r="J21" s="33">
        <f t="shared" ref="J21:J27" si="8">J12/K12</f>
        <v>4.5146726862302479E-3</v>
      </c>
    </row>
    <row r="22" spans="2:12" x14ac:dyDescent="0.25">
      <c r="C22" s="33"/>
      <c r="D22" s="33">
        <v>2</v>
      </c>
      <c r="E22" s="33">
        <f t="shared" si="5"/>
        <v>7.0921985815602842E-2</v>
      </c>
      <c r="F22" s="33">
        <f t="shared" si="6"/>
        <v>1.4184397163120567E-2</v>
      </c>
      <c r="G22" s="33"/>
      <c r="H22" s="33">
        <f t="shared" si="7"/>
        <v>0.90638297872340423</v>
      </c>
      <c r="I22" s="33"/>
      <c r="J22" s="33">
        <f t="shared" si="8"/>
        <v>8.5106382978723406E-3</v>
      </c>
    </row>
    <row r="23" spans="2:12" x14ac:dyDescent="0.25">
      <c r="C23" s="33"/>
      <c r="D23" s="33">
        <v>4</v>
      </c>
      <c r="E23" s="33">
        <f t="shared" si="5"/>
        <v>0.1272264631043257</v>
      </c>
      <c r="F23" s="33">
        <f t="shared" si="6"/>
        <v>2.5445292620865138E-2</v>
      </c>
      <c r="G23" s="33"/>
      <c r="H23" s="33">
        <f t="shared" si="7"/>
        <v>0.83206106870229013</v>
      </c>
      <c r="I23" s="33"/>
      <c r="J23" s="33">
        <f t="shared" si="8"/>
        <v>1.5267175572519083E-2</v>
      </c>
    </row>
    <row r="24" spans="2:12" x14ac:dyDescent="0.25">
      <c r="C24" s="33"/>
      <c r="D24" s="33">
        <v>8</v>
      </c>
      <c r="E24" s="33">
        <f t="shared" si="5"/>
        <v>0.2109704641350211</v>
      </c>
      <c r="F24" s="33">
        <f t="shared" si="6"/>
        <v>4.2194092827004218E-2</v>
      </c>
      <c r="G24" s="33"/>
      <c r="H24" s="33">
        <f t="shared" si="7"/>
        <v>0.72151898734177211</v>
      </c>
      <c r="I24" s="33"/>
      <c r="J24" s="33">
        <f t="shared" si="8"/>
        <v>2.5316455696202531E-2</v>
      </c>
    </row>
    <row r="25" spans="2:12" x14ac:dyDescent="0.25">
      <c r="C25" s="33"/>
      <c r="D25" s="33">
        <v>16</v>
      </c>
      <c r="E25" s="33">
        <f t="shared" si="5"/>
        <v>0.31446540880503143</v>
      </c>
      <c r="F25" s="33">
        <f t="shared" si="6"/>
        <v>6.2893081761006289E-2</v>
      </c>
      <c r="G25" s="33"/>
      <c r="H25" s="33">
        <f t="shared" si="7"/>
        <v>0.58490566037735847</v>
      </c>
      <c r="I25" s="33"/>
      <c r="J25" s="33">
        <f t="shared" si="8"/>
        <v>3.7735849056603772E-2</v>
      </c>
    </row>
    <row r="26" spans="2:12" x14ac:dyDescent="0.25">
      <c r="C26" s="33"/>
      <c r="D26" s="33">
        <v>32</v>
      </c>
      <c r="E26" s="33">
        <f t="shared" si="5"/>
        <v>0.43478260869565216</v>
      </c>
      <c r="F26" s="33">
        <f t="shared" si="6"/>
        <v>8.6956521739130432E-2</v>
      </c>
      <c r="G26" s="33"/>
      <c r="H26" s="33">
        <f t="shared" si="7"/>
        <v>0.42608695652173911</v>
      </c>
      <c r="I26" s="33"/>
      <c r="J26" s="33">
        <f t="shared" si="8"/>
        <v>5.2173913043478258E-2</v>
      </c>
    </row>
    <row r="27" spans="2:12" x14ac:dyDescent="0.25">
      <c r="D27" s="33">
        <v>64</v>
      </c>
      <c r="E27" s="33">
        <f t="shared" si="5"/>
        <v>0.5376344086021505</v>
      </c>
      <c r="F27" s="33">
        <f t="shared" si="6"/>
        <v>0.10752688172043011</v>
      </c>
      <c r="H27" s="33">
        <f t="shared" si="7"/>
        <v>0.29032258064516131</v>
      </c>
      <c r="J27" s="33">
        <f t="shared" si="8"/>
        <v>6.4516129032258063E-2</v>
      </c>
    </row>
  </sheetData>
  <mergeCells count="6">
    <mergeCell ref="C6:C7"/>
    <mergeCell ref="C11:C13"/>
    <mergeCell ref="B14:B15"/>
    <mergeCell ref="C14:C15"/>
    <mergeCell ref="B16:B17"/>
    <mergeCell ref="C16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sparcity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2021-09-21T09:02:49Z</dcterms:modified>
</cp:coreProperties>
</file>