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8_{7B11660A-3811-4B84-9EAA-53A4ED3BCAF0}" xr6:coauthVersionLast="36" xr6:coauthVersionMax="36" xr10:uidLastSave="{00000000-0000-0000-0000-000000000000}"/>
  <workbookProtection workbookAlgorithmName="SHA-512" workbookHashValue="I8CevgEcKewBwuB0Sk23gy8IL9vvwrUHfHUZjnC0tZZ3Lf+CCkPlToHu0/BaiErytTASee23UZX8Pma3I3qGUw==" workbookSaltValue="QPn754flWNQnfBGyMdDYrg==" workbookSpinCount="100000" lockStructure="1"/>
  <bookViews>
    <workbookView xWindow="-108" yWindow="-108" windowWidth="23256" windowHeight="12576" xr2:uid="{00000000-000D-0000-FFFF-FFFF00000000}"/>
  </bookViews>
  <sheets>
    <sheet name="Feuil1" sheetId="1" r:id="rId1"/>
    <sheet name="barèmes" sheetId="2" state="hidden" r:id="rId2"/>
    <sheet name="Feuil3" sheetId="3" state="hidden" r:id="rId3"/>
    <sheet name="Calcul barème" sheetId="4" state="hidden" r:id="rId4"/>
    <sheet name="régul décembre" sheetId="5" state="hidden" r:id="rId5"/>
    <sheet name="Calcul janv-nov" sheetId="6" state="hidden" r:id="rId6"/>
    <sheet name="Calcul janv-dec" sheetId="7" state="hidden" r:id="rId7"/>
  </sheets>
  <definedNames>
    <definedName name="_xlnm.Print_Area" localSheetId="0">Feuil1!$A$1:$H$51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6" l="1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36" i="1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D34" i="1"/>
  <c r="E34" i="1" s="1"/>
  <c r="D16" i="5" l="1"/>
  <c r="H6" i="5"/>
  <c r="D6" i="5"/>
  <c r="E2" i="6" s="1"/>
  <c r="D18" i="5" l="1"/>
  <c r="F33" i="1" l="1"/>
  <c r="E37" i="1" s="1"/>
  <c r="G33" i="1"/>
  <c r="E33" i="1"/>
  <c r="D8" i="5" s="1"/>
  <c r="D10" i="5" s="1"/>
  <c r="D22" i="5" s="1"/>
  <c r="C39" i="1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16" i="4"/>
  <c r="D17" i="5" s="1"/>
  <c r="E2" i="7" l="1"/>
  <c r="E2" i="4"/>
  <c r="F35" i="4" l="1"/>
  <c r="F40" i="4"/>
  <c r="F28" i="4"/>
  <c r="F16" i="4"/>
  <c r="F24" i="4"/>
  <c r="F21" i="4"/>
  <c r="F32" i="4"/>
  <c r="F39" i="4"/>
  <c r="F27" i="4"/>
  <c r="F36" i="4"/>
  <c r="F29" i="4"/>
  <c r="F37" i="4"/>
  <c r="F25" i="4"/>
  <c r="F26" i="4"/>
  <c r="F20" i="4"/>
  <c r="F41" i="4"/>
  <c r="F17" i="4"/>
  <c r="F31" i="4"/>
  <c r="F19" i="4"/>
  <c r="F38" i="4"/>
  <c r="F42" i="4"/>
  <c r="F30" i="4"/>
  <c r="F18" i="4"/>
  <c r="F23" i="4"/>
  <c r="F34" i="4"/>
  <c r="F22" i="4"/>
  <c r="F33" i="4"/>
  <c r="F32" i="7"/>
  <c r="F24" i="7"/>
  <c r="F16" i="7"/>
  <c r="F8" i="7"/>
  <c r="F12" i="7"/>
  <c r="F31" i="7"/>
  <c r="F23" i="7"/>
  <c r="F15" i="7"/>
  <c r="F7" i="7"/>
  <c r="F28" i="7"/>
  <c r="F30" i="7"/>
  <c r="F22" i="7"/>
  <c r="F14" i="7"/>
  <c r="F6" i="7"/>
  <c r="F29" i="7"/>
  <c r="F21" i="7"/>
  <c r="F13" i="7"/>
  <c r="F20" i="7"/>
  <c r="F27" i="7"/>
  <c r="F19" i="7"/>
  <c r="F11" i="7"/>
  <c r="F26" i="7"/>
  <c r="F18" i="7"/>
  <c r="F10" i="7"/>
  <c r="F25" i="7"/>
  <c r="F17" i="7"/>
  <c r="F9" i="7"/>
  <c r="D23" i="5"/>
  <c r="D36" i="1" s="1"/>
  <c r="D24" i="5"/>
  <c r="D26" i="5" s="1"/>
  <c r="E36" i="1" s="1"/>
  <c r="G48" i="1"/>
  <c r="D39" i="1"/>
  <c r="E38" i="1" s="1"/>
  <c r="E48" i="1" l="1"/>
  <c r="F37" i="1"/>
  <c r="F48" i="1" s="1"/>
</calcChain>
</file>

<file path=xl/sharedStrings.xml><?xml version="1.0" encoding="utf-8"?>
<sst xmlns="http://schemas.openxmlformats.org/spreadsheetml/2006/main" count="374" uniqueCount="110">
  <si>
    <t xml:space="preserve">Feuille de frais du mois de :   </t>
  </si>
  <si>
    <t xml:space="preserve">Nom du Salarié :  </t>
  </si>
  <si>
    <t>Type de véhicule</t>
  </si>
  <si>
    <t>Choisir</t>
  </si>
  <si>
    <t>Véhicule électrique?</t>
  </si>
  <si>
    <t>mois en cours exclu</t>
  </si>
  <si>
    <t>Forfait journalier (en €) :</t>
  </si>
  <si>
    <t>Cumul annuel kms professionnels voiture :</t>
  </si>
  <si>
    <t>Date</t>
  </si>
  <si>
    <r>
      <t xml:space="preserve">Déplacement
</t>
    </r>
    <r>
      <rPr>
        <b/>
        <i/>
        <sz val="10"/>
        <rFont val="Arial"/>
        <family val="2"/>
      </rPr>
      <t>(lieu de départ/lieu d'arrivée)</t>
    </r>
  </si>
  <si>
    <t>Nbre Kms
Voiture</t>
  </si>
  <si>
    <t>Nbre Kms
Vélo</t>
  </si>
  <si>
    <t>Forfait
Journalier Qtt Jours</t>
  </si>
  <si>
    <t>TOTAL</t>
  </si>
  <si>
    <t xml:space="preserve"> </t>
  </si>
  <si>
    <t>Barême</t>
  </si>
  <si>
    <t>T.T.C.</t>
  </si>
  <si>
    <t>T.V.A.</t>
  </si>
  <si>
    <t>H.T.</t>
  </si>
  <si>
    <t>Nb de Kilomètres Voiture (selon véhicule et barème en vigueur)</t>
  </si>
  <si>
    <t>Nb de Kilométres Vélo</t>
  </si>
  <si>
    <t>0,25€ / km</t>
  </si>
  <si>
    <t xml:space="preserve">
Forfait
journalier
 </t>
  </si>
  <si>
    <t>Votre forfait journalier en Euros</t>
  </si>
  <si>
    <t>Nbre Jours</t>
  </si>
  <si>
    <t>-</t>
  </si>
  <si>
    <t>Frais d'autoroute</t>
  </si>
  <si>
    <t>Frais d'hôtel</t>
  </si>
  <si>
    <t>Frais de restauration</t>
  </si>
  <si>
    <t>Frais de restauration invité(s)</t>
  </si>
  <si>
    <t>Frais de taxi</t>
  </si>
  <si>
    <t>Frais parking</t>
  </si>
  <si>
    <t>Frais Billet Avion/Train</t>
  </si>
  <si>
    <t>A envoyer avant le 20 du mois à frais-dep@labsoft.fr</t>
  </si>
  <si>
    <t>Voiture</t>
  </si>
  <si>
    <t>Scooter</t>
  </si>
  <si>
    <t>Nb de CV</t>
  </si>
  <si>
    <t>moins de 5 000 km</t>
  </si>
  <si>
    <t>de 5 001 à 20 000 km</t>
  </si>
  <si>
    <t>plus de 20 000 km</t>
  </si>
  <si>
    <t>Type de deux-roues</t>
  </si>
  <si>
    <t>Jusqu'à 3 000 km</t>
  </si>
  <si>
    <t>3 001 à 6 000 km</t>
  </si>
  <si>
    <t>plus de 6 000 km</t>
  </si>
  <si>
    <t>3 CV et moins</t>
  </si>
  <si>
    <t>Scooter 50 cc et moins</t>
  </si>
  <si>
    <t>4 CV</t>
  </si>
  <si>
    <t>5 CV</t>
  </si>
  <si>
    <t>6 CV</t>
  </si>
  <si>
    <t>7 CV et plus</t>
  </si>
  <si>
    <t>Moto</t>
  </si>
  <si>
    <t>moins de 3 000 km</t>
  </si>
  <si>
    <t>de 3 001 à 6 000 km</t>
  </si>
  <si>
    <t>Deux-roues : 1 ou 2 CV</t>
  </si>
  <si>
    <t>Deux-roues : 3, 4 et 5 CV</t>
  </si>
  <si>
    <t>Deux-roues : plus de 5 CV</t>
  </si>
  <si>
    <t>Voiture : 3 CV et moins</t>
  </si>
  <si>
    <t>OUI</t>
  </si>
  <si>
    <t>Voiture : 4 CV</t>
  </si>
  <si>
    <t>NON</t>
  </si>
  <si>
    <t>Voiture : 5 CV</t>
  </si>
  <si>
    <t>Voiture : 6 CV</t>
  </si>
  <si>
    <t>Voiture : 7 CV et plus</t>
  </si>
  <si>
    <t>Nombre de kms</t>
  </si>
  <si>
    <t>Cumul janvier à novembre (kms)</t>
  </si>
  <si>
    <t>Type véhicule</t>
  </si>
  <si>
    <t>Distance décembre (kms)</t>
  </si>
  <si>
    <t>Total kms année</t>
  </si>
  <si>
    <t>Tranche annuelle</t>
  </si>
  <si>
    <t>JANVIER A NOVEMBRE</t>
  </si>
  <si>
    <t>Tranche de janvier à novembre</t>
  </si>
  <si>
    <t>Barème janvier à novembre</t>
  </si>
  <si>
    <t>Payé de janvier à novembre</t>
  </si>
  <si>
    <t>JANVIER A DECEMBRE</t>
  </si>
  <si>
    <t>Tranche de janvier à décembre</t>
  </si>
  <si>
    <t>Barème janvier à décembre</t>
  </si>
  <si>
    <t>Payé sur année</t>
  </si>
  <si>
    <t>Régularisation décembre</t>
  </si>
  <si>
    <t>d x 0,529</t>
  </si>
  <si>
    <t>(d x 0,316) + 1 065</t>
  </si>
  <si>
    <t>d x 0,370</t>
  </si>
  <si>
    <t>d x 0,606</t>
  </si>
  <si>
    <t>(d x 0,340) + 1 330</t>
  </si>
  <si>
    <t>d x 0,407</t>
  </si>
  <si>
    <t>d x 0,636</t>
  </si>
  <si>
    <t>(d x 0,357) + 1 395</t>
  </si>
  <si>
    <t>d x 0,427</t>
  </si>
  <si>
    <t>d x 0,665</t>
  </si>
  <si>
    <t>(d x 0,374) + 1 457</t>
  </si>
  <si>
    <t>d x 0,447</t>
  </si>
  <si>
    <t>d x 0,697</t>
  </si>
  <si>
    <t>(d x 0,394) + 1 515</t>
  </si>
  <si>
    <t>d x 0,470</t>
  </si>
  <si>
    <t>d x 0,315</t>
  </si>
  <si>
    <t>(d x 0,079) + 711</t>
  </si>
  <si>
    <t>d x 0,198</t>
  </si>
  <si>
    <t>d x 0,395</t>
  </si>
  <si>
    <t>(d x 0,099) + 891</t>
  </si>
  <si>
    <t>d x 0,248</t>
  </si>
  <si>
    <t>d x 0,468</t>
  </si>
  <si>
    <t>(d x 0,082) + 1 158</t>
  </si>
  <si>
    <t>d x 0,275</t>
  </si>
  <si>
    <t>(d x 0,079) + 1 583</t>
  </si>
  <si>
    <t>d x 0,343</t>
  </si>
  <si>
    <t>d x 0,37</t>
  </si>
  <si>
    <t>Nombre =E2e kms</t>
  </si>
  <si>
    <t>Note de frais 2024</t>
  </si>
  <si>
    <t>Barèmes kilométriques 2024</t>
  </si>
  <si>
    <t>Si vélo : cumul en euros depuis le 01/01/2024 :</t>
  </si>
  <si>
    <t>Autre (à préciser) / Abonnement Tisséo / 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</si>
</sst>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\ &quot;€&quot;"/>
    <numFmt numFmtId="166" formatCode="[$-40C]mmm\-yy;@"/>
  </numFmts>
  <fonts count="26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0"/>
      <color indexed="54"/>
      <name val="Arial"/>
      <family val="2"/>
    </font>
    <font>
      <b/>
      <sz val="11"/>
      <color theme="1"/>
      <name val="Calibri"/>
      <family val="2"/>
      <scheme val="minor"/>
    </font>
    <font>
      <sz val="10"/>
      <color rgb="FF303030"/>
      <name val="Arial"/>
      <family val="2"/>
    </font>
    <font>
      <b/>
      <sz val="10"/>
      <color rgb="FF303030"/>
      <name val="Arial"/>
      <family val="2"/>
    </font>
    <font>
      <b/>
      <sz val="15"/>
      <color theme="1"/>
      <name val="Calibri"/>
      <family val="2"/>
      <scheme val="minor"/>
    </font>
    <font>
      <b/>
      <sz val="26"/>
      <color rgb="FFCC0000"/>
      <name val="Times New Roman"/>
      <family val="1"/>
    </font>
    <font>
      <sz val="11"/>
      <color theme="1"/>
      <name val="Arial"/>
      <family val="2"/>
    </font>
    <font>
      <b/>
      <i/>
      <sz val="14"/>
      <color theme="0"/>
      <name val="Arial"/>
      <family val="2"/>
    </font>
    <font>
      <b/>
      <i/>
      <sz val="10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11"/>
      <color rgb="FF41485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  <family val="2"/>
    </font>
    <font>
      <sz val="9.6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303030"/>
      </left>
      <right style="medium">
        <color rgb="FF303030"/>
      </right>
      <top style="medium">
        <color rgb="FF303030"/>
      </top>
      <bottom style="medium">
        <color rgb="FF303030"/>
      </bottom>
      <diagonal/>
    </border>
    <border>
      <left style="thin">
        <color rgb="FF000000"/>
      </left>
      <right style="medium">
        <color rgb="FF303030"/>
      </right>
      <top style="thin">
        <color rgb="FF000000"/>
      </top>
      <bottom style="medium">
        <color rgb="FF303030"/>
      </bottom>
      <diagonal/>
    </border>
    <border>
      <left style="medium">
        <color rgb="FF303030"/>
      </left>
      <right style="medium">
        <color rgb="FF303030"/>
      </right>
      <top style="thin">
        <color rgb="FF000000"/>
      </top>
      <bottom style="medium">
        <color rgb="FF303030"/>
      </bottom>
      <diagonal/>
    </border>
    <border>
      <left style="medium">
        <color rgb="FF303030"/>
      </left>
      <right style="thin">
        <color rgb="FF000000"/>
      </right>
      <top style="thin">
        <color rgb="FF000000"/>
      </top>
      <bottom style="medium">
        <color rgb="FF303030"/>
      </bottom>
      <diagonal/>
    </border>
    <border>
      <left style="thin">
        <color rgb="FF000000"/>
      </left>
      <right style="medium">
        <color rgb="FF303030"/>
      </right>
      <top style="medium">
        <color rgb="FF303030"/>
      </top>
      <bottom style="medium">
        <color rgb="FF303030"/>
      </bottom>
      <diagonal/>
    </border>
    <border>
      <left style="medium">
        <color rgb="FF303030"/>
      </left>
      <right style="thin">
        <color rgb="FF000000"/>
      </right>
      <top style="medium">
        <color rgb="FF303030"/>
      </top>
      <bottom style="medium">
        <color rgb="FF303030"/>
      </bottom>
      <diagonal/>
    </border>
    <border>
      <left style="thin">
        <color rgb="FF000000"/>
      </left>
      <right style="medium">
        <color rgb="FF303030"/>
      </right>
      <top style="medium">
        <color rgb="FF303030"/>
      </top>
      <bottom style="thin">
        <color rgb="FF000000"/>
      </bottom>
      <diagonal/>
    </border>
    <border>
      <left style="medium">
        <color rgb="FF303030"/>
      </left>
      <right style="medium">
        <color rgb="FF303030"/>
      </right>
      <top style="medium">
        <color rgb="FF303030"/>
      </top>
      <bottom style="thin">
        <color rgb="FF000000"/>
      </bottom>
      <diagonal/>
    </border>
    <border>
      <left style="medium">
        <color rgb="FF303030"/>
      </left>
      <right style="thin">
        <color rgb="FF000000"/>
      </right>
      <top style="medium">
        <color rgb="FF30303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0" xfId="0" applyFill="1"/>
    <xf numFmtId="0" fontId="5" fillId="0" borderId="0" xfId="0" applyFont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8" fillId="3" borderId="11" xfId="0" applyFont="1" applyFill="1" applyBorder="1" applyAlignment="1">
      <alignment vertical="top" wrapText="1"/>
    </xf>
    <xf numFmtId="0" fontId="8" fillId="3" borderId="12" xfId="0" applyFont="1" applyFill="1" applyBorder="1" applyAlignment="1">
      <alignment vertical="top" wrapText="1"/>
    </xf>
    <xf numFmtId="0" fontId="8" fillId="3" borderId="1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6" fillId="4" borderId="0" xfId="0" applyFont="1" applyFill="1"/>
    <xf numFmtId="0" fontId="7" fillId="3" borderId="0" xfId="0" applyFont="1" applyFill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4" borderId="0" xfId="0" applyFont="1" applyFill="1"/>
    <xf numFmtId="0" fontId="14" fillId="0" borderId="0" xfId="0" applyFont="1" applyAlignment="1" applyProtection="1">
      <alignment horizontal="right"/>
      <protection locked="0"/>
    </xf>
    <xf numFmtId="1" fontId="0" fillId="0" borderId="0" xfId="0" applyNumberFormat="1"/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2" fillId="0" borderId="1" xfId="0" applyFont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/>
    </xf>
    <xf numFmtId="0" fontId="0" fillId="0" borderId="4" xfId="0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4" fontId="0" fillId="0" borderId="1" xfId="0" applyNumberFormat="1" applyBorder="1" applyAlignment="1" applyProtection="1">
      <alignment vertical="center"/>
      <protection locked="0"/>
    </xf>
    <xf numFmtId="4" fontId="4" fillId="0" borderId="1" xfId="0" applyNumberFormat="1" applyFont="1" applyBorder="1" applyAlignment="1" applyProtection="1">
      <alignment vertical="center"/>
      <protection locked="0"/>
    </xf>
    <xf numFmtId="4" fontId="0" fillId="0" borderId="1" xfId="0" applyNumberFormat="1" applyBorder="1" applyProtection="1">
      <protection locked="0"/>
    </xf>
    <xf numFmtId="4" fontId="4" fillId="0" borderId="1" xfId="0" applyNumberFormat="1" applyFont="1" applyBorder="1" applyProtection="1">
      <protection locked="0"/>
    </xf>
    <xf numFmtId="0" fontId="5" fillId="0" borderId="0" xfId="0" applyFont="1" applyProtection="1">
      <protection locked="0"/>
    </xf>
    <xf numFmtId="0" fontId="5" fillId="5" borderId="8" xfId="0" applyFont="1" applyFill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Protection="1">
      <protection locked="0"/>
    </xf>
    <xf numFmtId="0" fontId="12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3" fillId="6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 wrapText="1"/>
    </xf>
    <xf numFmtId="2" fontId="2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wrapText="1"/>
    </xf>
    <xf numFmtId="2" fontId="4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 applyProtection="1">
      <alignment horizontal="center"/>
      <protection locked="0"/>
    </xf>
    <xf numFmtId="4" fontId="0" fillId="0" borderId="0" xfId="0" applyNumberFormat="1"/>
    <xf numFmtId="2" fontId="0" fillId="0" borderId="0" xfId="0" applyNumberFormat="1"/>
    <xf numFmtId="0" fontId="6" fillId="0" borderId="0" xfId="0" applyFont="1"/>
    <xf numFmtId="4" fontId="6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/>
    <xf numFmtId="165" fontId="0" fillId="4" borderId="0" xfId="0" applyNumberFormat="1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20" fillId="0" borderId="0" xfId="0" applyFont="1"/>
    <xf numFmtId="1" fontId="22" fillId="0" borderId="0" xfId="0" applyNumberFormat="1" applyFont="1"/>
    <xf numFmtId="0" fontId="4" fillId="3" borderId="10" xfId="0" applyFont="1" applyFill="1" applyBorder="1" applyAlignment="1">
      <alignment vertical="top" wrapText="1"/>
    </xf>
    <xf numFmtId="0" fontId="4" fillId="3" borderId="15" xfId="0" applyFont="1" applyFill="1" applyBorder="1" applyAlignment="1">
      <alignment vertical="top" wrapText="1"/>
    </xf>
    <xf numFmtId="0" fontId="4" fillId="3" borderId="17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vertical="center"/>
      <protection locked="0"/>
    </xf>
    <xf numFmtId="0" fontId="23" fillId="3" borderId="22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17" fontId="0" fillId="0" borderId="0" xfId="0" applyNumberFormat="1"/>
    <xf numFmtId="0" fontId="24" fillId="0" borderId="22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 readingOrder="1"/>
    </xf>
    <xf numFmtId="0" fontId="25" fillId="0" borderId="26" xfId="0" applyFont="1" applyBorder="1" applyAlignment="1">
      <alignment horizontal="left" vertical="center" wrapText="1" readingOrder="1"/>
    </xf>
    <xf numFmtId="0" fontId="25" fillId="0" borderId="27" xfId="0" applyFont="1" applyBorder="1" applyAlignment="1">
      <alignment horizontal="left" vertical="center" wrapText="1" readingOrder="1"/>
    </xf>
    <xf numFmtId="0" fontId="25" fillId="0" borderId="28" xfId="0" applyFont="1" applyBorder="1" applyAlignment="1">
      <alignment vertical="center" wrapText="1" readingOrder="1"/>
    </xf>
    <xf numFmtId="0" fontId="25" fillId="0" borderId="0" xfId="0" applyFont="1" applyAlignment="1">
      <alignment vertical="center" wrapText="1" readingOrder="1"/>
    </xf>
    <xf numFmtId="0" fontId="25" fillId="0" borderId="29" xfId="0" applyFont="1" applyBorder="1" applyAlignment="1">
      <alignment vertical="center" wrapText="1" readingOrder="1"/>
    </xf>
    <xf numFmtId="0" fontId="25" fillId="0" borderId="30" xfId="0" applyFont="1" applyBorder="1" applyAlignment="1">
      <alignment vertical="center" wrapText="1" readingOrder="1"/>
    </xf>
    <xf numFmtId="0" fontId="25" fillId="0" borderId="31" xfId="0" applyFont="1" applyBorder="1" applyAlignment="1">
      <alignment vertical="center" wrapText="1" readingOrder="1"/>
    </xf>
    <xf numFmtId="0" fontId="25" fillId="0" borderId="32" xfId="0" applyFont="1" applyBorder="1" applyAlignment="1">
      <alignment vertical="center" wrapText="1" readingOrder="1"/>
    </xf>
    <xf numFmtId="0" fontId="11" fillId="5" borderId="0" xfId="0" applyFont="1" applyFill="1" applyAlignment="1" applyProtection="1">
      <alignment horizontal="center"/>
      <protection locked="0"/>
    </xf>
    <xf numFmtId="164" fontId="11" fillId="5" borderId="0" xfId="0" applyNumberFormat="1" applyFont="1" applyFill="1" applyAlignment="1" applyProtection="1">
      <alignment horizontal="center" vertical="center"/>
      <protection locked="0"/>
    </xf>
    <xf numFmtId="164" fontId="0" fillId="5" borderId="0" xfId="0" applyNumberForma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166" fontId="19" fillId="5" borderId="0" xfId="0" applyNumberFormat="1" applyFont="1" applyFill="1" applyAlignment="1" applyProtection="1">
      <alignment horizontal="center"/>
      <protection locked="0"/>
    </xf>
    <xf numFmtId="166" fontId="0" fillId="5" borderId="0" xfId="0" applyNumberForma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 vertical="center" wrapText="1"/>
      <protection locked="0"/>
    </xf>
    <xf numFmtId="0" fontId="2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2" fillId="9" borderId="2" xfId="0" applyFont="1" applyFill="1" applyBorder="1" applyAlignment="1">
      <alignment horizontal="left" vertical="center"/>
    </xf>
    <xf numFmtId="0" fontId="0" fillId="9" borderId="5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4" fontId="11" fillId="5" borderId="0" xfId="0" applyNumberFormat="1" applyFont="1" applyFill="1" applyAlignment="1" applyProtection="1">
      <alignment horizontal="center"/>
      <protection locked="0"/>
    </xf>
    <xf numFmtId="164" fontId="4" fillId="8" borderId="19" xfId="0" applyNumberFormat="1" applyFont="1" applyFill="1" applyBorder="1" applyAlignment="1">
      <alignment horizontal="center" vertical="center"/>
    </xf>
    <xf numFmtId="164" fontId="0" fillId="8" borderId="20" xfId="0" applyNumberForma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11" fillId="5" borderId="0" xfId="0" applyNumberFormat="1" applyFont="1" applyFill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2" fillId="0" borderId="2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CD"/>
      <color rgb="FFFFA7A7"/>
      <color rgb="FFFF4B4B"/>
      <color rgb="FFCC0000"/>
      <color rgb="FFFFA7C4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952500</xdr:colOff>
      <xdr:row>3</xdr:row>
      <xdr:rowOff>30480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616FE37-D023-456E-8B46-28597FEB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95600" cy="1158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7"/>
  <sheetViews>
    <sheetView tabSelected="1" topLeftCell="A40" zoomScaleNormal="100" workbookViewId="0">
      <selection activeCell="I30" sqref="I30"/>
    </sheetView>
  </sheetViews>
  <sheetFormatPr baseColWidth="10" defaultColWidth="11.44140625" defaultRowHeight="14.4" x14ac:dyDescent="0.3"/>
  <cols>
    <col min="1" max="1" width="10.44140625" customWidth="1"/>
    <col min="2" max="2" width="17.88671875" customWidth="1"/>
    <col min="3" max="3" width="15" customWidth="1"/>
    <col min="4" max="4" width="14.88671875" customWidth="1"/>
    <col min="5" max="5" width="22.6640625" customWidth="1"/>
    <col min="258" max="258" width="10.44140625" customWidth="1"/>
    <col min="259" max="259" width="32" customWidth="1"/>
    <col min="260" max="260" width="14.88671875" customWidth="1"/>
    <col min="261" max="261" width="14.33203125" customWidth="1"/>
    <col min="514" max="514" width="10.44140625" customWidth="1"/>
    <col min="515" max="515" width="32" customWidth="1"/>
    <col min="516" max="516" width="14.88671875" customWidth="1"/>
    <col min="517" max="517" width="14.33203125" customWidth="1"/>
    <col min="770" max="770" width="10.44140625" customWidth="1"/>
    <col min="771" max="771" width="32" customWidth="1"/>
    <col min="772" max="772" width="14.88671875" customWidth="1"/>
    <col min="773" max="773" width="14.33203125" customWidth="1"/>
    <col min="1026" max="1026" width="10.44140625" customWidth="1"/>
    <col min="1027" max="1027" width="32" customWidth="1"/>
    <col min="1028" max="1028" width="14.88671875" customWidth="1"/>
    <col min="1029" max="1029" width="14.33203125" customWidth="1"/>
    <col min="1282" max="1282" width="10.44140625" customWidth="1"/>
    <col min="1283" max="1283" width="32" customWidth="1"/>
    <col min="1284" max="1284" width="14.88671875" customWidth="1"/>
    <col min="1285" max="1285" width="14.33203125" customWidth="1"/>
    <col min="1538" max="1538" width="10.44140625" customWidth="1"/>
    <col min="1539" max="1539" width="32" customWidth="1"/>
    <col min="1540" max="1540" width="14.88671875" customWidth="1"/>
    <col min="1541" max="1541" width="14.33203125" customWidth="1"/>
    <col min="1794" max="1794" width="10.44140625" customWidth="1"/>
    <col min="1795" max="1795" width="32" customWidth="1"/>
    <col min="1796" max="1796" width="14.88671875" customWidth="1"/>
    <col min="1797" max="1797" width="14.33203125" customWidth="1"/>
    <col min="2050" max="2050" width="10.44140625" customWidth="1"/>
    <col min="2051" max="2051" width="32" customWidth="1"/>
    <col min="2052" max="2052" width="14.88671875" customWidth="1"/>
    <col min="2053" max="2053" width="14.33203125" customWidth="1"/>
    <col min="2306" max="2306" width="10.44140625" customWidth="1"/>
    <col min="2307" max="2307" width="32" customWidth="1"/>
    <col min="2308" max="2308" width="14.88671875" customWidth="1"/>
    <col min="2309" max="2309" width="14.33203125" customWidth="1"/>
    <col min="2562" max="2562" width="10.44140625" customWidth="1"/>
    <col min="2563" max="2563" width="32" customWidth="1"/>
    <col min="2564" max="2564" width="14.88671875" customWidth="1"/>
    <col min="2565" max="2565" width="14.33203125" customWidth="1"/>
    <col min="2818" max="2818" width="10.44140625" customWidth="1"/>
    <col min="2819" max="2819" width="32" customWidth="1"/>
    <col min="2820" max="2820" width="14.88671875" customWidth="1"/>
    <col min="2821" max="2821" width="14.33203125" customWidth="1"/>
    <col min="3074" max="3074" width="10.44140625" customWidth="1"/>
    <col min="3075" max="3075" width="32" customWidth="1"/>
    <col min="3076" max="3076" width="14.88671875" customWidth="1"/>
    <col min="3077" max="3077" width="14.33203125" customWidth="1"/>
    <col min="3330" max="3330" width="10.44140625" customWidth="1"/>
    <col min="3331" max="3331" width="32" customWidth="1"/>
    <col min="3332" max="3332" width="14.88671875" customWidth="1"/>
    <col min="3333" max="3333" width="14.33203125" customWidth="1"/>
    <col min="3586" max="3586" width="10.44140625" customWidth="1"/>
    <col min="3587" max="3587" width="32" customWidth="1"/>
    <col min="3588" max="3588" width="14.88671875" customWidth="1"/>
    <col min="3589" max="3589" width="14.33203125" customWidth="1"/>
    <col min="3842" max="3842" width="10.44140625" customWidth="1"/>
    <col min="3843" max="3843" width="32" customWidth="1"/>
    <col min="3844" max="3844" width="14.88671875" customWidth="1"/>
    <col min="3845" max="3845" width="14.33203125" customWidth="1"/>
    <col min="4098" max="4098" width="10.44140625" customWidth="1"/>
    <col min="4099" max="4099" width="32" customWidth="1"/>
    <col min="4100" max="4100" width="14.88671875" customWidth="1"/>
    <col min="4101" max="4101" width="14.33203125" customWidth="1"/>
    <col min="4354" max="4354" width="10.44140625" customWidth="1"/>
    <col min="4355" max="4355" width="32" customWidth="1"/>
    <col min="4356" max="4356" width="14.88671875" customWidth="1"/>
    <col min="4357" max="4357" width="14.33203125" customWidth="1"/>
    <col min="4610" max="4610" width="10.44140625" customWidth="1"/>
    <col min="4611" max="4611" width="32" customWidth="1"/>
    <col min="4612" max="4612" width="14.88671875" customWidth="1"/>
    <col min="4613" max="4613" width="14.33203125" customWidth="1"/>
    <col min="4866" max="4866" width="10.44140625" customWidth="1"/>
    <col min="4867" max="4867" width="32" customWidth="1"/>
    <col min="4868" max="4868" width="14.88671875" customWidth="1"/>
    <col min="4869" max="4869" width="14.33203125" customWidth="1"/>
    <col min="5122" max="5122" width="10.44140625" customWidth="1"/>
    <col min="5123" max="5123" width="32" customWidth="1"/>
    <col min="5124" max="5124" width="14.88671875" customWidth="1"/>
    <col min="5125" max="5125" width="14.33203125" customWidth="1"/>
    <col min="5378" max="5378" width="10.44140625" customWidth="1"/>
    <col min="5379" max="5379" width="32" customWidth="1"/>
    <col min="5380" max="5380" width="14.88671875" customWidth="1"/>
    <col min="5381" max="5381" width="14.33203125" customWidth="1"/>
    <col min="5634" max="5634" width="10.44140625" customWidth="1"/>
    <col min="5635" max="5635" width="32" customWidth="1"/>
    <col min="5636" max="5636" width="14.88671875" customWidth="1"/>
    <col min="5637" max="5637" width="14.33203125" customWidth="1"/>
    <col min="5890" max="5890" width="10.44140625" customWidth="1"/>
    <col min="5891" max="5891" width="32" customWidth="1"/>
    <col min="5892" max="5892" width="14.88671875" customWidth="1"/>
    <col min="5893" max="5893" width="14.33203125" customWidth="1"/>
    <col min="6146" max="6146" width="10.44140625" customWidth="1"/>
    <col min="6147" max="6147" width="32" customWidth="1"/>
    <col min="6148" max="6148" width="14.88671875" customWidth="1"/>
    <col min="6149" max="6149" width="14.33203125" customWidth="1"/>
    <col min="6402" max="6402" width="10.44140625" customWidth="1"/>
    <col min="6403" max="6403" width="32" customWidth="1"/>
    <col min="6404" max="6404" width="14.88671875" customWidth="1"/>
    <col min="6405" max="6405" width="14.33203125" customWidth="1"/>
    <col min="6658" max="6658" width="10.44140625" customWidth="1"/>
    <col min="6659" max="6659" width="32" customWidth="1"/>
    <col min="6660" max="6660" width="14.88671875" customWidth="1"/>
    <col min="6661" max="6661" width="14.33203125" customWidth="1"/>
    <col min="6914" max="6914" width="10.44140625" customWidth="1"/>
    <col min="6915" max="6915" width="32" customWidth="1"/>
    <col min="6916" max="6916" width="14.88671875" customWidth="1"/>
    <col min="6917" max="6917" width="14.33203125" customWidth="1"/>
    <col min="7170" max="7170" width="10.44140625" customWidth="1"/>
    <col min="7171" max="7171" width="32" customWidth="1"/>
    <col min="7172" max="7172" width="14.88671875" customWidth="1"/>
    <col min="7173" max="7173" width="14.33203125" customWidth="1"/>
    <col min="7426" max="7426" width="10.44140625" customWidth="1"/>
    <col min="7427" max="7427" width="32" customWidth="1"/>
    <col min="7428" max="7428" width="14.88671875" customWidth="1"/>
    <col min="7429" max="7429" width="14.33203125" customWidth="1"/>
    <col min="7682" max="7682" width="10.44140625" customWidth="1"/>
    <col min="7683" max="7683" width="32" customWidth="1"/>
    <col min="7684" max="7684" width="14.88671875" customWidth="1"/>
    <col min="7685" max="7685" width="14.33203125" customWidth="1"/>
    <col min="7938" max="7938" width="10.44140625" customWidth="1"/>
    <col min="7939" max="7939" width="32" customWidth="1"/>
    <col min="7940" max="7940" width="14.88671875" customWidth="1"/>
    <col min="7941" max="7941" width="14.33203125" customWidth="1"/>
    <col min="8194" max="8194" width="10.44140625" customWidth="1"/>
    <col min="8195" max="8195" width="32" customWidth="1"/>
    <col min="8196" max="8196" width="14.88671875" customWidth="1"/>
    <col min="8197" max="8197" width="14.33203125" customWidth="1"/>
    <col min="8450" max="8450" width="10.44140625" customWidth="1"/>
    <col min="8451" max="8451" width="32" customWidth="1"/>
    <col min="8452" max="8452" width="14.88671875" customWidth="1"/>
    <col min="8453" max="8453" width="14.33203125" customWidth="1"/>
    <col min="8706" max="8706" width="10.44140625" customWidth="1"/>
    <col min="8707" max="8707" width="32" customWidth="1"/>
    <col min="8708" max="8708" width="14.88671875" customWidth="1"/>
    <col min="8709" max="8709" width="14.33203125" customWidth="1"/>
    <col min="8962" max="8962" width="10.44140625" customWidth="1"/>
    <col min="8963" max="8963" width="32" customWidth="1"/>
    <col min="8964" max="8964" width="14.88671875" customWidth="1"/>
    <col min="8965" max="8965" width="14.33203125" customWidth="1"/>
    <col min="9218" max="9218" width="10.44140625" customWidth="1"/>
    <col min="9219" max="9219" width="32" customWidth="1"/>
    <col min="9220" max="9220" width="14.88671875" customWidth="1"/>
    <col min="9221" max="9221" width="14.33203125" customWidth="1"/>
    <col min="9474" max="9474" width="10.44140625" customWidth="1"/>
    <col min="9475" max="9475" width="32" customWidth="1"/>
    <col min="9476" max="9476" width="14.88671875" customWidth="1"/>
    <col min="9477" max="9477" width="14.33203125" customWidth="1"/>
    <col min="9730" max="9730" width="10.44140625" customWidth="1"/>
    <col min="9731" max="9731" width="32" customWidth="1"/>
    <col min="9732" max="9732" width="14.88671875" customWidth="1"/>
    <col min="9733" max="9733" width="14.33203125" customWidth="1"/>
    <col min="9986" max="9986" width="10.44140625" customWidth="1"/>
    <col min="9987" max="9987" width="32" customWidth="1"/>
    <col min="9988" max="9988" width="14.88671875" customWidth="1"/>
    <col min="9989" max="9989" width="14.33203125" customWidth="1"/>
    <col min="10242" max="10242" width="10.44140625" customWidth="1"/>
    <col min="10243" max="10243" width="32" customWidth="1"/>
    <col min="10244" max="10244" width="14.88671875" customWidth="1"/>
    <col min="10245" max="10245" width="14.33203125" customWidth="1"/>
    <col min="10498" max="10498" width="10.44140625" customWidth="1"/>
    <col min="10499" max="10499" width="32" customWidth="1"/>
    <col min="10500" max="10500" width="14.88671875" customWidth="1"/>
    <col min="10501" max="10501" width="14.33203125" customWidth="1"/>
    <col min="10754" max="10754" width="10.44140625" customWidth="1"/>
    <col min="10755" max="10755" width="32" customWidth="1"/>
    <col min="10756" max="10756" width="14.88671875" customWidth="1"/>
    <col min="10757" max="10757" width="14.33203125" customWidth="1"/>
    <col min="11010" max="11010" width="10.44140625" customWidth="1"/>
    <col min="11011" max="11011" width="32" customWidth="1"/>
    <col min="11012" max="11012" width="14.88671875" customWidth="1"/>
    <col min="11013" max="11013" width="14.33203125" customWidth="1"/>
    <col min="11266" max="11266" width="10.44140625" customWidth="1"/>
    <col min="11267" max="11267" width="32" customWidth="1"/>
    <col min="11268" max="11268" width="14.88671875" customWidth="1"/>
    <col min="11269" max="11269" width="14.33203125" customWidth="1"/>
    <col min="11522" max="11522" width="10.44140625" customWidth="1"/>
    <col min="11523" max="11523" width="32" customWidth="1"/>
    <col min="11524" max="11524" width="14.88671875" customWidth="1"/>
    <col min="11525" max="11525" width="14.33203125" customWidth="1"/>
    <col min="11778" max="11778" width="10.44140625" customWidth="1"/>
    <col min="11779" max="11779" width="32" customWidth="1"/>
    <col min="11780" max="11780" width="14.88671875" customWidth="1"/>
    <col min="11781" max="11781" width="14.33203125" customWidth="1"/>
    <col min="12034" max="12034" width="10.44140625" customWidth="1"/>
    <col min="12035" max="12035" width="32" customWidth="1"/>
    <col min="12036" max="12036" width="14.88671875" customWidth="1"/>
    <col min="12037" max="12037" width="14.33203125" customWidth="1"/>
    <col min="12290" max="12290" width="10.44140625" customWidth="1"/>
    <col min="12291" max="12291" width="32" customWidth="1"/>
    <col min="12292" max="12292" width="14.88671875" customWidth="1"/>
    <col min="12293" max="12293" width="14.33203125" customWidth="1"/>
    <col min="12546" max="12546" width="10.44140625" customWidth="1"/>
    <col min="12547" max="12547" width="32" customWidth="1"/>
    <col min="12548" max="12548" width="14.88671875" customWidth="1"/>
    <col min="12549" max="12549" width="14.33203125" customWidth="1"/>
    <col min="12802" max="12802" width="10.44140625" customWidth="1"/>
    <col min="12803" max="12803" width="32" customWidth="1"/>
    <col min="12804" max="12804" width="14.88671875" customWidth="1"/>
    <col min="12805" max="12805" width="14.33203125" customWidth="1"/>
    <col min="13058" max="13058" width="10.44140625" customWidth="1"/>
    <col min="13059" max="13059" width="32" customWidth="1"/>
    <col min="13060" max="13060" width="14.88671875" customWidth="1"/>
    <col min="13061" max="13061" width="14.33203125" customWidth="1"/>
    <col min="13314" max="13314" width="10.44140625" customWidth="1"/>
    <col min="13315" max="13315" width="32" customWidth="1"/>
    <col min="13316" max="13316" width="14.88671875" customWidth="1"/>
    <col min="13317" max="13317" width="14.33203125" customWidth="1"/>
    <col min="13570" max="13570" width="10.44140625" customWidth="1"/>
    <col min="13571" max="13571" width="32" customWidth="1"/>
    <col min="13572" max="13572" width="14.88671875" customWidth="1"/>
    <col min="13573" max="13573" width="14.33203125" customWidth="1"/>
    <col min="13826" max="13826" width="10.44140625" customWidth="1"/>
    <col min="13827" max="13827" width="32" customWidth="1"/>
    <col min="13828" max="13828" width="14.88671875" customWidth="1"/>
    <col min="13829" max="13829" width="14.33203125" customWidth="1"/>
    <col min="14082" max="14082" width="10.44140625" customWidth="1"/>
    <col min="14083" max="14083" width="32" customWidth="1"/>
    <col min="14084" max="14084" width="14.88671875" customWidth="1"/>
    <col min="14085" max="14085" width="14.33203125" customWidth="1"/>
    <col min="14338" max="14338" width="10.44140625" customWidth="1"/>
    <col min="14339" max="14339" width="32" customWidth="1"/>
    <col min="14340" max="14340" width="14.88671875" customWidth="1"/>
    <col min="14341" max="14341" width="14.33203125" customWidth="1"/>
    <col min="14594" max="14594" width="10.44140625" customWidth="1"/>
    <col min="14595" max="14595" width="32" customWidth="1"/>
    <col min="14596" max="14596" width="14.88671875" customWidth="1"/>
    <col min="14597" max="14597" width="14.33203125" customWidth="1"/>
    <col min="14850" max="14850" width="10.44140625" customWidth="1"/>
    <col min="14851" max="14851" width="32" customWidth="1"/>
    <col min="14852" max="14852" width="14.88671875" customWidth="1"/>
    <col min="14853" max="14853" width="14.33203125" customWidth="1"/>
    <col min="15106" max="15106" width="10.44140625" customWidth="1"/>
    <col min="15107" max="15107" width="32" customWidth="1"/>
    <col min="15108" max="15108" width="14.88671875" customWidth="1"/>
    <col min="15109" max="15109" width="14.33203125" customWidth="1"/>
    <col min="15362" max="15362" width="10.44140625" customWidth="1"/>
    <col min="15363" max="15363" width="32" customWidth="1"/>
    <col min="15364" max="15364" width="14.88671875" customWidth="1"/>
    <col min="15365" max="15365" width="14.33203125" customWidth="1"/>
    <col min="15618" max="15618" width="10.44140625" customWidth="1"/>
    <col min="15619" max="15619" width="32" customWidth="1"/>
    <col min="15620" max="15620" width="14.88671875" customWidth="1"/>
    <col min="15621" max="15621" width="14.33203125" customWidth="1"/>
    <col min="15874" max="15874" width="10.44140625" customWidth="1"/>
    <col min="15875" max="15875" width="32" customWidth="1"/>
    <col min="15876" max="15876" width="14.88671875" customWidth="1"/>
    <col min="15877" max="15877" width="14.33203125" customWidth="1"/>
    <col min="16130" max="16130" width="10.44140625" customWidth="1"/>
    <col min="16131" max="16131" width="32" customWidth="1"/>
    <col min="16132" max="16132" width="14.88671875" customWidth="1"/>
    <col min="16133" max="16133" width="14.33203125" customWidth="1"/>
  </cols>
  <sheetData>
    <row r="1" spans="1:8" ht="51.75" customHeight="1" x14ac:dyDescent="0.4">
      <c r="A1" s="42"/>
      <c r="B1" s="42"/>
      <c r="C1" s="1"/>
      <c r="D1" s="1"/>
      <c r="E1" s="1"/>
      <c r="F1" s="1"/>
      <c r="G1" s="1"/>
      <c r="H1" s="1"/>
    </row>
    <row r="2" spans="1:8" ht="10.95" customHeight="1" x14ac:dyDescent="0.4">
      <c r="A2" s="42"/>
      <c r="B2" s="42"/>
      <c r="C2" s="1"/>
      <c r="D2" s="1"/>
      <c r="E2" s="1"/>
      <c r="F2" s="1"/>
      <c r="G2" s="1"/>
      <c r="H2" s="1"/>
    </row>
    <row r="3" spans="1:8" ht="26.4" customHeight="1" x14ac:dyDescent="0.5">
      <c r="A3" s="42"/>
      <c r="B3" s="42"/>
      <c r="C3" s="97" t="s">
        <v>106</v>
      </c>
      <c r="D3" s="97"/>
      <c r="E3" s="97"/>
      <c r="F3" s="97"/>
      <c r="G3" s="97"/>
      <c r="H3" s="1"/>
    </row>
    <row r="4" spans="1:8" ht="22.8" x14ac:dyDescent="0.4">
      <c r="A4" s="42"/>
      <c r="B4" s="42"/>
      <c r="C4" s="1"/>
      <c r="D4" s="1"/>
      <c r="E4" s="1"/>
      <c r="F4" s="1"/>
      <c r="G4" s="1"/>
      <c r="H4" s="1"/>
    </row>
    <row r="5" spans="1:8" ht="15.6" customHeight="1" x14ac:dyDescent="0.3">
      <c r="A5" s="100" t="s">
        <v>0</v>
      </c>
      <c r="B5" s="100"/>
      <c r="C5" s="100"/>
      <c r="D5" s="98">
        <v>45597</v>
      </c>
      <c r="E5" s="99"/>
      <c r="F5" s="77"/>
      <c r="G5" s="77"/>
      <c r="H5" s="1"/>
    </row>
    <row r="6" spans="1:8" ht="15.6" x14ac:dyDescent="0.3">
      <c r="A6" s="25"/>
      <c r="B6" s="1"/>
      <c r="C6" s="1"/>
      <c r="D6" s="1"/>
      <c r="E6" s="1"/>
      <c r="F6" s="1"/>
      <c r="G6" s="1"/>
      <c r="H6" s="1"/>
    </row>
    <row r="7" spans="1:8" ht="15.6" customHeight="1" x14ac:dyDescent="0.3">
      <c r="A7" s="100" t="s">
        <v>1</v>
      </c>
      <c r="B7" s="100"/>
      <c r="C7" s="100"/>
      <c r="D7" s="100"/>
      <c r="E7" s="101"/>
      <c r="F7" s="77"/>
      <c r="G7" s="77"/>
      <c r="H7" s="1"/>
    </row>
    <row r="8" spans="1:8" ht="15.6" x14ac:dyDescent="0.3">
      <c r="A8" s="25"/>
      <c r="B8" s="1"/>
      <c r="C8" s="1"/>
      <c r="D8" s="1"/>
      <c r="E8" s="1"/>
      <c r="F8" s="1"/>
      <c r="G8" s="1"/>
      <c r="H8" s="1"/>
    </row>
    <row r="9" spans="1:8" ht="15" customHeight="1" x14ac:dyDescent="0.3">
      <c r="A9" s="100" t="s">
        <v>2</v>
      </c>
      <c r="B9" s="100"/>
      <c r="C9" s="100"/>
      <c r="D9" s="94" t="s">
        <v>60</v>
      </c>
      <c r="E9" s="94"/>
      <c r="F9" s="77"/>
      <c r="G9" s="77"/>
      <c r="H9" s="1"/>
    </row>
    <row r="10" spans="1:8" ht="15" customHeight="1" x14ac:dyDescent="0.3">
      <c r="A10" s="25"/>
      <c r="B10" s="21"/>
      <c r="C10" s="26"/>
      <c r="D10" s="27"/>
      <c r="E10" s="27"/>
      <c r="F10" s="1"/>
      <c r="G10" s="1"/>
      <c r="H10" s="1"/>
    </row>
    <row r="11" spans="1:8" ht="15" customHeight="1" x14ac:dyDescent="0.3">
      <c r="A11" s="100" t="s">
        <v>4</v>
      </c>
      <c r="B11" s="100"/>
      <c r="C11" s="100"/>
      <c r="D11" s="94" t="s">
        <v>57</v>
      </c>
      <c r="E11" s="94"/>
      <c r="F11" s="77"/>
      <c r="G11" s="77"/>
      <c r="H11" s="1"/>
    </row>
    <row r="12" spans="1:8" ht="15" customHeight="1" x14ac:dyDescent="0.3">
      <c r="A12" s="1"/>
      <c r="B12" s="16"/>
      <c r="C12" s="26"/>
      <c r="D12" s="27"/>
      <c r="E12" s="27"/>
      <c r="F12" s="1"/>
      <c r="G12" s="1"/>
      <c r="H12" s="1"/>
    </row>
    <row r="13" spans="1:8" ht="31.2" customHeight="1" x14ac:dyDescent="0.3">
      <c r="A13" s="102" t="s">
        <v>108</v>
      </c>
      <c r="B13" s="102"/>
      <c r="C13" s="102"/>
      <c r="D13" s="95">
        <v>0</v>
      </c>
      <c r="E13" s="96"/>
      <c r="F13" s="78" t="s">
        <v>5</v>
      </c>
      <c r="G13" s="77"/>
      <c r="H13" s="1"/>
    </row>
    <row r="14" spans="1:8" ht="1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5" customHeight="1" x14ac:dyDescent="0.3">
      <c r="A15" s="100" t="s">
        <v>6</v>
      </c>
      <c r="B15" s="100"/>
      <c r="C15" s="100"/>
      <c r="D15" s="123">
        <v>0</v>
      </c>
      <c r="E15" s="123"/>
      <c r="F15" s="77"/>
      <c r="G15" s="77"/>
      <c r="H15" s="1"/>
    </row>
    <row r="16" spans="1:8" ht="15" customHeight="1" x14ac:dyDescent="0.3">
      <c r="A16" s="1"/>
      <c r="B16" s="21"/>
      <c r="C16" s="26"/>
      <c r="D16" s="57"/>
      <c r="E16" s="57"/>
      <c r="F16" s="1"/>
      <c r="G16" s="1"/>
      <c r="H16" s="1"/>
    </row>
    <row r="17" spans="1:8" ht="15" customHeight="1" x14ac:dyDescent="0.3">
      <c r="A17" s="100" t="s">
        <v>7</v>
      </c>
      <c r="B17" s="100"/>
      <c r="C17" s="100"/>
      <c r="D17" s="112">
        <v>0</v>
      </c>
      <c r="E17" s="112"/>
      <c r="F17" s="77" t="s">
        <v>5</v>
      </c>
      <c r="G17" s="77"/>
      <c r="H17" s="1"/>
    </row>
    <row r="18" spans="1:8" ht="15" customHeight="1" x14ac:dyDescent="0.3">
      <c r="A18" s="1"/>
      <c r="B18" s="1"/>
      <c r="C18" s="1"/>
      <c r="D18" s="1"/>
      <c r="E18" s="1"/>
      <c r="F18" s="1"/>
      <c r="G18" s="1"/>
      <c r="H18" s="1"/>
    </row>
    <row r="19" spans="1:8" ht="47.4" customHeight="1" x14ac:dyDescent="0.3">
      <c r="A19" s="66"/>
      <c r="B19" s="20" t="s">
        <v>8</v>
      </c>
      <c r="C19" s="124" t="s">
        <v>9</v>
      </c>
      <c r="D19" s="125"/>
      <c r="E19" s="43" t="s">
        <v>10</v>
      </c>
      <c r="F19" s="53" t="s">
        <v>11</v>
      </c>
      <c r="G19" s="47" t="s">
        <v>12</v>
      </c>
      <c r="H19" s="1"/>
    </row>
    <row r="20" spans="1:8" s="1" customFormat="1" ht="15" customHeight="1" x14ac:dyDescent="0.3">
      <c r="B20" s="2"/>
      <c r="C20" s="5"/>
      <c r="D20" s="6"/>
      <c r="E20" s="44">
        <v>0</v>
      </c>
      <c r="F20" s="54">
        <v>0</v>
      </c>
      <c r="G20" s="48">
        <v>0</v>
      </c>
    </row>
    <row r="21" spans="1:8" s="1" customFormat="1" ht="15" customHeight="1" x14ac:dyDescent="0.3">
      <c r="B21" s="2"/>
      <c r="C21" s="5"/>
      <c r="D21" s="6"/>
      <c r="E21" s="44">
        <v>0</v>
      </c>
      <c r="F21" s="54">
        <v>0</v>
      </c>
      <c r="G21" s="48">
        <v>0</v>
      </c>
    </row>
    <row r="22" spans="1:8" s="1" customFormat="1" ht="15" customHeight="1" x14ac:dyDescent="0.3">
      <c r="B22" s="2"/>
      <c r="C22" s="5"/>
      <c r="D22" s="6"/>
      <c r="E22" s="44">
        <v>0</v>
      </c>
      <c r="F22" s="54">
        <v>0</v>
      </c>
      <c r="G22" s="48">
        <v>0</v>
      </c>
    </row>
    <row r="23" spans="1:8" s="1" customFormat="1" ht="15" customHeight="1" x14ac:dyDescent="0.3">
      <c r="B23" s="67"/>
      <c r="C23" s="5"/>
      <c r="D23" s="6"/>
      <c r="E23" s="44">
        <v>0</v>
      </c>
      <c r="F23" s="54">
        <v>0</v>
      </c>
      <c r="G23" s="48">
        <v>0</v>
      </c>
    </row>
    <row r="24" spans="1:8" s="1" customFormat="1" ht="15" customHeight="1" x14ac:dyDescent="0.3">
      <c r="B24" s="2"/>
      <c r="C24" s="5"/>
      <c r="D24" s="6"/>
      <c r="E24" s="44">
        <v>0</v>
      </c>
      <c r="F24" s="54">
        <v>0</v>
      </c>
      <c r="G24" s="48">
        <v>0</v>
      </c>
    </row>
    <row r="25" spans="1:8" s="1" customFormat="1" ht="15" customHeight="1" x14ac:dyDescent="0.3">
      <c r="B25" s="2"/>
      <c r="C25" s="5"/>
      <c r="D25" s="6"/>
      <c r="E25" s="44">
        <v>0</v>
      </c>
      <c r="F25" s="54">
        <v>0</v>
      </c>
      <c r="G25" s="48">
        <v>0</v>
      </c>
    </row>
    <row r="26" spans="1:8" s="1" customFormat="1" ht="15" customHeight="1" x14ac:dyDescent="0.3">
      <c r="B26" s="2"/>
      <c r="C26" s="5"/>
      <c r="D26" s="6"/>
      <c r="E26" s="44">
        <v>0</v>
      </c>
      <c r="F26" s="54">
        <v>0</v>
      </c>
      <c r="G26" s="48">
        <v>0</v>
      </c>
    </row>
    <row r="27" spans="1:8" s="1" customFormat="1" ht="15" customHeight="1" x14ac:dyDescent="0.3">
      <c r="B27" s="2"/>
      <c r="C27" s="5"/>
      <c r="D27" s="6"/>
      <c r="E27" s="44">
        <v>0</v>
      </c>
      <c r="F27" s="54">
        <v>0</v>
      </c>
      <c r="G27" s="48">
        <v>0</v>
      </c>
    </row>
    <row r="28" spans="1:8" s="1" customFormat="1" ht="15" customHeight="1" x14ac:dyDescent="0.3">
      <c r="B28" s="2"/>
      <c r="C28" s="5"/>
      <c r="D28" s="6"/>
      <c r="E28" s="44">
        <v>0</v>
      </c>
      <c r="F28" s="54">
        <v>0</v>
      </c>
      <c r="G28" s="48">
        <v>0</v>
      </c>
    </row>
    <row r="29" spans="1:8" s="1" customFormat="1" ht="15" customHeight="1" x14ac:dyDescent="0.3">
      <c r="B29" s="2"/>
      <c r="C29" s="5"/>
      <c r="D29" s="6"/>
      <c r="E29" s="44">
        <v>0</v>
      </c>
      <c r="F29" s="54">
        <v>0</v>
      </c>
      <c r="G29" s="48">
        <v>0</v>
      </c>
    </row>
    <row r="30" spans="1:8" s="1" customFormat="1" x14ac:dyDescent="0.3">
      <c r="B30" s="2"/>
      <c r="C30" s="5"/>
      <c r="D30" s="6"/>
      <c r="E30" s="44">
        <v>0</v>
      </c>
      <c r="F30" s="54">
        <v>0</v>
      </c>
      <c r="G30" s="48">
        <v>0</v>
      </c>
    </row>
    <row r="31" spans="1:8" s="1" customFormat="1" ht="13.95" customHeight="1" x14ac:dyDescent="0.3">
      <c r="B31" s="2"/>
      <c r="C31" s="5"/>
      <c r="D31" s="6"/>
      <c r="E31" s="44">
        <v>0</v>
      </c>
      <c r="F31" s="54">
        <v>0</v>
      </c>
      <c r="G31" s="48">
        <v>0</v>
      </c>
    </row>
    <row r="32" spans="1:8" s="1" customFormat="1" x14ac:dyDescent="0.3">
      <c r="B32" s="2"/>
      <c r="C32" s="5"/>
      <c r="D32" s="6"/>
      <c r="E32" s="44">
        <v>0</v>
      </c>
      <c r="F32" s="54">
        <v>0</v>
      </c>
      <c r="G32" s="48">
        <v>0</v>
      </c>
    </row>
    <row r="33" spans="1:11" s="3" customFormat="1" ht="24.9" customHeight="1" x14ac:dyDescent="0.3">
      <c r="A33" s="1"/>
      <c r="B33" s="2"/>
      <c r="C33" s="126" t="s">
        <v>13</v>
      </c>
      <c r="D33" s="127"/>
      <c r="E33" s="24">
        <f>SUM(E20:E32)</f>
        <v>0</v>
      </c>
      <c r="F33" s="24">
        <f t="shared" ref="F33:G33" si="0">SUM(F20:F32)</f>
        <v>0</v>
      </c>
      <c r="G33" s="24">
        <f t="shared" si="0"/>
        <v>0</v>
      </c>
      <c r="H33" s="28"/>
    </row>
    <row r="34" spans="1:11" ht="19.2" customHeight="1" x14ac:dyDescent="0.3">
      <c r="A34" s="22"/>
      <c r="D34" s="75" t="str">
        <f>INDEX(Feuil3!E5:E13,MATCH(Feuil1!D9,Feuil3!F5:F13,0))</f>
        <v>Voiture</v>
      </c>
      <c r="E34" s="76" t="str">
        <f>IF(D34="Voiture","moins de 5 000 km","moins de 3 000 km")</f>
        <v>moins de 5 000 km</v>
      </c>
    </row>
    <row r="35" spans="1:11" ht="20.399999999999999" customHeight="1" x14ac:dyDescent="0.3">
      <c r="A35" t="s">
        <v>14</v>
      </c>
      <c r="D35" s="23" t="s">
        <v>15</v>
      </c>
      <c r="E35" s="23" t="s">
        <v>16</v>
      </c>
      <c r="F35" s="23" t="s">
        <v>17</v>
      </c>
      <c r="G35" s="23" t="s">
        <v>18</v>
      </c>
    </row>
    <row r="36" spans="1:11" ht="46.2" customHeight="1" x14ac:dyDescent="0.3">
      <c r="A36" s="110" t="s">
        <v>19</v>
      </c>
      <c r="B36" s="111"/>
      <c r="C36" s="111"/>
      <c r="D36" s="45" t="str">
        <f>IF(D5="décembre 2022",'régul décembre'!D23,IF(OR(D9="Choisir",D11="Choisir"),"Remplir tous les champs",INDEX('Calcul barème'!E16:E42,MATCH(CONCATENATE(Feuil1!D9," ",Feuil1!E34),'Calcul barème'!H16:H42,0))))</f>
        <v>d x 0,636</v>
      </c>
      <c r="E36" s="46">
        <f>IF(D5="décembre 2022",'régul décembre'!D26,IF(OR(D9="Choisir",D11="Choisir"),"Remplir tous les champs",IF(D11="OUI",1.2,1)*INDEX('Calcul barème'!F16:F42,MATCH(CONCATENATE(Feuil1!D9," ",Feuil1!E34),'Calcul barème'!H16:H42,0))))</f>
        <v>0</v>
      </c>
      <c r="F36" s="115" t="str">
        <f>IF(D5="décembre 2022","régularisation annuelle","la régularisation sera faite en décembre")</f>
        <v>la régularisation sera faite en décembre</v>
      </c>
      <c r="G36" s="116"/>
    </row>
    <row r="37" spans="1:11" ht="30" customHeight="1" x14ac:dyDescent="0.3">
      <c r="A37" s="107" t="s">
        <v>20</v>
      </c>
      <c r="B37" s="108"/>
      <c r="C37" s="109"/>
      <c r="D37" s="55" t="s">
        <v>21</v>
      </c>
      <c r="E37" s="56">
        <f>IF(D13="","Remplir tous les champs",IF(F33*0.25+D13&lt;=200,F33*0.25,IF(D13&gt;=200,0,IF(D13+F33*0.25&gt;200,200-D13))))</f>
        <v>0</v>
      </c>
      <c r="F37" s="117" t="str">
        <f>IF(D13+F33*0.25&gt;200,"Cumul annuel limité à 200€","-")</f>
        <v>-</v>
      </c>
      <c r="G37" s="118"/>
    </row>
    <row r="38" spans="1:11" ht="39.6" x14ac:dyDescent="0.3">
      <c r="A38" s="103" t="s">
        <v>22</v>
      </c>
      <c r="B38" s="104"/>
      <c r="C38" s="49" t="s">
        <v>23</v>
      </c>
      <c r="D38" s="50" t="s">
        <v>24</v>
      </c>
      <c r="E38" s="113">
        <f>D39*C39</f>
        <v>0</v>
      </c>
      <c r="F38" s="119" t="s">
        <v>25</v>
      </c>
      <c r="G38" s="120"/>
    </row>
    <row r="39" spans="1:11" ht="15" customHeight="1" x14ac:dyDescent="0.3">
      <c r="A39" s="105"/>
      <c r="B39" s="106"/>
      <c r="C39" s="51">
        <f>D15</f>
        <v>0</v>
      </c>
      <c r="D39" s="52">
        <f>G33</f>
        <v>0</v>
      </c>
      <c r="E39" s="114"/>
      <c r="F39" s="121"/>
      <c r="G39" s="122"/>
    </row>
    <row r="40" spans="1:11" s="1" customFormat="1" ht="13.8" customHeight="1" x14ac:dyDescent="0.3">
      <c r="A40" s="128" t="s">
        <v>26</v>
      </c>
      <c r="B40" s="129"/>
      <c r="C40" s="129"/>
      <c r="D40" s="130"/>
      <c r="E40" s="29"/>
      <c r="F40" s="29"/>
      <c r="G40" s="29"/>
    </row>
    <row r="41" spans="1:11" s="1" customFormat="1" ht="15" customHeight="1" x14ac:dyDescent="0.3">
      <c r="A41" s="128" t="s">
        <v>27</v>
      </c>
      <c r="B41" s="129"/>
      <c r="C41" s="129"/>
      <c r="D41" s="130"/>
      <c r="E41" s="29"/>
      <c r="F41" s="29"/>
      <c r="G41" s="30"/>
    </row>
    <row r="42" spans="1:11" s="1" customFormat="1" ht="15" customHeight="1" x14ac:dyDescent="0.3">
      <c r="A42" s="128" t="s">
        <v>28</v>
      </c>
      <c r="B42" s="129"/>
      <c r="C42" s="129"/>
      <c r="D42" s="130"/>
      <c r="E42" s="29"/>
      <c r="F42" s="29"/>
      <c r="G42" s="29"/>
    </row>
    <row r="43" spans="1:11" s="1" customFormat="1" ht="15" customHeight="1" x14ac:dyDescent="0.3">
      <c r="A43" s="128" t="s">
        <v>29</v>
      </c>
      <c r="B43" s="129"/>
      <c r="C43" s="129"/>
      <c r="D43" s="130"/>
      <c r="E43" s="31"/>
      <c r="F43" s="31"/>
      <c r="G43" s="31"/>
    </row>
    <row r="44" spans="1:11" s="1" customFormat="1" ht="15" customHeight="1" x14ac:dyDescent="0.3">
      <c r="A44" s="128" t="s">
        <v>30</v>
      </c>
      <c r="B44" s="129"/>
      <c r="C44" s="129"/>
      <c r="D44" s="130"/>
      <c r="E44" s="31"/>
      <c r="F44" s="31"/>
      <c r="G44" s="31"/>
    </row>
    <row r="45" spans="1:11" s="1" customFormat="1" x14ac:dyDescent="0.3">
      <c r="A45" s="128" t="s">
        <v>31</v>
      </c>
      <c r="B45" s="129"/>
      <c r="C45" s="129"/>
      <c r="D45" s="130"/>
      <c r="E45" s="31"/>
      <c r="F45" s="31"/>
      <c r="G45" s="31"/>
    </row>
    <row r="46" spans="1:11" s="1" customFormat="1" x14ac:dyDescent="0.3">
      <c r="A46" s="128" t="s">
        <v>32</v>
      </c>
      <c r="B46" s="129"/>
      <c r="C46" s="129"/>
      <c r="D46" s="130"/>
      <c r="E46" s="31"/>
      <c r="F46" s="2"/>
      <c r="G46" s="31"/>
    </row>
    <row r="47" spans="1:11" s="1" customFormat="1" x14ac:dyDescent="0.3">
      <c r="A47" s="128" t="s">
        <v>109</v>
      </c>
      <c r="B47" s="129"/>
      <c r="C47" s="129"/>
      <c r="D47" s="130"/>
      <c r="E47" s="32">
        <v>89.6</v>
      </c>
      <c r="F47" s="31"/>
      <c r="G47" s="32"/>
      <c r="H47" s="33"/>
      <c r="I47" s="33"/>
      <c r="J47" s="33"/>
      <c r="K47" s="33"/>
    </row>
    <row r="48" spans="1:11" s="1" customFormat="1" x14ac:dyDescent="0.3">
      <c r="A48" s="34"/>
      <c r="B48" s="35"/>
      <c r="C48" s="36"/>
      <c r="D48" s="37" t="s">
        <v>13</v>
      </c>
      <c r="E48" s="38">
        <f>SUM(E36:E47)</f>
        <v>89.6</v>
      </c>
      <c r="F48" s="38">
        <f>SUM(F36:F47)</f>
        <v>0</v>
      </c>
      <c r="G48" s="38">
        <f>SUM(G36:G47)</f>
        <v>0</v>
      </c>
      <c r="H48" s="33"/>
      <c r="I48" s="33"/>
      <c r="J48" s="33"/>
      <c r="K48" s="33"/>
    </row>
    <row r="49" spans="1:11" x14ac:dyDescent="0.3">
      <c r="A49" s="33"/>
      <c r="B49" s="33"/>
      <c r="C49" s="1"/>
      <c r="D49" s="1"/>
      <c r="E49" s="1"/>
      <c r="F49" s="1"/>
      <c r="G49" s="1"/>
      <c r="H49" s="4"/>
      <c r="I49" s="4"/>
      <c r="J49" s="4"/>
      <c r="K49" s="4"/>
    </row>
    <row r="50" spans="1:11" ht="17.399999999999999" x14ac:dyDescent="0.3">
      <c r="A50" s="33"/>
      <c r="B50" s="39" t="s">
        <v>33</v>
      </c>
      <c r="C50" s="40"/>
      <c r="D50" s="39"/>
      <c r="E50" s="41"/>
      <c r="F50" s="41"/>
      <c r="G50" s="33"/>
    </row>
    <row r="51" spans="1:11" x14ac:dyDescent="0.3">
      <c r="A51" s="1"/>
      <c r="B51" s="1"/>
      <c r="C51" s="1"/>
      <c r="D51" s="1"/>
      <c r="E51" s="1"/>
      <c r="F51" s="1"/>
      <c r="G51" s="1"/>
    </row>
    <row r="52" spans="1:11" x14ac:dyDescent="0.3">
      <c r="A52" s="1"/>
      <c r="B52" s="1"/>
      <c r="C52" s="1"/>
      <c r="D52" s="1"/>
      <c r="E52" s="1"/>
      <c r="F52" s="1"/>
      <c r="G52" s="1"/>
    </row>
    <row r="53" spans="1:11" x14ac:dyDescent="0.3">
      <c r="A53" s="1"/>
      <c r="B53" s="1"/>
      <c r="C53" s="1"/>
      <c r="D53" s="1"/>
      <c r="E53" s="1"/>
      <c r="F53" s="1"/>
      <c r="G53" s="1"/>
    </row>
    <row r="54" spans="1:11" x14ac:dyDescent="0.3">
      <c r="A54" s="1"/>
      <c r="B54" s="1"/>
      <c r="C54" s="1"/>
      <c r="D54" s="1"/>
      <c r="E54" s="1"/>
      <c r="F54" s="1"/>
      <c r="G54" s="1"/>
    </row>
    <row r="55" spans="1:11" x14ac:dyDescent="0.3">
      <c r="A55" s="1"/>
      <c r="B55" s="1"/>
      <c r="C55" s="1"/>
      <c r="D55" s="1"/>
      <c r="E55" s="1"/>
      <c r="F55" s="1"/>
      <c r="G55" s="1"/>
    </row>
    <row r="56" spans="1:11" x14ac:dyDescent="0.3">
      <c r="A56" s="1"/>
      <c r="B56" s="1"/>
      <c r="C56" s="1"/>
      <c r="D56" s="1"/>
      <c r="E56" s="1"/>
      <c r="F56" s="1"/>
      <c r="G56" s="1"/>
    </row>
    <row r="57" spans="1:11" x14ac:dyDescent="0.3">
      <c r="A57" s="1"/>
      <c r="B57" s="1"/>
      <c r="C57" s="1"/>
      <c r="D57" s="1"/>
      <c r="E57" s="1"/>
      <c r="F57" s="1"/>
      <c r="G57" s="1"/>
    </row>
  </sheetData>
  <sheetProtection algorithmName="SHA-512" hashValue="BisH7vB/mMRpZJH+gJqX/x8F8KaUly1eqDk2kZBq5qJsenhkLBBJ2HLn+pRvi7fUR0fxJLur69qrFlKqG40wBg==" saltValue="ckiNQLmbBiiZkCQ1+3mWnA==" spinCount="100000" sheet="1" formatRows="0" insertRows="0" deleteRows="0" selectLockedCells="1"/>
  <mergeCells count="32">
    <mergeCell ref="A44:D44"/>
    <mergeCell ref="A45:D45"/>
    <mergeCell ref="A46:D46"/>
    <mergeCell ref="A47:D47"/>
    <mergeCell ref="A40:D40"/>
    <mergeCell ref="A41:D41"/>
    <mergeCell ref="A42:D42"/>
    <mergeCell ref="A43:D43"/>
    <mergeCell ref="F36:G36"/>
    <mergeCell ref="F37:G37"/>
    <mergeCell ref="F38:G39"/>
    <mergeCell ref="D15:E15"/>
    <mergeCell ref="C19:D19"/>
    <mergeCell ref="C33:D33"/>
    <mergeCell ref="A38:B39"/>
    <mergeCell ref="A37:C37"/>
    <mergeCell ref="A36:C36"/>
    <mergeCell ref="D17:E17"/>
    <mergeCell ref="A15:C15"/>
    <mergeCell ref="A17:C17"/>
    <mergeCell ref="E38:E39"/>
    <mergeCell ref="D11:E11"/>
    <mergeCell ref="D13:E13"/>
    <mergeCell ref="C3:G3"/>
    <mergeCell ref="D5:E5"/>
    <mergeCell ref="D7:E7"/>
    <mergeCell ref="D9:E9"/>
    <mergeCell ref="A5:C5"/>
    <mergeCell ref="A7:C7"/>
    <mergeCell ref="A9:C9"/>
    <mergeCell ref="A11:C11"/>
    <mergeCell ref="A13:C13"/>
  </mergeCells>
  <conditionalFormatting sqref="E37">
    <cfRule type="cellIs" dxfId="2" priority="2" operator="equal">
      <formula>"Remplir tous les champs"</formula>
    </cfRule>
  </conditionalFormatting>
  <conditionalFormatting sqref="F36:G36">
    <cfRule type="cellIs" dxfId="1" priority="1" operator="equal">
      <formula>"régularisation annuelle"</formula>
    </cfRule>
  </conditionalFormatting>
  <conditionalFormatting sqref="F37:G37">
    <cfRule type="cellIs" dxfId="0" priority="3" operator="equal">
      <formula>"Cumul annuel limité à 200€"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0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E58577-6EDA-4C25-9091-D6B8CCB3E5A2}">
          <x14:formula1>
            <xm:f>Feuil3!$H$4:$H$6</xm:f>
          </x14:formula1>
          <xm:sqref>D11:E12</xm:sqref>
        </x14:dataValidation>
        <x14:dataValidation type="list" allowBlank="1" showInputMessage="1" showErrorMessage="1" xr:uid="{99978924-4500-4958-A603-7CE8B3655CF8}">
          <x14:formula1>
            <xm:f>Feuil3!$F$4:$F$13</xm:f>
          </x14:formula1>
          <xm:sqref>D9:E9</xm:sqref>
        </x14:dataValidation>
        <x14:dataValidation type="list" allowBlank="1" showInputMessage="1" showErrorMessage="1" xr:uid="{C135913D-E6AD-42AB-A35E-22841613199E}">
          <x14:formula1>
            <xm:f>Feuil3!$C$4:$C$15</xm:f>
          </x14:formula1>
          <xm:sqref>D5:E5</xm:sqref>
        </x14:dataValidation>
        <x14:dataValidation type="list" allowBlank="1" showInputMessage="1" showErrorMessage="1" xr:uid="{88E3979D-EA22-43A8-A8BA-D23F87550C8B}">
          <x14:formula1>
            <xm:f>Feuil3!$F$4:$F$11</xm:f>
          </x14:formula1>
          <xm:sqref>D10:E10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E74B-145F-405C-B4AD-424A97FC57B4}">
  <dimension ref="C1:L19"/>
  <sheetViews>
    <sheetView workbookViewId="0">
      <selection activeCell="H14" sqref="H14"/>
    </sheetView>
  </sheetViews>
  <sheetFormatPr baseColWidth="10" defaultColWidth="11.44140625" defaultRowHeight="14.4" x14ac:dyDescent="0.3"/>
  <cols>
    <col min="4" max="4" width="20.33203125" customWidth="1"/>
    <col min="5" max="5" width="25.44140625" customWidth="1"/>
    <col min="6" max="6" width="18.6640625" customWidth="1"/>
    <col min="10" max="10" width="18.6640625" customWidth="1"/>
    <col min="11" max="11" width="20" customWidth="1"/>
    <col min="12" max="12" width="19.6640625" customWidth="1"/>
  </cols>
  <sheetData>
    <row r="1" spans="3:12" ht="19.8" x14ac:dyDescent="0.4">
      <c r="D1" s="15" t="s">
        <v>107</v>
      </c>
      <c r="E1" s="15"/>
    </row>
    <row r="3" spans="3:12" x14ac:dyDescent="0.3">
      <c r="C3" s="12" t="s">
        <v>34</v>
      </c>
      <c r="I3" s="12" t="s">
        <v>35</v>
      </c>
    </row>
    <row r="5" spans="3:12" ht="27" thickBot="1" x14ac:dyDescent="0.35">
      <c r="C5" s="7" t="s">
        <v>36</v>
      </c>
      <c r="D5" s="8" t="s">
        <v>37</v>
      </c>
      <c r="E5" s="8" t="s">
        <v>38</v>
      </c>
      <c r="F5" s="9" t="s">
        <v>39</v>
      </c>
      <c r="I5" s="7" t="s">
        <v>40</v>
      </c>
      <c r="J5" s="8" t="s">
        <v>41</v>
      </c>
      <c r="K5" s="8" t="s">
        <v>42</v>
      </c>
      <c r="L5" s="9" t="s">
        <v>43</v>
      </c>
    </row>
    <row r="6" spans="3:12" ht="27" thickBot="1" x14ac:dyDescent="0.35">
      <c r="C6" s="10" t="s">
        <v>44</v>
      </c>
      <c r="D6" s="70" t="s">
        <v>78</v>
      </c>
      <c r="E6" s="70" t="s">
        <v>79</v>
      </c>
      <c r="F6" s="71" t="s">
        <v>80</v>
      </c>
      <c r="I6" s="11" t="s">
        <v>45</v>
      </c>
      <c r="J6" s="72" t="s">
        <v>93</v>
      </c>
      <c r="K6" s="72" t="s">
        <v>94</v>
      </c>
      <c r="L6" s="73" t="s">
        <v>95</v>
      </c>
    </row>
    <row r="7" spans="3:12" ht="15" thickBot="1" x14ac:dyDescent="0.35">
      <c r="C7" s="10" t="s">
        <v>46</v>
      </c>
      <c r="D7" s="70" t="s">
        <v>81</v>
      </c>
      <c r="E7" s="70" t="s">
        <v>82</v>
      </c>
      <c r="F7" s="71" t="s">
        <v>83</v>
      </c>
    </row>
    <row r="8" spans="3:12" ht="15" thickBot="1" x14ac:dyDescent="0.35">
      <c r="C8" s="10" t="s">
        <v>47</v>
      </c>
      <c r="D8" s="70" t="s">
        <v>84</v>
      </c>
      <c r="E8" s="70" t="s">
        <v>85</v>
      </c>
      <c r="F8" s="71" t="s">
        <v>86</v>
      </c>
    </row>
    <row r="9" spans="3:12" ht="15" thickBot="1" x14ac:dyDescent="0.35">
      <c r="C9" s="10" t="s">
        <v>48</v>
      </c>
      <c r="D9" s="70" t="s">
        <v>87</v>
      </c>
      <c r="E9" s="70" t="s">
        <v>88</v>
      </c>
      <c r="F9" s="71" t="s">
        <v>89</v>
      </c>
      <c r="I9" s="80"/>
      <c r="J9" s="80"/>
      <c r="K9" s="81"/>
    </row>
    <row r="10" spans="3:12" x14ac:dyDescent="0.3">
      <c r="C10" s="11" t="s">
        <v>49</v>
      </c>
      <c r="D10" s="72" t="s">
        <v>90</v>
      </c>
      <c r="E10" s="72" t="s">
        <v>91</v>
      </c>
      <c r="F10" s="73" t="s">
        <v>92</v>
      </c>
      <c r="I10" s="18"/>
      <c r="J10" s="18"/>
      <c r="K10" s="18"/>
      <c r="L10" s="18"/>
    </row>
    <row r="11" spans="3:12" x14ac:dyDescent="0.3">
      <c r="I11" s="18"/>
      <c r="J11" s="19"/>
      <c r="K11" s="19"/>
      <c r="L11" s="19"/>
    </row>
    <row r="12" spans="3:12" x14ac:dyDescent="0.3">
      <c r="C12" s="14" t="s">
        <v>50</v>
      </c>
      <c r="I12" s="18"/>
      <c r="J12" s="19"/>
      <c r="K12" s="19"/>
      <c r="L12" s="19"/>
    </row>
    <row r="13" spans="3:12" ht="15" thickBot="1" x14ac:dyDescent="0.35">
      <c r="I13" s="83"/>
      <c r="J13" s="83"/>
      <c r="K13" s="83"/>
      <c r="L13" s="84"/>
    </row>
    <row r="14" spans="3:12" ht="27" thickBot="1" x14ac:dyDescent="0.35">
      <c r="C14" s="7" t="s">
        <v>40</v>
      </c>
      <c r="D14" s="8" t="s">
        <v>51</v>
      </c>
      <c r="E14" s="8" t="s">
        <v>52</v>
      </c>
      <c r="F14" s="9" t="s">
        <v>43</v>
      </c>
      <c r="H14" s="79"/>
      <c r="I14" s="85"/>
      <c r="J14" s="86"/>
      <c r="K14" s="86"/>
      <c r="L14" s="87"/>
    </row>
    <row r="15" spans="3:12" ht="27" thickBot="1" x14ac:dyDescent="0.35">
      <c r="C15" s="10" t="s">
        <v>53</v>
      </c>
      <c r="D15" s="70" t="s">
        <v>96</v>
      </c>
      <c r="E15" s="70" t="s">
        <v>97</v>
      </c>
      <c r="F15" s="71" t="s">
        <v>98</v>
      </c>
      <c r="H15" s="79"/>
      <c r="I15" s="88"/>
      <c r="J15" s="89"/>
      <c r="K15" s="89"/>
      <c r="L15" s="90"/>
    </row>
    <row r="16" spans="3:12" ht="27" thickBot="1" x14ac:dyDescent="0.35">
      <c r="C16" s="10" t="s">
        <v>54</v>
      </c>
      <c r="D16" s="70" t="s">
        <v>99</v>
      </c>
      <c r="E16" s="70" t="s">
        <v>100</v>
      </c>
      <c r="F16" s="71" t="s">
        <v>101</v>
      </c>
      <c r="H16" s="80"/>
      <c r="I16" s="88"/>
      <c r="J16" s="89"/>
      <c r="K16" s="89"/>
      <c r="L16" s="90"/>
    </row>
    <row r="17" spans="3:12" ht="26.4" x14ac:dyDescent="0.3">
      <c r="C17" s="11" t="s">
        <v>55</v>
      </c>
      <c r="D17" s="72" t="s">
        <v>81</v>
      </c>
      <c r="E17" s="72" t="s">
        <v>102</v>
      </c>
      <c r="F17" s="73" t="s">
        <v>103</v>
      </c>
      <c r="I17" s="88"/>
      <c r="J17" s="89"/>
      <c r="K17" s="89"/>
      <c r="L17" s="90"/>
    </row>
    <row r="18" spans="3:12" x14ac:dyDescent="0.3">
      <c r="I18" s="88"/>
      <c r="J18" s="89"/>
      <c r="K18" s="89"/>
      <c r="L18" s="90"/>
    </row>
    <row r="19" spans="3:12" ht="15" thickBot="1" x14ac:dyDescent="0.35">
      <c r="I19" s="91"/>
      <c r="J19" s="92"/>
      <c r="K19" s="92"/>
      <c r="L19" s="9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B7B2-307F-4F6E-8440-F63B8690AD5A}">
  <dimension ref="C4:H15"/>
  <sheetViews>
    <sheetView workbookViewId="0">
      <selection activeCell="C4" sqref="C4:C15"/>
    </sheetView>
  </sheetViews>
  <sheetFormatPr baseColWidth="10" defaultColWidth="11.44140625" defaultRowHeight="14.4" x14ac:dyDescent="0.3"/>
  <cols>
    <col min="3" max="3" width="14.109375" bestFit="1" customWidth="1"/>
    <col min="6" max="6" width="24.109375" customWidth="1"/>
  </cols>
  <sheetData>
    <row r="4" spans="3:8" x14ac:dyDescent="0.3">
      <c r="C4" s="82">
        <v>45292</v>
      </c>
      <c r="F4" t="s">
        <v>3</v>
      </c>
      <c r="H4" t="s">
        <v>3</v>
      </c>
    </row>
    <row r="5" spans="3:8" x14ac:dyDescent="0.3">
      <c r="C5" s="82">
        <v>45323</v>
      </c>
      <c r="E5" t="s">
        <v>34</v>
      </c>
      <c r="F5" s="13" t="s">
        <v>56</v>
      </c>
      <c r="H5" t="s">
        <v>57</v>
      </c>
    </row>
    <row r="6" spans="3:8" x14ac:dyDescent="0.3">
      <c r="C6" s="82">
        <v>45352</v>
      </c>
      <c r="E6" t="s">
        <v>34</v>
      </c>
      <c r="F6" s="13" t="s">
        <v>58</v>
      </c>
      <c r="H6" t="s">
        <v>59</v>
      </c>
    </row>
    <row r="7" spans="3:8" x14ac:dyDescent="0.3">
      <c r="C7" s="82">
        <v>45383</v>
      </c>
      <c r="E7" t="s">
        <v>34</v>
      </c>
      <c r="F7" s="13" t="s">
        <v>60</v>
      </c>
    </row>
    <row r="8" spans="3:8" x14ac:dyDescent="0.3">
      <c r="C8" s="82">
        <v>45413</v>
      </c>
      <c r="E8" t="s">
        <v>34</v>
      </c>
      <c r="F8" s="13" t="s">
        <v>61</v>
      </c>
    </row>
    <row r="9" spans="3:8" x14ac:dyDescent="0.3">
      <c r="C9" s="82">
        <v>45444</v>
      </c>
      <c r="E9" t="s">
        <v>34</v>
      </c>
      <c r="F9" s="13" t="s">
        <v>62</v>
      </c>
    </row>
    <row r="10" spans="3:8" x14ac:dyDescent="0.3">
      <c r="C10" s="82">
        <v>45474</v>
      </c>
      <c r="E10" t="s">
        <v>50</v>
      </c>
      <c r="F10" t="s">
        <v>53</v>
      </c>
    </row>
    <row r="11" spans="3:8" x14ac:dyDescent="0.3">
      <c r="C11" s="82">
        <v>45505</v>
      </c>
      <c r="E11" t="s">
        <v>50</v>
      </c>
      <c r="F11" t="s">
        <v>54</v>
      </c>
    </row>
    <row r="12" spans="3:8" x14ac:dyDescent="0.3">
      <c r="C12" s="82">
        <v>45536</v>
      </c>
      <c r="E12" t="s">
        <v>50</v>
      </c>
      <c r="F12" t="s">
        <v>55</v>
      </c>
    </row>
    <row r="13" spans="3:8" x14ac:dyDescent="0.3">
      <c r="C13" s="82">
        <v>45566</v>
      </c>
      <c r="E13" t="s">
        <v>35</v>
      </c>
      <c r="F13" t="s">
        <v>45</v>
      </c>
    </row>
    <row r="14" spans="3:8" x14ac:dyDescent="0.3">
      <c r="C14" s="82">
        <v>45597</v>
      </c>
    </row>
    <row r="15" spans="3:8" x14ac:dyDescent="0.3">
      <c r="C15" s="8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436F-020D-40CA-A9BD-59C8C74285F5}">
  <dimension ref="C2:H42"/>
  <sheetViews>
    <sheetView topLeftCell="A12" zoomScale="130" zoomScaleNormal="130" workbookViewId="0">
      <selection activeCell="D17" sqref="D17"/>
    </sheetView>
  </sheetViews>
  <sheetFormatPr baseColWidth="10" defaultColWidth="11.44140625" defaultRowHeight="14.4" x14ac:dyDescent="0.3"/>
  <cols>
    <col min="3" max="3" width="26.6640625" customWidth="1"/>
    <col min="4" max="4" width="20" customWidth="1"/>
    <col min="5" max="5" width="18.44140625" style="68" customWidth="1"/>
    <col min="6" max="6" width="15.44140625" style="68" bestFit="1" customWidth="1"/>
  </cols>
  <sheetData>
    <row r="2" spans="3:8" x14ac:dyDescent="0.3">
      <c r="D2" t="s">
        <v>105</v>
      </c>
      <c r="E2" s="69">
        <f>Feuil1!E33</f>
        <v>0</v>
      </c>
    </row>
    <row r="5" spans="3:8" x14ac:dyDescent="0.3">
      <c r="E5" s="74"/>
      <c r="F5" s="74"/>
    </row>
    <row r="6" spans="3:8" x14ac:dyDescent="0.3">
      <c r="E6" s="74"/>
      <c r="F6" s="74"/>
    </row>
    <row r="7" spans="3:8" x14ac:dyDescent="0.3">
      <c r="E7" s="74"/>
      <c r="F7" s="74"/>
    </row>
    <row r="8" spans="3:8" x14ac:dyDescent="0.3">
      <c r="E8" s="74"/>
      <c r="F8" s="74"/>
    </row>
    <row r="9" spans="3:8" x14ac:dyDescent="0.3">
      <c r="E9" s="74"/>
      <c r="F9" s="74"/>
    </row>
    <row r="10" spans="3:8" x14ac:dyDescent="0.3">
      <c r="E10" s="74"/>
      <c r="F10" s="74"/>
    </row>
    <row r="16" spans="3:8" x14ac:dyDescent="0.3">
      <c r="C16" t="s">
        <v>56</v>
      </c>
      <c r="D16" t="s">
        <v>37</v>
      </c>
      <c r="E16" s="74" t="s">
        <v>78</v>
      </c>
      <c r="F16" s="74">
        <f>E2*0.529</f>
        <v>0</v>
      </c>
      <c r="H16" t="str">
        <f>CONCATENATE(C16," ",D16)</f>
        <v>Voiture : 3 CV et moins moins de 5 000 km</v>
      </c>
    </row>
    <row r="17" spans="3:8" x14ac:dyDescent="0.3">
      <c r="C17" t="s">
        <v>56</v>
      </c>
      <c r="D17" t="s">
        <v>38</v>
      </c>
      <c r="E17" s="74" t="s">
        <v>79</v>
      </c>
      <c r="F17" s="74">
        <f>E2*0.316+1065</f>
        <v>1065</v>
      </c>
      <c r="H17" t="str">
        <f t="shared" ref="H17:H42" si="0">CONCATENATE(C17," ",D17)</f>
        <v>Voiture : 3 CV et moins de 5 001 à 20 000 km</v>
      </c>
    </row>
    <row r="18" spans="3:8" x14ac:dyDescent="0.3">
      <c r="C18" t="s">
        <v>56</v>
      </c>
      <c r="D18" t="s">
        <v>39</v>
      </c>
      <c r="E18" s="74" t="s">
        <v>104</v>
      </c>
      <c r="F18" s="74">
        <f>E2 * 0.37</f>
        <v>0</v>
      </c>
      <c r="H18" t="str">
        <f t="shared" si="0"/>
        <v>Voiture : 3 CV et moins plus de 20 000 km</v>
      </c>
    </row>
    <row r="19" spans="3:8" x14ac:dyDescent="0.3">
      <c r="C19" t="s">
        <v>58</v>
      </c>
      <c r="D19" t="s">
        <v>37</v>
      </c>
      <c r="E19" s="74" t="s">
        <v>81</v>
      </c>
      <c r="F19" s="74">
        <f>E2 * 0.606</f>
        <v>0</v>
      </c>
      <c r="H19" t="str">
        <f t="shared" si="0"/>
        <v>Voiture : 4 CV moins de 5 000 km</v>
      </c>
    </row>
    <row r="20" spans="3:8" x14ac:dyDescent="0.3">
      <c r="C20" t="s">
        <v>58</v>
      </c>
      <c r="D20" t="s">
        <v>38</v>
      </c>
      <c r="E20" s="74" t="s">
        <v>82</v>
      </c>
      <c r="F20" s="74">
        <f>E2*0.34+1330</f>
        <v>1330</v>
      </c>
      <c r="H20" t="str">
        <f t="shared" si="0"/>
        <v>Voiture : 4 CV de 5 001 à 20 000 km</v>
      </c>
    </row>
    <row r="21" spans="3:8" x14ac:dyDescent="0.3">
      <c r="C21" t="s">
        <v>58</v>
      </c>
      <c r="D21" t="s">
        <v>39</v>
      </c>
      <c r="E21" s="74" t="s">
        <v>83</v>
      </c>
      <c r="F21" s="74">
        <f>E2 * 0.407</f>
        <v>0</v>
      </c>
      <c r="H21" t="str">
        <f t="shared" si="0"/>
        <v>Voiture : 4 CV plus de 20 000 km</v>
      </c>
    </row>
    <row r="22" spans="3:8" x14ac:dyDescent="0.3">
      <c r="C22" t="s">
        <v>60</v>
      </c>
      <c r="D22" t="s">
        <v>37</v>
      </c>
      <c r="E22" s="74" t="s">
        <v>84</v>
      </c>
      <c r="F22" s="74">
        <f>E2 * 0.636</f>
        <v>0</v>
      </c>
      <c r="H22" t="str">
        <f t="shared" si="0"/>
        <v>Voiture : 5 CV moins de 5 000 km</v>
      </c>
    </row>
    <row r="23" spans="3:8" x14ac:dyDescent="0.3">
      <c r="C23" t="s">
        <v>60</v>
      </c>
      <c r="D23" t="s">
        <v>38</v>
      </c>
      <c r="E23" s="74" t="s">
        <v>85</v>
      </c>
      <c r="F23" s="74">
        <f>E2*0.357+1395</f>
        <v>1395</v>
      </c>
      <c r="H23" t="str">
        <f t="shared" si="0"/>
        <v>Voiture : 5 CV de 5 001 à 20 000 km</v>
      </c>
    </row>
    <row r="24" spans="3:8" x14ac:dyDescent="0.3">
      <c r="C24" t="s">
        <v>60</v>
      </c>
      <c r="D24" t="s">
        <v>39</v>
      </c>
      <c r="E24" s="74" t="s">
        <v>86</v>
      </c>
      <c r="F24" s="74">
        <f>E2 * 0.427</f>
        <v>0</v>
      </c>
      <c r="H24" t="str">
        <f t="shared" si="0"/>
        <v>Voiture : 5 CV plus de 20 000 km</v>
      </c>
    </row>
    <row r="25" spans="3:8" x14ac:dyDescent="0.3">
      <c r="C25" t="s">
        <v>61</v>
      </c>
      <c r="D25" t="s">
        <v>37</v>
      </c>
      <c r="E25" s="74" t="s">
        <v>87</v>
      </c>
      <c r="F25" s="74">
        <f>E2 * 0.665</f>
        <v>0</v>
      </c>
      <c r="H25" t="str">
        <f t="shared" si="0"/>
        <v>Voiture : 6 CV moins de 5 000 km</v>
      </c>
    </row>
    <row r="26" spans="3:8" x14ac:dyDescent="0.3">
      <c r="C26" t="s">
        <v>61</v>
      </c>
      <c r="D26" t="s">
        <v>38</v>
      </c>
      <c r="E26" s="74" t="s">
        <v>88</v>
      </c>
      <c r="F26" s="74">
        <f>E2*0.374+1457</f>
        <v>1457</v>
      </c>
      <c r="H26" t="str">
        <f t="shared" si="0"/>
        <v>Voiture : 6 CV de 5 001 à 20 000 km</v>
      </c>
    </row>
    <row r="27" spans="3:8" x14ac:dyDescent="0.3">
      <c r="C27" t="s">
        <v>61</v>
      </c>
      <c r="D27" t="s">
        <v>39</v>
      </c>
      <c r="E27" s="74" t="s">
        <v>89</v>
      </c>
      <c r="F27" s="74">
        <f>E2 * 0.447</f>
        <v>0</v>
      </c>
      <c r="H27" t="str">
        <f t="shared" si="0"/>
        <v>Voiture : 6 CV plus de 20 000 km</v>
      </c>
    </row>
    <row r="28" spans="3:8" x14ac:dyDescent="0.3">
      <c r="C28" t="s">
        <v>62</v>
      </c>
      <c r="D28" t="s">
        <v>37</v>
      </c>
      <c r="E28" s="74" t="s">
        <v>90</v>
      </c>
      <c r="F28" s="74">
        <f>E2 * 0.697</f>
        <v>0</v>
      </c>
      <c r="H28" t="str">
        <f t="shared" si="0"/>
        <v>Voiture : 7 CV et plus moins de 5 000 km</v>
      </c>
    </row>
    <row r="29" spans="3:8" x14ac:dyDescent="0.3">
      <c r="C29" t="s">
        <v>62</v>
      </c>
      <c r="D29" t="s">
        <v>38</v>
      </c>
      <c r="E29" s="74" t="s">
        <v>91</v>
      </c>
      <c r="F29" s="74">
        <f>E2*0.394+1515</f>
        <v>1515</v>
      </c>
      <c r="H29" t="str">
        <f t="shared" si="0"/>
        <v>Voiture : 7 CV et plus de 5 001 à 20 000 km</v>
      </c>
    </row>
    <row r="30" spans="3:8" x14ac:dyDescent="0.3">
      <c r="C30" t="s">
        <v>62</v>
      </c>
      <c r="D30" t="s">
        <v>39</v>
      </c>
      <c r="E30" s="74" t="s">
        <v>92</v>
      </c>
      <c r="F30" s="74">
        <f>E2 * 0.47</f>
        <v>0</v>
      </c>
      <c r="H30" t="str">
        <f t="shared" si="0"/>
        <v>Voiture : 7 CV et plus plus de 20 000 km</v>
      </c>
    </row>
    <row r="31" spans="3:8" x14ac:dyDescent="0.3">
      <c r="C31" t="s">
        <v>53</v>
      </c>
      <c r="D31" t="s">
        <v>51</v>
      </c>
      <c r="E31" s="74" t="s">
        <v>96</v>
      </c>
      <c r="F31" s="74">
        <f>E2 * 0.395</f>
        <v>0</v>
      </c>
      <c r="H31" t="str">
        <f t="shared" si="0"/>
        <v>Deux-roues : 1 ou 2 CV moins de 3 000 km</v>
      </c>
    </row>
    <row r="32" spans="3:8" x14ac:dyDescent="0.3">
      <c r="C32" t="s">
        <v>53</v>
      </c>
      <c r="D32" t="s">
        <v>52</v>
      </c>
      <c r="E32" s="74" t="s">
        <v>97</v>
      </c>
      <c r="F32" s="74">
        <f>E2 * 0.099 + 891</f>
        <v>891</v>
      </c>
      <c r="H32" t="str">
        <f t="shared" si="0"/>
        <v>Deux-roues : 1 ou 2 CV de 3 001 à 6 000 km</v>
      </c>
    </row>
    <row r="33" spans="3:8" x14ac:dyDescent="0.3">
      <c r="C33" t="s">
        <v>53</v>
      </c>
      <c r="D33" t="s">
        <v>43</v>
      </c>
      <c r="E33" s="74" t="s">
        <v>98</v>
      </c>
      <c r="F33" s="74">
        <f>E2 * 0.248</f>
        <v>0</v>
      </c>
      <c r="H33" t="str">
        <f t="shared" si="0"/>
        <v>Deux-roues : 1 ou 2 CV plus de 6 000 km</v>
      </c>
    </row>
    <row r="34" spans="3:8" x14ac:dyDescent="0.3">
      <c r="C34" t="s">
        <v>54</v>
      </c>
      <c r="D34" t="s">
        <v>51</v>
      </c>
      <c r="E34" s="74" t="s">
        <v>99</v>
      </c>
      <c r="F34" s="74">
        <f>E2 * 0.468</f>
        <v>0</v>
      </c>
      <c r="H34" t="str">
        <f t="shared" si="0"/>
        <v>Deux-roues : 3, 4 et 5 CV moins de 3 000 km</v>
      </c>
    </row>
    <row r="35" spans="3:8" x14ac:dyDescent="0.3">
      <c r="C35" t="s">
        <v>54</v>
      </c>
      <c r="D35" t="s">
        <v>52</v>
      </c>
      <c r="E35" s="74" t="s">
        <v>100</v>
      </c>
      <c r="F35" s="74">
        <f>E2*0.082+1158</f>
        <v>1158</v>
      </c>
      <c r="H35" t="str">
        <f t="shared" si="0"/>
        <v>Deux-roues : 3, 4 et 5 CV de 3 001 à 6 000 km</v>
      </c>
    </row>
    <row r="36" spans="3:8" x14ac:dyDescent="0.3">
      <c r="C36" t="s">
        <v>54</v>
      </c>
      <c r="D36" t="s">
        <v>43</v>
      </c>
      <c r="E36" s="74" t="s">
        <v>101</v>
      </c>
      <c r="F36" s="74">
        <f>E2 * 0.275</f>
        <v>0</v>
      </c>
      <c r="H36" t="str">
        <f t="shared" si="0"/>
        <v>Deux-roues : 3, 4 et 5 CV plus de 6 000 km</v>
      </c>
    </row>
    <row r="37" spans="3:8" x14ac:dyDescent="0.3">
      <c r="C37" t="s">
        <v>55</v>
      </c>
      <c r="D37" t="s">
        <v>51</v>
      </c>
      <c r="E37" s="74" t="s">
        <v>81</v>
      </c>
      <c r="F37" s="74">
        <f>E2 * 0.606</f>
        <v>0</v>
      </c>
      <c r="H37" t="str">
        <f t="shared" si="0"/>
        <v>Deux-roues : plus de 5 CV moins de 3 000 km</v>
      </c>
    </row>
    <row r="38" spans="3:8" x14ac:dyDescent="0.3">
      <c r="C38" t="s">
        <v>55</v>
      </c>
      <c r="D38" t="s">
        <v>52</v>
      </c>
      <c r="E38" s="74" t="s">
        <v>102</v>
      </c>
      <c r="F38" s="74">
        <f>E2*0.079+1583</f>
        <v>1583</v>
      </c>
      <c r="H38" t="str">
        <f t="shared" si="0"/>
        <v>Deux-roues : plus de 5 CV de 3 001 à 6 000 km</v>
      </c>
    </row>
    <row r="39" spans="3:8" x14ac:dyDescent="0.3">
      <c r="C39" t="s">
        <v>55</v>
      </c>
      <c r="D39" t="s">
        <v>43</v>
      </c>
      <c r="E39" s="74" t="s">
        <v>103</v>
      </c>
      <c r="F39" s="74">
        <f>E2 * 0.343</f>
        <v>0</v>
      </c>
      <c r="H39" t="str">
        <f t="shared" si="0"/>
        <v>Deux-roues : plus de 5 CV plus de 6 000 km</v>
      </c>
    </row>
    <row r="40" spans="3:8" x14ac:dyDescent="0.3">
      <c r="C40" t="s">
        <v>45</v>
      </c>
      <c r="D40" t="s">
        <v>51</v>
      </c>
      <c r="E40" s="74" t="s">
        <v>93</v>
      </c>
      <c r="F40" s="74">
        <f>E2 * 0.315</f>
        <v>0</v>
      </c>
      <c r="H40" t="str">
        <f t="shared" si="0"/>
        <v>Scooter 50 cc et moins moins de 3 000 km</v>
      </c>
    </row>
    <row r="41" spans="3:8" x14ac:dyDescent="0.3">
      <c r="C41" t="s">
        <v>45</v>
      </c>
      <c r="D41" t="s">
        <v>52</v>
      </c>
      <c r="E41" s="74" t="s">
        <v>94</v>
      </c>
      <c r="F41" s="74">
        <f>E2 * 0.079 + 711</f>
        <v>711</v>
      </c>
      <c r="H41" t="str">
        <f t="shared" si="0"/>
        <v>Scooter 50 cc et moins de 3 001 à 6 000 km</v>
      </c>
    </row>
    <row r="42" spans="3:8" x14ac:dyDescent="0.3">
      <c r="C42" t="s">
        <v>45</v>
      </c>
      <c r="D42" t="s">
        <v>43</v>
      </c>
      <c r="E42" s="74" t="s">
        <v>95</v>
      </c>
      <c r="F42" s="74">
        <f>E2 * 0.198</f>
        <v>0</v>
      </c>
      <c r="H42" t="str">
        <f t="shared" si="0"/>
        <v>Scooter 50 cc et moins plus de 6 000 km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CB5E-C4CC-4C26-A43B-8125ED75992C}">
  <sheetPr>
    <tabColor rgb="FFFFA7A7"/>
  </sheetPr>
  <dimension ref="C6:H26"/>
  <sheetViews>
    <sheetView workbookViewId="0">
      <selection activeCell="D16" sqref="D16"/>
    </sheetView>
  </sheetViews>
  <sheetFormatPr baseColWidth="10" defaultColWidth="11.44140625" defaultRowHeight="14.4" x14ac:dyDescent="0.3"/>
  <cols>
    <col min="3" max="3" width="31.109375" customWidth="1"/>
    <col min="4" max="4" width="20.44140625" customWidth="1"/>
    <col min="7" max="8" width="23.33203125" customWidth="1"/>
  </cols>
  <sheetData>
    <row r="6" spans="3:8" x14ac:dyDescent="0.3">
      <c r="C6" t="s">
        <v>64</v>
      </c>
      <c r="D6" s="58">
        <f>Feuil1!D17</f>
        <v>0</v>
      </c>
      <c r="G6" t="s">
        <v>65</v>
      </c>
      <c r="H6" t="str">
        <f>Feuil1!D9</f>
        <v>Voiture : 5 CV</v>
      </c>
    </row>
    <row r="8" spans="3:8" x14ac:dyDescent="0.3">
      <c r="C8" t="s">
        <v>66</v>
      </c>
      <c r="D8" s="59">
        <f>Feuil1!E33</f>
        <v>0</v>
      </c>
    </row>
    <row r="10" spans="3:8" x14ac:dyDescent="0.3">
      <c r="C10" s="60" t="s">
        <v>67</v>
      </c>
      <c r="D10" s="61">
        <f>D6+D8</f>
        <v>0</v>
      </c>
    </row>
    <row r="12" spans="3:8" x14ac:dyDescent="0.3">
      <c r="C12" t="s">
        <v>68</v>
      </c>
    </row>
    <row r="15" spans="3:8" x14ac:dyDescent="0.3">
      <c r="C15" s="60" t="s">
        <v>69</v>
      </c>
    </row>
    <row r="16" spans="3:8" x14ac:dyDescent="0.3">
      <c r="C16" t="s">
        <v>70</v>
      </c>
      <c r="D16" s="62" t="str">
        <f>IF(Feuil1!D34="Voiture","moins de 5 000 km","moins de 3 000 km")</f>
        <v>moins de 5 000 km</v>
      </c>
    </row>
    <row r="17" spans="3:4" x14ac:dyDescent="0.3">
      <c r="C17" t="s">
        <v>71</v>
      </c>
      <c r="D17" s="62" t="str">
        <f>INDEX('Calcul barème'!E:E,MATCH(CONCATENATE('régul décembre'!H6," ",D16),'Calcul barème'!H:H,0))</f>
        <v>d x 0,636</v>
      </c>
    </row>
    <row r="18" spans="3:4" x14ac:dyDescent="0.3">
      <c r="C18" t="s">
        <v>72</v>
      </c>
      <c r="D18" s="63">
        <f>INDEX('Calcul janv-nov'!F:F,MATCH(CONCATENATE('régul décembre'!H6," ",'régul décembre'!D16),'Calcul janv-nov'!H:H,0))</f>
        <v>0</v>
      </c>
    </row>
    <row r="19" spans="3:4" x14ac:dyDescent="0.3">
      <c r="D19" s="62"/>
    </row>
    <row r="21" spans="3:4" x14ac:dyDescent="0.3">
      <c r="C21" s="60" t="s">
        <v>73</v>
      </c>
    </row>
    <row r="22" spans="3:4" x14ac:dyDescent="0.3">
      <c r="C22" t="s">
        <v>74</v>
      </c>
      <c r="D22" s="74" t="str">
        <f>IF(Feuil1!D34="Voiture",IF(D10&lt;5000,"moins de 5 000 km",IF(AND(D10&gt;=5001,D10&lt;=20000),"de 5 001 à 20 000 km","plus de 20 000 km")),IF(D10&lt;3000,"moins de 3 000 km",IF(AND(D10&gt;=3001,D10&lt;=6000),"de 3 001 à 6 000 km","plus de 6 000 km")))</f>
        <v>moins de 5 000 km</v>
      </c>
    </row>
    <row r="23" spans="3:4" ht="13.95" customHeight="1" x14ac:dyDescent="0.3">
      <c r="C23" t="s">
        <v>75</v>
      </c>
      <c r="D23" s="62" t="str">
        <f>INDEX('Calcul barème'!E:E,MATCH(CONCATENATE('régul décembre'!H6," ",'régul décembre'!D22),'Calcul barème'!H:H,0))</f>
        <v>d x 0,636</v>
      </c>
    </row>
    <row r="24" spans="3:4" ht="13.95" customHeight="1" x14ac:dyDescent="0.3">
      <c r="C24" t="s">
        <v>76</v>
      </c>
      <c r="D24" s="63">
        <f>INDEX('Calcul janv-dec'!F:F,MATCH(CONCATENATE('régul décembre'!H6," ",'régul décembre'!D22),'Calcul janv-dec'!H:H,0))</f>
        <v>0</v>
      </c>
    </row>
    <row r="25" spans="3:4" ht="13.95" customHeight="1" x14ac:dyDescent="0.3"/>
    <row r="26" spans="3:4" x14ac:dyDescent="0.3">
      <c r="C26" s="64" t="s">
        <v>77</v>
      </c>
      <c r="D26" s="65">
        <f>D24-D18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1948-C1C8-44BF-8D6F-CA34852F32A6}">
  <sheetPr>
    <tabColor rgb="FFFFA7A7"/>
  </sheetPr>
  <dimension ref="C2:H32"/>
  <sheetViews>
    <sheetView zoomScale="130" zoomScaleNormal="130" workbookViewId="0">
      <selection activeCell="E6" sqref="E6:F32"/>
    </sheetView>
  </sheetViews>
  <sheetFormatPr baseColWidth="10" defaultColWidth="11.44140625" defaultRowHeight="14.4" x14ac:dyDescent="0.3"/>
  <cols>
    <col min="3" max="3" width="26.6640625" customWidth="1"/>
    <col min="4" max="4" width="20" customWidth="1"/>
    <col min="5" max="5" width="18.44140625" customWidth="1"/>
    <col min="6" max="6" width="15.44140625" bestFit="1" customWidth="1"/>
  </cols>
  <sheetData>
    <row r="2" spans="3:8" x14ac:dyDescent="0.3">
      <c r="D2" t="s">
        <v>63</v>
      </c>
      <c r="E2" s="17">
        <f>'régul décembre'!D6</f>
        <v>0</v>
      </c>
    </row>
    <row r="6" spans="3:8" x14ac:dyDescent="0.3">
      <c r="C6" t="s">
        <v>56</v>
      </c>
      <c r="D6" t="s">
        <v>37</v>
      </c>
      <c r="E6" s="74" t="s">
        <v>78</v>
      </c>
      <c r="F6" s="74">
        <f>E2*0.529</f>
        <v>0</v>
      </c>
      <c r="H6" t="str">
        <f>CONCATENATE(C6," ",D6)</f>
        <v>Voiture : 3 CV et moins moins de 5 000 km</v>
      </c>
    </row>
    <row r="7" spans="3:8" x14ac:dyDescent="0.3">
      <c r="C7" t="s">
        <v>56</v>
      </c>
      <c r="D7" t="s">
        <v>38</v>
      </c>
      <c r="E7" s="74" t="s">
        <v>79</v>
      </c>
      <c r="F7" s="74">
        <f>E2*0.316+1065</f>
        <v>1065</v>
      </c>
      <c r="H7" t="str">
        <f t="shared" ref="H7:H32" si="0">CONCATENATE(C7," ",D7)</f>
        <v>Voiture : 3 CV et moins de 5 001 à 20 000 km</v>
      </c>
    </row>
    <row r="8" spans="3:8" x14ac:dyDescent="0.3">
      <c r="C8" t="s">
        <v>56</v>
      </c>
      <c r="D8" t="s">
        <v>39</v>
      </c>
      <c r="E8" s="74" t="s">
        <v>104</v>
      </c>
      <c r="F8" s="74">
        <f>E2 * 0.37</f>
        <v>0</v>
      </c>
      <c r="H8" t="str">
        <f t="shared" si="0"/>
        <v>Voiture : 3 CV et moins plus de 20 000 km</v>
      </c>
    </row>
    <row r="9" spans="3:8" x14ac:dyDescent="0.3">
      <c r="C9" t="s">
        <v>58</v>
      </c>
      <c r="D9" t="s">
        <v>37</v>
      </c>
      <c r="E9" s="74" t="s">
        <v>81</v>
      </c>
      <c r="F9" s="74">
        <f>E2 * 0.606</f>
        <v>0</v>
      </c>
      <c r="H9" t="str">
        <f t="shared" si="0"/>
        <v>Voiture : 4 CV moins de 5 000 km</v>
      </c>
    </row>
    <row r="10" spans="3:8" x14ac:dyDescent="0.3">
      <c r="C10" t="s">
        <v>58</v>
      </c>
      <c r="D10" t="s">
        <v>38</v>
      </c>
      <c r="E10" s="74" t="s">
        <v>82</v>
      </c>
      <c r="F10" s="74">
        <f>E2*0.34+1330</f>
        <v>1330</v>
      </c>
      <c r="H10" t="str">
        <f t="shared" si="0"/>
        <v>Voiture : 4 CV de 5 001 à 20 000 km</v>
      </c>
    </row>
    <row r="11" spans="3:8" x14ac:dyDescent="0.3">
      <c r="C11" t="s">
        <v>58</v>
      </c>
      <c r="D11" t="s">
        <v>39</v>
      </c>
      <c r="E11" s="74" t="s">
        <v>83</v>
      </c>
      <c r="F11" s="74">
        <f>E2 * 0.407</f>
        <v>0</v>
      </c>
      <c r="H11" t="str">
        <f t="shared" si="0"/>
        <v>Voiture : 4 CV plus de 20 000 km</v>
      </c>
    </row>
    <row r="12" spans="3:8" x14ac:dyDescent="0.3">
      <c r="C12" t="s">
        <v>60</v>
      </c>
      <c r="D12" t="s">
        <v>37</v>
      </c>
      <c r="E12" s="74" t="s">
        <v>84</v>
      </c>
      <c r="F12" s="74">
        <f>E2 * 0.636</f>
        <v>0</v>
      </c>
      <c r="H12" t="str">
        <f t="shared" si="0"/>
        <v>Voiture : 5 CV moins de 5 000 km</v>
      </c>
    </row>
    <row r="13" spans="3:8" x14ac:dyDescent="0.3">
      <c r="C13" t="s">
        <v>60</v>
      </c>
      <c r="D13" t="s">
        <v>38</v>
      </c>
      <c r="E13" s="74" t="s">
        <v>85</v>
      </c>
      <c r="F13" s="74">
        <f>E2*0.357+1395</f>
        <v>1395</v>
      </c>
      <c r="H13" t="str">
        <f t="shared" si="0"/>
        <v>Voiture : 5 CV de 5 001 à 20 000 km</v>
      </c>
    </row>
    <row r="14" spans="3:8" x14ac:dyDescent="0.3">
      <c r="C14" t="s">
        <v>60</v>
      </c>
      <c r="D14" t="s">
        <v>39</v>
      </c>
      <c r="E14" s="74" t="s">
        <v>86</v>
      </c>
      <c r="F14" s="74">
        <f>E2 * 0.427</f>
        <v>0</v>
      </c>
      <c r="H14" t="str">
        <f t="shared" si="0"/>
        <v>Voiture : 5 CV plus de 20 000 km</v>
      </c>
    </row>
    <row r="15" spans="3:8" x14ac:dyDescent="0.3">
      <c r="C15" t="s">
        <v>61</v>
      </c>
      <c r="D15" t="s">
        <v>37</v>
      </c>
      <c r="E15" s="74" t="s">
        <v>87</v>
      </c>
      <c r="F15" s="74">
        <f>E2 * 0.665</f>
        <v>0</v>
      </c>
      <c r="H15" t="str">
        <f t="shared" si="0"/>
        <v>Voiture : 6 CV moins de 5 000 km</v>
      </c>
    </row>
    <row r="16" spans="3:8" x14ac:dyDescent="0.3">
      <c r="C16" t="s">
        <v>61</v>
      </c>
      <c r="D16" t="s">
        <v>38</v>
      </c>
      <c r="E16" s="74" t="s">
        <v>88</v>
      </c>
      <c r="F16" s="74">
        <f>E2*0.374+1457</f>
        <v>1457</v>
      </c>
      <c r="H16" t="str">
        <f t="shared" si="0"/>
        <v>Voiture : 6 CV de 5 001 à 20 000 km</v>
      </c>
    </row>
    <row r="17" spans="3:8" x14ac:dyDescent="0.3">
      <c r="C17" t="s">
        <v>61</v>
      </c>
      <c r="D17" t="s">
        <v>39</v>
      </c>
      <c r="E17" s="74" t="s">
        <v>89</v>
      </c>
      <c r="F17" s="74">
        <f>E2 * 0.447</f>
        <v>0</v>
      </c>
      <c r="H17" t="str">
        <f t="shared" si="0"/>
        <v>Voiture : 6 CV plus de 20 000 km</v>
      </c>
    </row>
    <row r="18" spans="3:8" x14ac:dyDescent="0.3">
      <c r="C18" t="s">
        <v>62</v>
      </c>
      <c r="D18" t="s">
        <v>37</v>
      </c>
      <c r="E18" s="74" t="s">
        <v>90</v>
      </c>
      <c r="F18" s="74">
        <f>E2 * 0.697</f>
        <v>0</v>
      </c>
      <c r="H18" t="str">
        <f t="shared" si="0"/>
        <v>Voiture : 7 CV et plus moins de 5 000 km</v>
      </c>
    </row>
    <row r="19" spans="3:8" x14ac:dyDescent="0.3">
      <c r="C19" t="s">
        <v>62</v>
      </c>
      <c r="D19" t="s">
        <v>38</v>
      </c>
      <c r="E19" s="74" t="s">
        <v>91</v>
      </c>
      <c r="F19" s="74">
        <f>E2*0.394+1515</f>
        <v>1515</v>
      </c>
      <c r="H19" t="str">
        <f t="shared" si="0"/>
        <v>Voiture : 7 CV et plus de 5 001 à 20 000 km</v>
      </c>
    </row>
    <row r="20" spans="3:8" x14ac:dyDescent="0.3">
      <c r="C20" t="s">
        <v>62</v>
      </c>
      <c r="D20" t="s">
        <v>39</v>
      </c>
      <c r="E20" s="74" t="s">
        <v>92</v>
      </c>
      <c r="F20" s="74">
        <f>E2 * 0.47</f>
        <v>0</v>
      </c>
      <c r="H20" t="str">
        <f t="shared" si="0"/>
        <v>Voiture : 7 CV et plus plus de 20 000 km</v>
      </c>
    </row>
    <row r="21" spans="3:8" x14ac:dyDescent="0.3">
      <c r="C21" t="s">
        <v>53</v>
      </c>
      <c r="D21" t="s">
        <v>51</v>
      </c>
      <c r="E21" s="74" t="s">
        <v>96</v>
      </c>
      <c r="F21" s="74">
        <f>E2 * 0.395</f>
        <v>0</v>
      </c>
      <c r="H21" t="str">
        <f t="shared" si="0"/>
        <v>Deux-roues : 1 ou 2 CV moins de 3 000 km</v>
      </c>
    </row>
    <row r="22" spans="3:8" x14ac:dyDescent="0.3">
      <c r="C22" t="s">
        <v>53</v>
      </c>
      <c r="D22" t="s">
        <v>52</v>
      </c>
      <c r="E22" s="74" t="s">
        <v>97</v>
      </c>
      <c r="F22" s="74">
        <f>E2 * 0.099 + 891</f>
        <v>891</v>
      </c>
      <c r="H22" t="str">
        <f t="shared" si="0"/>
        <v>Deux-roues : 1 ou 2 CV de 3 001 à 6 000 km</v>
      </c>
    </row>
    <row r="23" spans="3:8" x14ac:dyDescent="0.3">
      <c r="C23" t="s">
        <v>53</v>
      </c>
      <c r="D23" t="s">
        <v>43</v>
      </c>
      <c r="E23" s="74" t="s">
        <v>98</v>
      </c>
      <c r="F23" s="74">
        <f>E2 * 0.248</f>
        <v>0</v>
      </c>
      <c r="H23" t="str">
        <f t="shared" si="0"/>
        <v>Deux-roues : 1 ou 2 CV plus de 6 000 km</v>
      </c>
    </row>
    <row r="24" spans="3:8" x14ac:dyDescent="0.3">
      <c r="C24" t="s">
        <v>54</v>
      </c>
      <c r="D24" t="s">
        <v>51</v>
      </c>
      <c r="E24" s="74" t="s">
        <v>99</v>
      </c>
      <c r="F24" s="74">
        <f>E2 * 0.468</f>
        <v>0</v>
      </c>
      <c r="H24" t="str">
        <f t="shared" si="0"/>
        <v>Deux-roues : 3, 4 et 5 CV moins de 3 000 km</v>
      </c>
    </row>
    <row r="25" spans="3:8" x14ac:dyDescent="0.3">
      <c r="C25" t="s">
        <v>54</v>
      </c>
      <c r="D25" t="s">
        <v>52</v>
      </c>
      <c r="E25" s="74" t="s">
        <v>100</v>
      </c>
      <c r="F25" s="74">
        <f>E2*0.082+1158</f>
        <v>1158</v>
      </c>
      <c r="H25" t="str">
        <f t="shared" si="0"/>
        <v>Deux-roues : 3, 4 et 5 CV de 3 001 à 6 000 km</v>
      </c>
    </row>
    <row r="26" spans="3:8" x14ac:dyDescent="0.3">
      <c r="C26" t="s">
        <v>54</v>
      </c>
      <c r="D26" t="s">
        <v>43</v>
      </c>
      <c r="E26" s="74" t="s">
        <v>101</v>
      </c>
      <c r="F26" s="74">
        <f>E2 * 0.275</f>
        <v>0</v>
      </c>
      <c r="H26" t="str">
        <f t="shared" si="0"/>
        <v>Deux-roues : 3, 4 et 5 CV plus de 6 000 km</v>
      </c>
    </row>
    <row r="27" spans="3:8" x14ac:dyDescent="0.3">
      <c r="C27" t="s">
        <v>55</v>
      </c>
      <c r="D27" t="s">
        <v>51</v>
      </c>
      <c r="E27" s="74" t="s">
        <v>81</v>
      </c>
      <c r="F27" s="74">
        <f>E2 * 0.606</f>
        <v>0</v>
      </c>
      <c r="H27" t="str">
        <f t="shared" si="0"/>
        <v>Deux-roues : plus de 5 CV moins de 3 000 km</v>
      </c>
    </row>
    <row r="28" spans="3:8" x14ac:dyDescent="0.3">
      <c r="C28" t="s">
        <v>55</v>
      </c>
      <c r="D28" t="s">
        <v>52</v>
      </c>
      <c r="E28" s="74" t="s">
        <v>102</v>
      </c>
      <c r="F28" s="74">
        <f>E2*0.079+1583</f>
        <v>1583</v>
      </c>
      <c r="H28" t="str">
        <f t="shared" si="0"/>
        <v>Deux-roues : plus de 5 CV de 3 001 à 6 000 km</v>
      </c>
    </row>
    <row r="29" spans="3:8" x14ac:dyDescent="0.3">
      <c r="C29" t="s">
        <v>55</v>
      </c>
      <c r="D29" t="s">
        <v>43</v>
      </c>
      <c r="E29" s="74" t="s">
        <v>103</v>
      </c>
      <c r="F29" s="74">
        <f>E2 * 0.343</f>
        <v>0</v>
      </c>
      <c r="H29" t="str">
        <f t="shared" si="0"/>
        <v>Deux-roues : plus de 5 CV plus de 6 000 km</v>
      </c>
    </row>
    <row r="30" spans="3:8" x14ac:dyDescent="0.3">
      <c r="C30" t="s">
        <v>45</v>
      </c>
      <c r="D30" t="s">
        <v>51</v>
      </c>
      <c r="E30" s="74" t="s">
        <v>93</v>
      </c>
      <c r="F30" s="74">
        <f>E2 * 0.315</f>
        <v>0</v>
      </c>
      <c r="H30" t="str">
        <f t="shared" si="0"/>
        <v>Scooter 50 cc et moins moins de 3 000 km</v>
      </c>
    </row>
    <row r="31" spans="3:8" x14ac:dyDescent="0.3">
      <c r="C31" t="s">
        <v>45</v>
      </c>
      <c r="D31" t="s">
        <v>52</v>
      </c>
      <c r="E31" s="74" t="s">
        <v>94</v>
      </c>
      <c r="F31" s="74">
        <f>E2 * 0.079 + 711</f>
        <v>711</v>
      </c>
      <c r="H31" t="str">
        <f t="shared" si="0"/>
        <v>Scooter 50 cc et moins de 3 001 à 6 000 km</v>
      </c>
    </row>
    <row r="32" spans="3:8" x14ac:dyDescent="0.3">
      <c r="C32" t="s">
        <v>45</v>
      </c>
      <c r="D32" t="s">
        <v>43</v>
      </c>
      <c r="E32" s="74" t="s">
        <v>95</v>
      </c>
      <c r="F32" s="74">
        <f>E2 * 0.198</f>
        <v>0</v>
      </c>
      <c r="H32" t="str">
        <f t="shared" si="0"/>
        <v>Scooter 50 cc et moins plus de 6 000 km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A313-9321-462F-826D-17E94CC60301}">
  <sheetPr>
    <tabColor rgb="FFFFA7A7"/>
  </sheetPr>
  <dimension ref="C2:H32"/>
  <sheetViews>
    <sheetView zoomScale="130" zoomScaleNormal="130" workbookViewId="0">
      <selection activeCell="F6" sqref="F6"/>
    </sheetView>
  </sheetViews>
  <sheetFormatPr baseColWidth="10" defaultColWidth="11.44140625" defaultRowHeight="14.4" x14ac:dyDescent="0.3"/>
  <cols>
    <col min="3" max="3" width="26.6640625" customWidth="1"/>
    <col min="4" max="4" width="20" customWidth="1"/>
    <col min="5" max="5" width="18.44140625" customWidth="1"/>
    <col min="6" max="6" width="15.44140625" bestFit="1" customWidth="1"/>
  </cols>
  <sheetData>
    <row r="2" spans="3:8" x14ac:dyDescent="0.3">
      <c r="D2" t="s">
        <v>63</v>
      </c>
      <c r="E2" s="17">
        <f>'régul décembre'!D10</f>
        <v>0</v>
      </c>
    </row>
    <row r="6" spans="3:8" x14ac:dyDescent="0.3">
      <c r="C6" t="s">
        <v>56</v>
      </c>
      <c r="D6" t="s">
        <v>37</v>
      </c>
      <c r="E6" s="74" t="s">
        <v>78</v>
      </c>
      <c r="F6" s="74">
        <f>E2*0.529</f>
        <v>0</v>
      </c>
      <c r="H6" t="str">
        <f>CONCATENATE(C6," ",D6)</f>
        <v>Voiture : 3 CV et moins moins de 5 000 km</v>
      </c>
    </row>
    <row r="7" spans="3:8" x14ac:dyDescent="0.3">
      <c r="C7" t="s">
        <v>56</v>
      </c>
      <c r="D7" t="s">
        <v>38</v>
      </c>
      <c r="E7" s="74" t="s">
        <v>79</v>
      </c>
      <c r="F7" s="74">
        <f>E2*0.316+1065</f>
        <v>1065</v>
      </c>
      <c r="H7" t="str">
        <f t="shared" ref="H7:H32" si="0">CONCATENATE(C7," ",D7)</f>
        <v>Voiture : 3 CV et moins de 5 001 à 20 000 km</v>
      </c>
    </row>
    <row r="8" spans="3:8" x14ac:dyDescent="0.3">
      <c r="C8" t="s">
        <v>56</v>
      </c>
      <c r="D8" t="s">
        <v>39</v>
      </c>
      <c r="E8" s="74" t="s">
        <v>104</v>
      </c>
      <c r="F8" s="74">
        <f>E2 * 0.37</f>
        <v>0</v>
      </c>
      <c r="H8" t="str">
        <f t="shared" si="0"/>
        <v>Voiture : 3 CV et moins plus de 20 000 km</v>
      </c>
    </row>
    <row r="9" spans="3:8" x14ac:dyDescent="0.3">
      <c r="C9" t="s">
        <v>58</v>
      </c>
      <c r="D9" t="s">
        <v>37</v>
      </c>
      <c r="E9" s="74" t="s">
        <v>81</v>
      </c>
      <c r="F9" s="74">
        <f>E2 * 0.606</f>
        <v>0</v>
      </c>
      <c r="H9" t="str">
        <f t="shared" si="0"/>
        <v>Voiture : 4 CV moins de 5 000 km</v>
      </c>
    </row>
    <row r="10" spans="3:8" x14ac:dyDescent="0.3">
      <c r="C10" t="s">
        <v>58</v>
      </c>
      <c r="D10" t="s">
        <v>38</v>
      </c>
      <c r="E10" s="74" t="s">
        <v>82</v>
      </c>
      <c r="F10" s="74">
        <f>E2*0.34+1330</f>
        <v>1330</v>
      </c>
      <c r="H10" t="str">
        <f t="shared" si="0"/>
        <v>Voiture : 4 CV de 5 001 à 20 000 km</v>
      </c>
    </row>
    <row r="11" spans="3:8" x14ac:dyDescent="0.3">
      <c r="C11" t="s">
        <v>58</v>
      </c>
      <c r="D11" t="s">
        <v>39</v>
      </c>
      <c r="E11" s="74" t="s">
        <v>83</v>
      </c>
      <c r="F11" s="74">
        <f>E2 * 0.407</f>
        <v>0</v>
      </c>
      <c r="H11" t="str">
        <f t="shared" si="0"/>
        <v>Voiture : 4 CV plus de 20 000 km</v>
      </c>
    </row>
    <row r="12" spans="3:8" x14ac:dyDescent="0.3">
      <c r="C12" t="s">
        <v>60</v>
      </c>
      <c r="D12" t="s">
        <v>37</v>
      </c>
      <c r="E12" s="74" t="s">
        <v>84</v>
      </c>
      <c r="F12" s="74">
        <f>E2 * 0.636</f>
        <v>0</v>
      </c>
      <c r="H12" t="str">
        <f t="shared" si="0"/>
        <v>Voiture : 5 CV moins de 5 000 km</v>
      </c>
    </row>
    <row r="13" spans="3:8" x14ac:dyDescent="0.3">
      <c r="C13" t="s">
        <v>60</v>
      </c>
      <c r="D13" t="s">
        <v>38</v>
      </c>
      <c r="E13" s="74" t="s">
        <v>85</v>
      </c>
      <c r="F13" s="74">
        <f>E2*0.357+1395</f>
        <v>1395</v>
      </c>
      <c r="H13" t="str">
        <f t="shared" si="0"/>
        <v>Voiture : 5 CV de 5 001 à 20 000 km</v>
      </c>
    </row>
    <row r="14" spans="3:8" x14ac:dyDescent="0.3">
      <c r="C14" t="s">
        <v>60</v>
      </c>
      <c r="D14" t="s">
        <v>39</v>
      </c>
      <c r="E14" s="74" t="s">
        <v>86</v>
      </c>
      <c r="F14" s="74">
        <f>E2 * 0.427</f>
        <v>0</v>
      </c>
      <c r="H14" t="str">
        <f t="shared" si="0"/>
        <v>Voiture : 5 CV plus de 20 000 km</v>
      </c>
    </row>
    <row r="15" spans="3:8" x14ac:dyDescent="0.3">
      <c r="C15" t="s">
        <v>61</v>
      </c>
      <c r="D15" t="s">
        <v>37</v>
      </c>
      <c r="E15" s="74" t="s">
        <v>87</v>
      </c>
      <c r="F15" s="74">
        <f>E2 * 0.665</f>
        <v>0</v>
      </c>
      <c r="H15" t="str">
        <f t="shared" si="0"/>
        <v>Voiture : 6 CV moins de 5 000 km</v>
      </c>
    </row>
    <row r="16" spans="3:8" x14ac:dyDescent="0.3">
      <c r="C16" t="s">
        <v>61</v>
      </c>
      <c r="D16" t="s">
        <v>38</v>
      </c>
      <c r="E16" s="74" t="s">
        <v>88</v>
      </c>
      <c r="F16" s="74">
        <f>E2*0.374+1457</f>
        <v>1457</v>
      </c>
      <c r="H16" t="str">
        <f t="shared" si="0"/>
        <v>Voiture : 6 CV de 5 001 à 20 000 km</v>
      </c>
    </row>
    <row r="17" spans="3:8" x14ac:dyDescent="0.3">
      <c r="C17" t="s">
        <v>61</v>
      </c>
      <c r="D17" t="s">
        <v>39</v>
      </c>
      <c r="E17" s="74" t="s">
        <v>89</v>
      </c>
      <c r="F17" s="74">
        <f>E2 * 0.447</f>
        <v>0</v>
      </c>
      <c r="H17" t="str">
        <f t="shared" si="0"/>
        <v>Voiture : 6 CV plus de 20 000 km</v>
      </c>
    </row>
    <row r="18" spans="3:8" x14ac:dyDescent="0.3">
      <c r="C18" t="s">
        <v>62</v>
      </c>
      <c r="D18" t="s">
        <v>37</v>
      </c>
      <c r="E18" s="74" t="s">
        <v>90</v>
      </c>
      <c r="F18" s="74">
        <f>E2 * 0.697</f>
        <v>0</v>
      </c>
      <c r="H18" t="str">
        <f t="shared" si="0"/>
        <v>Voiture : 7 CV et plus moins de 5 000 km</v>
      </c>
    </row>
    <row r="19" spans="3:8" x14ac:dyDescent="0.3">
      <c r="C19" t="s">
        <v>62</v>
      </c>
      <c r="D19" t="s">
        <v>38</v>
      </c>
      <c r="E19" s="74" t="s">
        <v>91</v>
      </c>
      <c r="F19" s="74">
        <f>E2*0.394+1515</f>
        <v>1515</v>
      </c>
      <c r="H19" t="str">
        <f t="shared" si="0"/>
        <v>Voiture : 7 CV et plus de 5 001 à 20 000 km</v>
      </c>
    </row>
    <row r="20" spans="3:8" x14ac:dyDescent="0.3">
      <c r="C20" t="s">
        <v>62</v>
      </c>
      <c r="D20" t="s">
        <v>39</v>
      </c>
      <c r="E20" s="74" t="s">
        <v>92</v>
      </c>
      <c r="F20" s="74">
        <f>E2 * 0.47</f>
        <v>0</v>
      </c>
      <c r="H20" t="str">
        <f t="shared" si="0"/>
        <v>Voiture : 7 CV et plus plus de 20 000 km</v>
      </c>
    </row>
    <row r="21" spans="3:8" x14ac:dyDescent="0.3">
      <c r="C21" t="s">
        <v>53</v>
      </c>
      <c r="D21" t="s">
        <v>51</v>
      </c>
      <c r="E21" s="74" t="s">
        <v>96</v>
      </c>
      <c r="F21" s="74">
        <f>E2 * 0.395</f>
        <v>0</v>
      </c>
      <c r="H21" t="str">
        <f t="shared" si="0"/>
        <v>Deux-roues : 1 ou 2 CV moins de 3 000 km</v>
      </c>
    </row>
    <row r="22" spans="3:8" x14ac:dyDescent="0.3">
      <c r="C22" t="s">
        <v>53</v>
      </c>
      <c r="D22" t="s">
        <v>52</v>
      </c>
      <c r="E22" s="74" t="s">
        <v>97</v>
      </c>
      <c r="F22" s="74">
        <f>E2 * 0.099 + 891</f>
        <v>891</v>
      </c>
      <c r="H22" t="str">
        <f t="shared" si="0"/>
        <v>Deux-roues : 1 ou 2 CV de 3 001 à 6 000 km</v>
      </c>
    </row>
    <row r="23" spans="3:8" x14ac:dyDescent="0.3">
      <c r="C23" t="s">
        <v>53</v>
      </c>
      <c r="D23" t="s">
        <v>43</v>
      </c>
      <c r="E23" s="74" t="s">
        <v>98</v>
      </c>
      <c r="F23" s="74">
        <f>E2 * 0.248</f>
        <v>0</v>
      </c>
      <c r="H23" t="str">
        <f t="shared" si="0"/>
        <v>Deux-roues : 1 ou 2 CV plus de 6 000 km</v>
      </c>
    </row>
    <row r="24" spans="3:8" x14ac:dyDescent="0.3">
      <c r="C24" t="s">
        <v>54</v>
      </c>
      <c r="D24" t="s">
        <v>51</v>
      </c>
      <c r="E24" s="74" t="s">
        <v>99</v>
      </c>
      <c r="F24" s="74">
        <f>E2 * 0.468</f>
        <v>0</v>
      </c>
      <c r="H24" t="str">
        <f t="shared" si="0"/>
        <v>Deux-roues : 3, 4 et 5 CV moins de 3 000 km</v>
      </c>
    </row>
    <row r="25" spans="3:8" x14ac:dyDescent="0.3">
      <c r="C25" t="s">
        <v>54</v>
      </c>
      <c r="D25" t="s">
        <v>52</v>
      </c>
      <c r="E25" s="74" t="s">
        <v>100</v>
      </c>
      <c r="F25" s="74">
        <f>E2*0.082+1158</f>
        <v>1158</v>
      </c>
      <c r="H25" t="str">
        <f t="shared" si="0"/>
        <v>Deux-roues : 3, 4 et 5 CV de 3 001 à 6 000 km</v>
      </c>
    </row>
    <row r="26" spans="3:8" x14ac:dyDescent="0.3">
      <c r="C26" t="s">
        <v>54</v>
      </c>
      <c r="D26" t="s">
        <v>43</v>
      </c>
      <c r="E26" s="74" t="s">
        <v>101</v>
      </c>
      <c r="F26" s="74">
        <f>E2 * 0.275</f>
        <v>0</v>
      </c>
      <c r="H26" t="str">
        <f t="shared" si="0"/>
        <v>Deux-roues : 3, 4 et 5 CV plus de 6 000 km</v>
      </c>
    </row>
    <row r="27" spans="3:8" x14ac:dyDescent="0.3">
      <c r="C27" t="s">
        <v>55</v>
      </c>
      <c r="D27" t="s">
        <v>51</v>
      </c>
      <c r="E27" s="74" t="s">
        <v>81</v>
      </c>
      <c r="F27" s="74">
        <f>E2 * 0.606</f>
        <v>0</v>
      </c>
      <c r="H27" t="str">
        <f t="shared" si="0"/>
        <v>Deux-roues : plus de 5 CV moins de 3 000 km</v>
      </c>
    </row>
    <row r="28" spans="3:8" x14ac:dyDescent="0.3">
      <c r="C28" t="s">
        <v>55</v>
      </c>
      <c r="D28" t="s">
        <v>52</v>
      </c>
      <c r="E28" s="74" t="s">
        <v>102</v>
      </c>
      <c r="F28" s="74">
        <f>E2*0.079+1583</f>
        <v>1583</v>
      </c>
      <c r="H28" t="str">
        <f t="shared" si="0"/>
        <v>Deux-roues : plus de 5 CV de 3 001 à 6 000 km</v>
      </c>
    </row>
    <row r="29" spans="3:8" x14ac:dyDescent="0.3">
      <c r="C29" t="s">
        <v>55</v>
      </c>
      <c r="D29" t="s">
        <v>43</v>
      </c>
      <c r="E29" s="74" t="s">
        <v>103</v>
      </c>
      <c r="F29" s="74">
        <f>E2 * 0.343</f>
        <v>0</v>
      </c>
      <c r="H29" t="str">
        <f t="shared" si="0"/>
        <v>Deux-roues : plus de 5 CV plus de 6 000 km</v>
      </c>
    </row>
    <row r="30" spans="3:8" x14ac:dyDescent="0.3">
      <c r="C30" t="s">
        <v>45</v>
      </c>
      <c r="D30" t="s">
        <v>51</v>
      </c>
      <c r="E30" s="74" t="s">
        <v>93</v>
      </c>
      <c r="F30" s="74">
        <f>E2 * 0.315</f>
        <v>0</v>
      </c>
      <c r="H30" t="str">
        <f t="shared" si="0"/>
        <v>Scooter 50 cc et moins moins de 3 000 km</v>
      </c>
    </row>
    <row r="31" spans="3:8" x14ac:dyDescent="0.3">
      <c r="C31" t="s">
        <v>45</v>
      </c>
      <c r="D31" t="s">
        <v>52</v>
      </c>
      <c r="E31" s="74" t="s">
        <v>94</v>
      </c>
      <c r="F31" s="74">
        <f>E2 * 0.079 + 711</f>
        <v>711</v>
      </c>
      <c r="H31" t="str">
        <f t="shared" si="0"/>
        <v>Scooter 50 cc et moins de 3 001 à 6 000 km</v>
      </c>
    </row>
    <row r="32" spans="3:8" x14ac:dyDescent="0.3">
      <c r="C32" t="s">
        <v>45</v>
      </c>
      <c r="D32" t="s">
        <v>43</v>
      </c>
      <c r="E32" s="74" t="s">
        <v>95</v>
      </c>
      <c r="F32" s="74">
        <f>E2 * 0.198</f>
        <v>0</v>
      </c>
      <c r="H32" t="str">
        <f t="shared" si="0"/>
        <v>Scooter 50 cc et moins plus de 6 000 km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7D2A2C396804785FA2DE96DEB0D30" ma:contentTypeVersion="17" ma:contentTypeDescription="Crée un document." ma:contentTypeScope="" ma:versionID="224b092e24863c3b3e9786b386355d73">
  <xsd:schema xmlns:xsd="http://www.w3.org/2001/XMLSchema" xmlns:xs="http://www.w3.org/2001/XMLSchema" xmlns:p="http://schemas.microsoft.com/office/2006/metadata/properties" xmlns:ns2="c68d5053-b23c-463c-937f-793a00af42ad" xmlns:ns3="be4a23ae-82be-4dd6-97ba-410285dd59af" targetNamespace="http://schemas.microsoft.com/office/2006/metadata/properties" ma:root="true" ma:fieldsID="f30f7c9b69be3e3affac153a8c371725" ns2:_="" ns3:_="">
    <xsd:import namespace="c68d5053-b23c-463c-937f-793a00af42ad"/>
    <xsd:import namespace="be4a23ae-82be-4dd6-97ba-410285dd59a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Flow_SignoffStatu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d5053-b23c-463c-937f-793a00af42a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8a5be255-2031-46cc-bc48-e7fe07b3316c}" ma:internalName="TaxCatchAll" ma:showField="CatchAllData" ma:web="c68d5053-b23c-463c-937f-793a00af42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a23ae-82be-4dd6-97ba-410285dd5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_Flow_SignoffStatus" ma:index="23" nillable="true" ma:displayName="État de validation" ma:internalName="_x00c9_tat_x0020_de_x0020_validation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Balises d’images" ma:readOnly="false" ma:fieldId="{5cf76f15-5ced-4ddc-b409-7134ff3c332f}" ma:taxonomyMulti="true" ma:sspId="9155d79a-21d8-484e-8aa8-22417e31bd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e4a23ae-82be-4dd6-97ba-410285dd59af" xsi:nil="true"/>
    <TaxCatchAll xmlns="c68d5053-b23c-463c-937f-793a00af42ad" xsi:nil="true"/>
    <lcf76f155ced4ddcb4097134ff3c332f xmlns="be4a23ae-82be-4dd6-97ba-410285dd59af">
      <Terms xmlns="http://schemas.microsoft.com/office/infopath/2007/PartnerControls"/>
    </lcf76f155ced4ddcb4097134ff3c332f>
    <_dlc_DocId xmlns="c68d5053-b23c-463c-937f-793a00af42ad">YQC7AAP4FR5Z-1481297954-9331</_dlc_DocId>
    <_dlc_DocIdUrl xmlns="c68d5053-b23c-463c-937f-793a00af42ad">
      <Url>https://labsoft.sharepoint.com/sites/qualite/_layouts/15/DocIdRedir.aspx?ID=YQC7AAP4FR5Z-1481297954-9331</Url>
      <Description>YQC7AAP4FR5Z-1481297954-9331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7940C8-CBFB-41AF-A9EC-EE6A90AEC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d5053-b23c-463c-937f-793a00af42ad"/>
    <ds:schemaRef ds:uri="be4a23ae-82be-4dd6-97ba-410285dd5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DDFB6A-3391-46CE-8792-0B8B65CC4940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e4a23ae-82be-4dd6-97ba-410285dd59af"/>
    <ds:schemaRef ds:uri="c68d5053-b23c-463c-937f-793a00af42ad"/>
  </ds:schemaRefs>
</ds:datastoreItem>
</file>

<file path=customXml/itemProps3.xml><?xml version="1.0" encoding="utf-8"?>
<ds:datastoreItem xmlns:ds="http://schemas.openxmlformats.org/officeDocument/2006/customXml" ds:itemID="{E5B9701C-4F3E-4990-9878-357F1674B24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72CA51D-AD47-4211-A2CC-A5087E26AF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Feuil1</vt:lpstr>
      <vt:lpstr>barèmes</vt:lpstr>
      <vt:lpstr>Feuil3</vt:lpstr>
      <vt:lpstr>Calcul barème</vt:lpstr>
      <vt:lpstr>régul décembre</vt:lpstr>
      <vt:lpstr>Calcul janv-nov</vt:lpstr>
      <vt:lpstr>Calcul janv-dec</vt:lpstr>
      <vt:lpstr>Feuil1!Zone_d_impression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2024-11-20T16:41:53Z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0x0101003DB7D2A2C396804785FA2DE96DEB0D30</vt:lpwstr>
  </property>
  <property fmtid="{D5CDD505-2E9C-101B-9397-08002B2CF9AE}" pid="3" name="_dlc_DocIdItemGuid">
    <vt:lpwstr>f9fa5f21-6566-49bc-81f4-9dba9203bde0</vt:lpwstr>
  </property>
  <property fmtid="{D5CDD505-2E9C-101B-9397-08002B2CF9AE}" pid="4" name="MediaServiceImageTags">
    <vt:lpwstr/>
  </property>
</Properties>
</file>