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hdynasr/Desktop/"/>
    </mc:Choice>
  </mc:AlternateContent>
  <bookViews>
    <workbookView xWindow="0" yWindow="460" windowWidth="25600" windowHeight="14380" tabRatio="500" activeTab="4"/>
  </bookViews>
  <sheets>
    <sheet name="Info" sheetId="1" r:id="rId1"/>
    <sheet name="P1A" sheetId="2" r:id="rId2"/>
    <sheet name="P1B" sheetId="3" r:id="rId3"/>
    <sheet name="P2A" sheetId="4" r:id="rId4"/>
    <sheet name="P2B" sheetId="5" r:id="rId5"/>
    <sheet name="P3A" sheetId="6" r:id="rId6"/>
    <sheet name="P3B" sheetId="7" r:id="rId7"/>
    <sheet name="P3C" sheetId="8" r:id="rId8"/>
    <sheet name="Yours" sheetId="9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0" i="9" l="1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I2" i="9"/>
  <c r="B2" i="9"/>
  <c r="H2" i="9"/>
  <c r="G2" i="9"/>
  <c r="F2" i="9"/>
  <c r="E2" i="9"/>
  <c r="D2" i="9"/>
  <c r="C2" i="9"/>
  <c r="J84" i="8"/>
  <c r="H84" i="8"/>
  <c r="H83" i="8"/>
  <c r="B83" i="8"/>
  <c r="H82" i="8"/>
  <c r="B82" i="8"/>
  <c r="H81" i="8"/>
  <c r="B81" i="8"/>
  <c r="H80" i="8"/>
  <c r="B80" i="8"/>
  <c r="H79" i="8"/>
  <c r="B79" i="8"/>
  <c r="H78" i="8"/>
  <c r="B78" i="8"/>
  <c r="H77" i="8"/>
  <c r="H76" i="8"/>
  <c r="B76" i="8"/>
  <c r="H75" i="8"/>
  <c r="B75" i="8"/>
  <c r="H74" i="8"/>
  <c r="B74" i="8"/>
  <c r="H73" i="8"/>
  <c r="B73" i="8"/>
  <c r="H72" i="8"/>
  <c r="B72" i="8"/>
  <c r="H71" i="8"/>
  <c r="B71" i="8"/>
  <c r="H70" i="8"/>
  <c r="B70" i="8"/>
  <c r="H69" i="8"/>
  <c r="B69" i="8"/>
  <c r="H68" i="8"/>
  <c r="B68" i="8"/>
  <c r="H67" i="8"/>
  <c r="B67" i="8"/>
  <c r="H66" i="8"/>
  <c r="H65" i="8"/>
  <c r="B65" i="8"/>
  <c r="H64" i="8"/>
  <c r="B64" i="8"/>
  <c r="H63" i="8"/>
  <c r="B63" i="8"/>
  <c r="H62" i="8"/>
  <c r="B62" i="8"/>
  <c r="H61" i="8"/>
  <c r="B61" i="8"/>
  <c r="H60" i="8"/>
  <c r="B60" i="8"/>
  <c r="H59" i="8"/>
  <c r="B59" i="8"/>
  <c r="H58" i="8"/>
  <c r="B58" i="8"/>
  <c r="H57" i="8"/>
  <c r="B57" i="8"/>
  <c r="H56" i="8"/>
  <c r="B56" i="8"/>
  <c r="H55" i="8"/>
  <c r="H54" i="8"/>
  <c r="B54" i="8"/>
  <c r="H53" i="8"/>
  <c r="B53" i="8"/>
  <c r="H52" i="8"/>
  <c r="B52" i="8"/>
  <c r="H51" i="8"/>
  <c r="B51" i="8"/>
  <c r="H50" i="8"/>
  <c r="B50" i="8"/>
  <c r="H49" i="8"/>
  <c r="B49" i="8"/>
  <c r="H48" i="8"/>
  <c r="B48" i="8"/>
  <c r="H47" i="8"/>
  <c r="B47" i="8"/>
  <c r="H46" i="8"/>
  <c r="B46" i="8"/>
  <c r="H45" i="8"/>
  <c r="B45" i="8"/>
  <c r="H44" i="8"/>
  <c r="H43" i="8"/>
  <c r="B43" i="8"/>
  <c r="H42" i="8"/>
  <c r="B42" i="8"/>
  <c r="H41" i="8"/>
  <c r="B41" i="8"/>
  <c r="H40" i="8"/>
  <c r="B40" i="8"/>
  <c r="H39" i="8"/>
  <c r="B39" i="8"/>
  <c r="H38" i="8"/>
  <c r="B38" i="8"/>
  <c r="H37" i="8"/>
  <c r="B37" i="8"/>
  <c r="H36" i="8"/>
  <c r="B36" i="8"/>
  <c r="H35" i="8"/>
  <c r="B35" i="8"/>
  <c r="H34" i="8"/>
  <c r="B34" i="8"/>
  <c r="H33" i="8"/>
  <c r="H32" i="8"/>
  <c r="B32" i="8"/>
  <c r="H31" i="8"/>
  <c r="B31" i="8"/>
  <c r="H30" i="8"/>
  <c r="B30" i="8"/>
  <c r="H29" i="8"/>
  <c r="B29" i="8"/>
  <c r="H28" i="8"/>
  <c r="B28" i="8"/>
  <c r="H27" i="8"/>
  <c r="B27" i="8"/>
  <c r="H26" i="8"/>
  <c r="B26" i="8"/>
  <c r="H25" i="8"/>
  <c r="B25" i="8"/>
  <c r="H24" i="8"/>
  <c r="B24" i="8"/>
  <c r="H23" i="8"/>
  <c r="B23" i="8"/>
  <c r="H22" i="8"/>
  <c r="H21" i="8"/>
  <c r="B21" i="8"/>
  <c r="H20" i="8"/>
  <c r="B20" i="8"/>
  <c r="H19" i="8"/>
  <c r="B19" i="8"/>
  <c r="H18" i="8"/>
  <c r="B18" i="8"/>
  <c r="H17" i="8"/>
  <c r="B17" i="8"/>
  <c r="H16" i="8"/>
  <c r="B16" i="8"/>
  <c r="H15" i="8"/>
  <c r="B15" i="8"/>
  <c r="H14" i="8"/>
  <c r="B14" i="8"/>
  <c r="H13" i="8"/>
  <c r="H12" i="8"/>
  <c r="B12" i="8"/>
  <c r="H11" i="8"/>
  <c r="B11" i="8"/>
  <c r="H10" i="8"/>
  <c r="B10" i="8"/>
  <c r="H9" i="8"/>
  <c r="B9" i="8"/>
  <c r="H8" i="8"/>
  <c r="B8" i="8"/>
  <c r="H7" i="8"/>
  <c r="B7" i="8"/>
  <c r="H6" i="8"/>
  <c r="B6" i="8"/>
  <c r="H5" i="8"/>
  <c r="B5" i="8"/>
  <c r="H4" i="8"/>
  <c r="B4" i="8"/>
  <c r="H3" i="8"/>
  <c r="B3" i="8"/>
  <c r="J2" i="8"/>
  <c r="C2" i="8"/>
  <c r="I2" i="8"/>
  <c r="H2" i="8"/>
  <c r="G2" i="8"/>
  <c r="F2" i="8"/>
  <c r="E2" i="8"/>
  <c r="D2" i="8"/>
  <c r="H53" i="7"/>
  <c r="H52" i="7"/>
  <c r="B52" i="7"/>
  <c r="H51" i="7"/>
  <c r="B51" i="7"/>
  <c r="H50" i="7"/>
  <c r="B50" i="7"/>
  <c r="H49" i="7"/>
  <c r="B49" i="7"/>
  <c r="H48" i="7"/>
  <c r="B48" i="7"/>
  <c r="H47" i="7"/>
  <c r="B47" i="7"/>
  <c r="H46" i="7"/>
  <c r="H45" i="7"/>
  <c r="B45" i="7"/>
  <c r="H44" i="7"/>
  <c r="B44" i="7"/>
  <c r="H43" i="7"/>
  <c r="B43" i="7"/>
  <c r="H42" i="7"/>
  <c r="B42" i="7"/>
  <c r="H41" i="7"/>
  <c r="B41" i="7"/>
  <c r="H40" i="7"/>
  <c r="B40" i="7"/>
  <c r="H39" i="7"/>
  <c r="B39" i="7"/>
  <c r="H38" i="7"/>
  <c r="B38" i="7"/>
  <c r="H37" i="7"/>
  <c r="B37" i="7"/>
  <c r="H36" i="7"/>
  <c r="B36" i="7"/>
  <c r="H35" i="7"/>
  <c r="H34" i="7"/>
  <c r="B34" i="7"/>
  <c r="H33" i="7"/>
  <c r="B33" i="7"/>
  <c r="H32" i="7"/>
  <c r="B32" i="7"/>
  <c r="H31" i="7"/>
  <c r="B31" i="7"/>
  <c r="H30" i="7"/>
  <c r="B30" i="7"/>
  <c r="H29" i="7"/>
  <c r="B29" i="7"/>
  <c r="H28" i="7"/>
  <c r="B28" i="7"/>
  <c r="H27" i="7"/>
  <c r="B27" i="7"/>
  <c r="H26" i="7"/>
  <c r="B26" i="7"/>
  <c r="H25" i="7"/>
  <c r="B25" i="7"/>
  <c r="H24" i="7"/>
  <c r="H23" i="7"/>
  <c r="B23" i="7"/>
  <c r="H22" i="7"/>
  <c r="B22" i="7"/>
  <c r="H21" i="7"/>
  <c r="B21" i="7"/>
  <c r="H20" i="7"/>
  <c r="B20" i="7"/>
  <c r="H19" i="7"/>
  <c r="B19" i="7"/>
  <c r="H18" i="7"/>
  <c r="B18" i="7"/>
  <c r="H17" i="7"/>
  <c r="B17" i="7"/>
  <c r="H16" i="7"/>
  <c r="B16" i="7"/>
  <c r="H15" i="7"/>
  <c r="B15" i="7"/>
  <c r="H14" i="7"/>
  <c r="B14" i="7"/>
  <c r="H13" i="7"/>
  <c r="H12" i="7"/>
  <c r="B12" i="7"/>
  <c r="H11" i="7"/>
  <c r="B11" i="7"/>
  <c r="H10" i="7"/>
  <c r="B10" i="7"/>
  <c r="H9" i="7"/>
  <c r="B9" i="7"/>
  <c r="H8" i="7"/>
  <c r="B8" i="7"/>
  <c r="H7" i="7"/>
  <c r="B7" i="7"/>
  <c r="H6" i="7"/>
  <c r="B6" i="7"/>
  <c r="H5" i="7"/>
  <c r="B5" i="7"/>
  <c r="H4" i="7"/>
  <c r="B4" i="7"/>
  <c r="H3" i="7"/>
  <c r="B3" i="7"/>
  <c r="C2" i="7"/>
  <c r="I2" i="7"/>
  <c r="H2" i="7"/>
  <c r="G2" i="7"/>
  <c r="F2" i="7"/>
  <c r="E2" i="7"/>
  <c r="D2" i="7"/>
  <c r="H56" i="6"/>
  <c r="H55" i="6"/>
  <c r="B55" i="6"/>
  <c r="H54" i="6"/>
  <c r="B54" i="6"/>
  <c r="H53" i="6"/>
  <c r="B53" i="6"/>
  <c r="H52" i="6"/>
  <c r="B52" i="6"/>
  <c r="H51" i="6"/>
  <c r="B51" i="6"/>
  <c r="H50" i="6"/>
  <c r="B50" i="6"/>
  <c r="H49" i="6"/>
  <c r="B49" i="6"/>
  <c r="H48" i="6"/>
  <c r="B48" i="6"/>
  <c r="H47" i="6"/>
  <c r="B47" i="6"/>
  <c r="H46" i="6"/>
  <c r="B46" i="6"/>
  <c r="H45" i="6"/>
  <c r="H44" i="6"/>
  <c r="B44" i="6"/>
  <c r="H43" i="6"/>
  <c r="B43" i="6"/>
  <c r="H42" i="6"/>
  <c r="B42" i="6"/>
  <c r="H41" i="6"/>
  <c r="B41" i="6"/>
  <c r="H40" i="6"/>
  <c r="B40" i="6"/>
  <c r="H39" i="6"/>
  <c r="B39" i="6"/>
  <c r="H38" i="6"/>
  <c r="B38" i="6"/>
  <c r="H37" i="6"/>
  <c r="B37" i="6"/>
  <c r="H36" i="6"/>
  <c r="B36" i="6"/>
  <c r="H35" i="6"/>
  <c r="B35" i="6"/>
  <c r="H34" i="6"/>
  <c r="H33" i="6"/>
  <c r="B33" i="6"/>
  <c r="H32" i="6"/>
  <c r="B32" i="6"/>
  <c r="H31" i="6"/>
  <c r="B31" i="6"/>
  <c r="H30" i="6"/>
  <c r="B30" i="6"/>
  <c r="H29" i="6"/>
  <c r="B29" i="6"/>
  <c r="H28" i="6"/>
  <c r="B28" i="6"/>
  <c r="H27" i="6"/>
  <c r="B27" i="6"/>
  <c r="H26" i="6"/>
  <c r="B26" i="6"/>
  <c r="H25" i="6"/>
  <c r="B25" i="6"/>
  <c r="H24" i="6"/>
  <c r="B24" i="6"/>
  <c r="H23" i="6"/>
  <c r="H22" i="6"/>
  <c r="B22" i="6"/>
  <c r="H21" i="6"/>
  <c r="B21" i="6"/>
  <c r="H20" i="6"/>
  <c r="B20" i="6"/>
  <c r="H19" i="6"/>
  <c r="B19" i="6"/>
  <c r="H18" i="6"/>
  <c r="B18" i="6"/>
  <c r="H17" i="6"/>
  <c r="B17" i="6"/>
  <c r="H16" i="6"/>
  <c r="B16" i="6"/>
  <c r="H15" i="6"/>
  <c r="B15" i="6"/>
  <c r="H14" i="6"/>
  <c r="B14" i="6"/>
  <c r="H13" i="6"/>
  <c r="H12" i="6"/>
  <c r="B12" i="6"/>
  <c r="H11" i="6"/>
  <c r="B11" i="6"/>
  <c r="H10" i="6"/>
  <c r="B10" i="6"/>
  <c r="J9" i="6"/>
  <c r="H9" i="6"/>
  <c r="B9" i="6"/>
  <c r="J8" i="6"/>
  <c r="H8" i="6"/>
  <c r="B8" i="6"/>
  <c r="J7" i="6"/>
  <c r="H7" i="6"/>
  <c r="B7" i="6"/>
  <c r="H6" i="6"/>
  <c r="B6" i="6"/>
  <c r="H5" i="6"/>
  <c r="B5" i="6"/>
  <c r="H4" i="6"/>
  <c r="B4" i="6"/>
  <c r="H3" i="6"/>
  <c r="B3" i="6"/>
  <c r="C2" i="6"/>
  <c r="I2" i="6"/>
  <c r="H2" i="6"/>
  <c r="G2" i="6"/>
  <c r="F2" i="6"/>
  <c r="E2" i="6"/>
  <c r="D2" i="6"/>
  <c r="H201" i="5"/>
  <c r="B201" i="5"/>
  <c r="H200" i="5"/>
  <c r="B200" i="5"/>
  <c r="H199" i="5"/>
  <c r="B199" i="5"/>
  <c r="H198" i="5"/>
  <c r="B198" i="5"/>
  <c r="H197" i="5"/>
  <c r="H196" i="5"/>
  <c r="B196" i="5"/>
  <c r="H195" i="5"/>
  <c r="B195" i="5"/>
  <c r="H194" i="5"/>
  <c r="B194" i="5"/>
  <c r="H193" i="5"/>
  <c r="B193" i="5"/>
  <c r="H192" i="5"/>
  <c r="B192" i="5"/>
  <c r="H191" i="5"/>
  <c r="B191" i="5"/>
  <c r="H190" i="5"/>
  <c r="B190" i="5"/>
  <c r="H189" i="5"/>
  <c r="B189" i="5"/>
  <c r="H188" i="5"/>
  <c r="B188" i="5"/>
  <c r="H187" i="5"/>
  <c r="B187" i="5"/>
  <c r="H186" i="5"/>
  <c r="H185" i="5"/>
  <c r="A185" i="5"/>
  <c r="H184" i="5"/>
  <c r="A184" i="5"/>
  <c r="H183" i="5"/>
  <c r="A183" i="5"/>
  <c r="H182" i="5"/>
  <c r="A182" i="5"/>
  <c r="H181" i="5"/>
  <c r="A181" i="5"/>
  <c r="H180" i="5"/>
  <c r="A180" i="5"/>
  <c r="H179" i="5"/>
  <c r="A179" i="5"/>
  <c r="H178" i="5"/>
  <c r="A178" i="5"/>
  <c r="H177" i="5"/>
  <c r="A177" i="5"/>
  <c r="H176" i="5"/>
  <c r="A176" i="5"/>
  <c r="H175" i="5"/>
  <c r="H174" i="5"/>
  <c r="A174" i="5"/>
  <c r="H173" i="5"/>
  <c r="A173" i="5"/>
  <c r="H172" i="5"/>
  <c r="A172" i="5"/>
  <c r="H171" i="5"/>
  <c r="A171" i="5"/>
  <c r="H170" i="5"/>
  <c r="A170" i="5"/>
  <c r="H169" i="5"/>
  <c r="A169" i="5"/>
  <c r="H168" i="5"/>
  <c r="A168" i="5"/>
  <c r="H167" i="5"/>
  <c r="A167" i="5"/>
  <c r="H166" i="5"/>
  <c r="A166" i="5"/>
  <c r="H165" i="5"/>
  <c r="A165" i="5"/>
  <c r="H164" i="5"/>
  <c r="H163" i="5"/>
  <c r="H162" i="5"/>
  <c r="A162" i="5"/>
  <c r="H161" i="5"/>
  <c r="A161" i="5"/>
  <c r="H160" i="5"/>
  <c r="A160" i="5"/>
  <c r="H159" i="5"/>
  <c r="A159" i="5"/>
  <c r="H158" i="5"/>
  <c r="A158" i="5"/>
  <c r="H157" i="5"/>
  <c r="A157" i="5"/>
  <c r="H156" i="5"/>
  <c r="A156" i="5"/>
  <c r="H155" i="5"/>
  <c r="A155" i="5"/>
  <c r="H154" i="5"/>
  <c r="A154" i="5"/>
  <c r="H153" i="5"/>
  <c r="H152" i="5"/>
  <c r="A152" i="5"/>
  <c r="H151" i="5"/>
  <c r="A151" i="5"/>
  <c r="H150" i="5"/>
  <c r="A150" i="5"/>
  <c r="H149" i="5"/>
  <c r="A149" i="5"/>
  <c r="H148" i="5"/>
  <c r="A148" i="5"/>
  <c r="H147" i="5"/>
  <c r="A147" i="5"/>
  <c r="H146" i="5"/>
  <c r="A146" i="5"/>
  <c r="H145" i="5"/>
  <c r="A145" i="5"/>
  <c r="H144" i="5"/>
  <c r="A144" i="5"/>
  <c r="H143" i="5"/>
  <c r="A143" i="5"/>
  <c r="H142" i="5"/>
  <c r="H141" i="5"/>
  <c r="A141" i="5"/>
  <c r="H140" i="5"/>
  <c r="A140" i="5"/>
  <c r="H139" i="5"/>
  <c r="A139" i="5"/>
  <c r="H138" i="5"/>
  <c r="A138" i="5"/>
  <c r="H137" i="5"/>
  <c r="A137" i="5"/>
  <c r="H136" i="5"/>
  <c r="A136" i="5"/>
  <c r="H135" i="5"/>
  <c r="A135" i="5"/>
  <c r="H134" i="5"/>
  <c r="A134" i="5"/>
  <c r="H133" i="5"/>
  <c r="A133" i="5"/>
  <c r="H132" i="5"/>
  <c r="A132" i="5"/>
  <c r="H131" i="5"/>
  <c r="H130" i="5"/>
  <c r="A130" i="5"/>
  <c r="H129" i="5"/>
  <c r="A129" i="5"/>
  <c r="H128" i="5"/>
  <c r="A128" i="5"/>
  <c r="H127" i="5"/>
  <c r="A127" i="5"/>
  <c r="H126" i="5"/>
  <c r="A126" i="5"/>
  <c r="H125" i="5"/>
  <c r="A125" i="5"/>
  <c r="H124" i="5"/>
  <c r="A124" i="5"/>
  <c r="H123" i="5"/>
  <c r="A123" i="5"/>
  <c r="H122" i="5"/>
  <c r="A122" i="5"/>
  <c r="H121" i="5"/>
  <c r="A121" i="5"/>
  <c r="H120" i="5"/>
  <c r="H119" i="5"/>
  <c r="A119" i="5"/>
  <c r="H118" i="5"/>
  <c r="A118" i="5"/>
  <c r="H117" i="5"/>
  <c r="A117" i="5"/>
  <c r="H116" i="5"/>
  <c r="A116" i="5"/>
  <c r="H115" i="5"/>
  <c r="A115" i="5"/>
  <c r="H114" i="5"/>
  <c r="A114" i="5"/>
  <c r="H113" i="5"/>
  <c r="A113" i="5"/>
  <c r="H112" i="5"/>
  <c r="A112" i="5"/>
  <c r="H111" i="5"/>
  <c r="A111" i="5"/>
  <c r="H110" i="5"/>
  <c r="A110" i="5"/>
  <c r="H109" i="5"/>
  <c r="H108" i="5"/>
  <c r="H107" i="5"/>
  <c r="H106" i="5"/>
  <c r="H105" i="5"/>
  <c r="B105" i="5"/>
  <c r="H104" i="5"/>
  <c r="B104" i="5"/>
  <c r="H103" i="5"/>
  <c r="B103" i="5"/>
  <c r="H102" i="5"/>
  <c r="B102" i="5"/>
  <c r="H101" i="5"/>
  <c r="B101" i="5"/>
  <c r="H100" i="5"/>
  <c r="B100" i="5"/>
  <c r="H99" i="5"/>
  <c r="B99" i="5"/>
  <c r="H98" i="5"/>
  <c r="B98" i="5"/>
  <c r="H97" i="5"/>
  <c r="B97" i="5"/>
  <c r="H96" i="5"/>
  <c r="B96" i="5"/>
  <c r="J95" i="5"/>
  <c r="H95" i="5"/>
  <c r="J94" i="5"/>
  <c r="H94" i="5"/>
  <c r="H93" i="5"/>
  <c r="A93" i="5"/>
  <c r="H92" i="5"/>
  <c r="A92" i="5"/>
  <c r="H91" i="5"/>
  <c r="A91" i="5"/>
  <c r="H90" i="5"/>
  <c r="A90" i="5"/>
  <c r="H89" i="5"/>
  <c r="A89" i="5"/>
  <c r="H88" i="5"/>
  <c r="A88" i="5"/>
  <c r="H87" i="5"/>
  <c r="A87" i="5"/>
  <c r="H86" i="5"/>
  <c r="A86" i="5"/>
  <c r="H85" i="5"/>
  <c r="A85" i="5"/>
  <c r="H84" i="5"/>
  <c r="A84" i="5"/>
  <c r="J83" i="5"/>
  <c r="H83" i="5"/>
  <c r="J82" i="5"/>
  <c r="H82" i="5"/>
  <c r="J81" i="5"/>
  <c r="H81" i="5"/>
  <c r="H80" i="5"/>
  <c r="A80" i="5"/>
  <c r="H79" i="5"/>
  <c r="A79" i="5"/>
  <c r="H78" i="5"/>
  <c r="A78" i="5"/>
  <c r="H77" i="5"/>
  <c r="A77" i="5"/>
  <c r="H76" i="5"/>
  <c r="A76" i="5"/>
  <c r="H75" i="5"/>
  <c r="A75" i="5"/>
  <c r="H74" i="5"/>
  <c r="A74" i="5"/>
  <c r="H73" i="5"/>
  <c r="A73" i="5"/>
  <c r="H72" i="5"/>
  <c r="A72" i="5"/>
  <c r="H71" i="5"/>
  <c r="A71" i="5"/>
  <c r="J70" i="5"/>
  <c r="H70" i="5"/>
  <c r="J69" i="5"/>
  <c r="H69" i="5"/>
  <c r="H68" i="5"/>
  <c r="A68" i="5"/>
  <c r="H67" i="5"/>
  <c r="A67" i="5"/>
  <c r="H66" i="5"/>
  <c r="A66" i="5"/>
  <c r="H65" i="5"/>
  <c r="A65" i="5"/>
  <c r="H64" i="5"/>
  <c r="A64" i="5"/>
  <c r="H63" i="5"/>
  <c r="A63" i="5"/>
  <c r="H62" i="5"/>
  <c r="A62" i="5"/>
  <c r="H61" i="5"/>
  <c r="A61" i="5"/>
  <c r="H60" i="5"/>
  <c r="A60" i="5"/>
  <c r="H59" i="5"/>
  <c r="A59" i="5"/>
  <c r="J58" i="5"/>
  <c r="H58" i="5"/>
  <c r="J57" i="5"/>
  <c r="H57" i="5"/>
  <c r="J56" i="5"/>
  <c r="H56" i="5"/>
  <c r="J55" i="5"/>
  <c r="H55" i="5"/>
  <c r="H54" i="5"/>
  <c r="A54" i="5"/>
  <c r="H53" i="5"/>
  <c r="A53" i="5"/>
  <c r="H52" i="5"/>
  <c r="A52" i="5"/>
  <c r="H51" i="5"/>
  <c r="A51" i="5"/>
  <c r="H50" i="5"/>
  <c r="A50" i="5"/>
  <c r="H49" i="5"/>
  <c r="A49" i="5"/>
  <c r="H48" i="5"/>
  <c r="A48" i="5"/>
  <c r="H47" i="5"/>
  <c r="A47" i="5"/>
  <c r="H46" i="5"/>
  <c r="A46" i="5"/>
  <c r="H45" i="5"/>
  <c r="A45" i="5"/>
  <c r="J44" i="5"/>
  <c r="H44" i="5"/>
  <c r="J43" i="5"/>
  <c r="H43" i="5"/>
  <c r="H42" i="5"/>
  <c r="A42" i="5"/>
  <c r="H41" i="5"/>
  <c r="A41" i="5"/>
  <c r="H40" i="5"/>
  <c r="A40" i="5"/>
  <c r="H39" i="5"/>
  <c r="A39" i="5"/>
  <c r="H38" i="5"/>
  <c r="A38" i="5"/>
  <c r="H37" i="5"/>
  <c r="A37" i="5"/>
  <c r="H36" i="5"/>
  <c r="A36" i="5"/>
  <c r="H35" i="5"/>
  <c r="A35" i="5"/>
  <c r="H34" i="5"/>
  <c r="A34" i="5"/>
  <c r="H33" i="5"/>
  <c r="A33" i="5"/>
  <c r="J32" i="5"/>
  <c r="H32" i="5"/>
  <c r="J31" i="5"/>
  <c r="H31" i="5"/>
  <c r="J30" i="5"/>
  <c r="H30" i="5"/>
  <c r="J29" i="5"/>
  <c r="H29" i="5"/>
  <c r="H28" i="5"/>
  <c r="A28" i="5"/>
  <c r="H27" i="5"/>
  <c r="A27" i="5"/>
  <c r="H26" i="5"/>
  <c r="A26" i="5"/>
  <c r="H25" i="5"/>
  <c r="A25" i="5"/>
  <c r="H24" i="5"/>
  <c r="A24" i="5"/>
  <c r="H23" i="5"/>
  <c r="A23" i="5"/>
  <c r="H22" i="5"/>
  <c r="A22" i="5"/>
  <c r="H21" i="5"/>
  <c r="A21" i="5"/>
  <c r="H20" i="5"/>
  <c r="A20" i="5"/>
  <c r="H19" i="5"/>
  <c r="A19" i="5"/>
  <c r="J18" i="5"/>
  <c r="H18" i="5"/>
  <c r="J17" i="5"/>
  <c r="H17" i="5"/>
  <c r="H16" i="5"/>
  <c r="A16" i="5"/>
  <c r="H15" i="5"/>
  <c r="A15" i="5"/>
  <c r="H14" i="5"/>
  <c r="A14" i="5"/>
  <c r="H13" i="5"/>
  <c r="A13" i="5"/>
  <c r="H12" i="5"/>
  <c r="A12" i="5"/>
  <c r="H11" i="5"/>
  <c r="A11" i="5"/>
  <c r="H10" i="5"/>
  <c r="A10" i="5"/>
  <c r="H9" i="5"/>
  <c r="A9" i="5"/>
  <c r="H8" i="5"/>
  <c r="A8" i="5"/>
  <c r="H7" i="5"/>
  <c r="A7" i="5"/>
  <c r="J6" i="5"/>
  <c r="H6" i="5"/>
  <c r="J5" i="5"/>
  <c r="H5" i="5"/>
  <c r="J4" i="5"/>
  <c r="H4" i="5"/>
  <c r="J3" i="5"/>
  <c r="H3" i="5"/>
  <c r="J2" i="5"/>
  <c r="C2" i="5"/>
  <c r="I2" i="5"/>
  <c r="H2" i="5"/>
  <c r="G2" i="5"/>
  <c r="F2" i="5"/>
  <c r="E2" i="5"/>
  <c r="D2" i="5"/>
  <c r="H160" i="4"/>
  <c r="B160" i="4"/>
  <c r="H159" i="4"/>
  <c r="B159" i="4"/>
  <c r="H158" i="4"/>
  <c r="B158" i="4"/>
  <c r="H157" i="4"/>
  <c r="B157" i="4"/>
  <c r="H156" i="4"/>
  <c r="B156" i="4"/>
  <c r="H155" i="4"/>
  <c r="B155" i="4"/>
  <c r="H154" i="4"/>
  <c r="H153" i="4"/>
  <c r="B153" i="4"/>
  <c r="H152" i="4"/>
  <c r="B152" i="4"/>
  <c r="H151" i="4"/>
  <c r="B151" i="4"/>
  <c r="H150" i="4"/>
  <c r="B150" i="4"/>
  <c r="H149" i="4"/>
  <c r="B149" i="4"/>
  <c r="H148" i="4"/>
  <c r="B148" i="4"/>
  <c r="H147" i="4"/>
  <c r="B147" i="4"/>
  <c r="H146" i="4"/>
  <c r="B146" i="4"/>
  <c r="H145" i="4"/>
  <c r="H144" i="4"/>
  <c r="B144" i="4"/>
  <c r="H143" i="4"/>
  <c r="B143" i="4"/>
  <c r="H142" i="4"/>
  <c r="B142" i="4"/>
  <c r="H141" i="4"/>
  <c r="B141" i="4"/>
  <c r="H140" i="4"/>
  <c r="B140" i="4"/>
  <c r="H139" i="4"/>
  <c r="B139" i="4"/>
  <c r="H138" i="4"/>
  <c r="B138" i="4"/>
  <c r="H137" i="4"/>
  <c r="B137" i="4"/>
  <c r="H136" i="4"/>
  <c r="B136" i="4"/>
  <c r="H135" i="4"/>
  <c r="H134" i="4"/>
  <c r="B134" i="4"/>
  <c r="H133" i="4"/>
  <c r="B133" i="4"/>
  <c r="H132" i="4"/>
  <c r="B132" i="4"/>
  <c r="H131" i="4"/>
  <c r="B131" i="4"/>
  <c r="H130" i="4"/>
  <c r="B130" i="4"/>
  <c r="H129" i="4"/>
  <c r="B129" i="4"/>
  <c r="H128" i="4"/>
  <c r="B128" i="4"/>
  <c r="H127" i="4"/>
  <c r="B127" i="4"/>
  <c r="H126" i="4"/>
  <c r="B126" i="4"/>
  <c r="H125" i="4"/>
  <c r="H124" i="4"/>
  <c r="B124" i="4"/>
  <c r="H123" i="4"/>
  <c r="B123" i="4"/>
  <c r="H122" i="4"/>
  <c r="B122" i="4"/>
  <c r="H121" i="4"/>
  <c r="B121" i="4"/>
  <c r="H120" i="4"/>
  <c r="B120" i="4"/>
  <c r="H119" i="4"/>
  <c r="B119" i="4"/>
  <c r="H118" i="4"/>
  <c r="B118" i="4"/>
  <c r="H117" i="4"/>
  <c r="B117" i="4"/>
  <c r="H116" i="4"/>
  <c r="B116" i="4"/>
  <c r="H115" i="4"/>
  <c r="B115" i="4"/>
  <c r="H114" i="4"/>
  <c r="H113" i="4"/>
  <c r="B113" i="4"/>
  <c r="H112" i="4"/>
  <c r="B112" i="4"/>
  <c r="H111" i="4"/>
  <c r="B111" i="4"/>
  <c r="H110" i="4"/>
  <c r="B110" i="4"/>
  <c r="H109" i="4"/>
  <c r="B109" i="4"/>
  <c r="H108" i="4"/>
  <c r="B108" i="4"/>
  <c r="H107" i="4"/>
  <c r="B107" i="4"/>
  <c r="H106" i="4"/>
  <c r="B106" i="4"/>
  <c r="H105" i="4"/>
  <c r="B105" i="4"/>
  <c r="H104" i="4"/>
  <c r="B104" i="4"/>
  <c r="H103" i="4"/>
  <c r="H102" i="4"/>
  <c r="B102" i="4"/>
  <c r="H101" i="4"/>
  <c r="B101" i="4"/>
  <c r="H100" i="4"/>
  <c r="B100" i="4"/>
  <c r="H99" i="4"/>
  <c r="B99" i="4"/>
  <c r="H98" i="4"/>
  <c r="B98" i="4"/>
  <c r="H97" i="4"/>
  <c r="B97" i="4"/>
  <c r="H96" i="4"/>
  <c r="B96" i="4"/>
  <c r="H95" i="4"/>
  <c r="B95" i="4"/>
  <c r="H94" i="4"/>
  <c r="B94" i="4"/>
  <c r="H93" i="4"/>
  <c r="B93" i="4"/>
  <c r="H92" i="4"/>
  <c r="H91" i="4"/>
  <c r="H90" i="4"/>
  <c r="H89" i="4"/>
  <c r="H88" i="4"/>
  <c r="B88" i="4"/>
  <c r="H87" i="4"/>
  <c r="B87" i="4"/>
  <c r="H86" i="4"/>
  <c r="B86" i="4"/>
  <c r="H85" i="4"/>
  <c r="B85" i="4"/>
  <c r="H84" i="4"/>
  <c r="B84" i="4"/>
  <c r="H83" i="4"/>
  <c r="B83" i="4"/>
  <c r="H82" i="4"/>
  <c r="B82" i="4"/>
  <c r="H81" i="4"/>
  <c r="B81" i="4"/>
  <c r="H80" i="4"/>
  <c r="B80" i="4"/>
  <c r="H79" i="4"/>
  <c r="B79" i="4"/>
  <c r="J78" i="4"/>
  <c r="H78" i="4"/>
  <c r="J77" i="4"/>
  <c r="H77" i="4"/>
  <c r="H76" i="4"/>
  <c r="B76" i="4"/>
  <c r="H75" i="4"/>
  <c r="B75" i="4"/>
  <c r="H74" i="4"/>
  <c r="B74" i="4"/>
  <c r="H73" i="4"/>
  <c r="B73" i="4"/>
  <c r="H72" i="4"/>
  <c r="B72" i="4"/>
  <c r="H71" i="4"/>
  <c r="B71" i="4"/>
  <c r="H70" i="4"/>
  <c r="B70" i="4"/>
  <c r="H69" i="4"/>
  <c r="B69" i="4"/>
  <c r="H68" i="4"/>
  <c r="B68" i="4"/>
  <c r="H67" i="4"/>
  <c r="B67" i="4"/>
  <c r="J66" i="4"/>
  <c r="H66" i="4"/>
  <c r="J65" i="4"/>
  <c r="H65" i="4"/>
  <c r="H64" i="4"/>
  <c r="B64" i="4"/>
  <c r="H63" i="4"/>
  <c r="B63" i="4"/>
  <c r="H62" i="4"/>
  <c r="B62" i="4"/>
  <c r="H61" i="4"/>
  <c r="B61" i="4"/>
  <c r="H60" i="4"/>
  <c r="B60" i="4"/>
  <c r="H59" i="4"/>
  <c r="B59" i="4"/>
  <c r="H58" i="4"/>
  <c r="B58" i="4"/>
  <c r="H57" i="4"/>
  <c r="B57" i="4"/>
  <c r="H56" i="4"/>
  <c r="B56" i="4"/>
  <c r="H55" i="4"/>
  <c r="B55" i="4"/>
  <c r="J54" i="4"/>
  <c r="H54" i="4"/>
  <c r="H53" i="4"/>
  <c r="B53" i="4"/>
  <c r="H52" i="4"/>
  <c r="B52" i="4"/>
  <c r="H51" i="4"/>
  <c r="B51" i="4"/>
  <c r="H50" i="4"/>
  <c r="B50" i="4"/>
  <c r="H49" i="4"/>
  <c r="B49" i="4"/>
  <c r="H48" i="4"/>
  <c r="B48" i="4"/>
  <c r="H47" i="4"/>
  <c r="B47" i="4"/>
  <c r="H46" i="4"/>
  <c r="B46" i="4"/>
  <c r="H45" i="4"/>
  <c r="B45" i="4"/>
  <c r="H44" i="4"/>
  <c r="B44" i="4"/>
  <c r="J43" i="4"/>
  <c r="H43" i="4"/>
  <c r="J42" i="4"/>
  <c r="H42" i="4"/>
  <c r="J41" i="4"/>
  <c r="H41" i="4"/>
  <c r="H40" i="4"/>
  <c r="B40" i="4"/>
  <c r="H39" i="4"/>
  <c r="B39" i="4"/>
  <c r="H38" i="4"/>
  <c r="B38" i="4"/>
  <c r="H37" i="4"/>
  <c r="B37" i="4"/>
  <c r="H36" i="4"/>
  <c r="B36" i="4"/>
  <c r="H35" i="4"/>
  <c r="B35" i="4"/>
  <c r="H34" i="4"/>
  <c r="B34" i="4"/>
  <c r="H33" i="4"/>
  <c r="B33" i="4"/>
  <c r="H32" i="4"/>
  <c r="B32" i="4"/>
  <c r="H31" i="4"/>
  <c r="B31" i="4"/>
  <c r="J30" i="4"/>
  <c r="H30" i="4"/>
  <c r="J29" i="4"/>
  <c r="H29" i="4"/>
  <c r="J28" i="4"/>
  <c r="H28" i="4"/>
  <c r="H27" i="4"/>
  <c r="B27" i="4"/>
  <c r="H26" i="4"/>
  <c r="B26" i="4"/>
  <c r="H25" i="4"/>
  <c r="B25" i="4"/>
  <c r="H24" i="4"/>
  <c r="B24" i="4"/>
  <c r="H23" i="4"/>
  <c r="B23" i="4"/>
  <c r="H22" i="4"/>
  <c r="B22" i="4"/>
  <c r="H21" i="4"/>
  <c r="B21" i="4"/>
  <c r="H20" i="4"/>
  <c r="B20" i="4"/>
  <c r="H19" i="4"/>
  <c r="B19" i="4"/>
  <c r="H18" i="4"/>
  <c r="B18" i="4"/>
  <c r="J17" i="4"/>
  <c r="H17" i="4"/>
  <c r="J16" i="4"/>
  <c r="H16" i="4"/>
  <c r="J15" i="4"/>
  <c r="H15" i="4"/>
  <c r="H14" i="4"/>
  <c r="B14" i="4"/>
  <c r="H13" i="4"/>
  <c r="B13" i="4"/>
  <c r="H12" i="4"/>
  <c r="B12" i="4"/>
  <c r="H11" i="4"/>
  <c r="B11" i="4"/>
  <c r="H10" i="4"/>
  <c r="B10" i="4"/>
  <c r="H9" i="4"/>
  <c r="B9" i="4"/>
  <c r="H8" i="4"/>
  <c r="B8" i="4"/>
  <c r="H7" i="4"/>
  <c r="B7" i="4"/>
  <c r="H6" i="4"/>
  <c r="B6" i="4"/>
  <c r="H5" i="4"/>
  <c r="B5" i="4"/>
  <c r="J4" i="4"/>
  <c r="H4" i="4"/>
  <c r="J3" i="4"/>
  <c r="H3" i="4"/>
  <c r="J2" i="4"/>
  <c r="C2" i="4"/>
  <c r="I2" i="4"/>
  <c r="H2" i="4"/>
  <c r="G2" i="4"/>
  <c r="F2" i="4"/>
  <c r="E2" i="4"/>
  <c r="D2" i="4"/>
  <c r="H141" i="3"/>
  <c r="B141" i="3"/>
  <c r="H140" i="3"/>
  <c r="B140" i="3"/>
  <c r="H139" i="3"/>
  <c r="B139" i="3"/>
  <c r="H138" i="3"/>
  <c r="B138" i="3"/>
  <c r="H137" i="3"/>
  <c r="H136" i="3"/>
  <c r="B136" i="3"/>
  <c r="H135" i="3"/>
  <c r="B135" i="3"/>
  <c r="H134" i="3"/>
  <c r="B134" i="3"/>
  <c r="H133" i="3"/>
  <c r="B133" i="3"/>
  <c r="H132" i="3"/>
  <c r="B132" i="3"/>
  <c r="H131" i="3"/>
  <c r="B131" i="3"/>
  <c r="H130" i="3"/>
  <c r="B130" i="3"/>
  <c r="H129" i="3"/>
  <c r="B129" i="3"/>
  <c r="H128" i="3"/>
  <c r="B128" i="3"/>
  <c r="H127" i="3"/>
  <c r="H126" i="3"/>
  <c r="B126" i="3"/>
  <c r="H125" i="3"/>
  <c r="B125" i="3"/>
  <c r="H124" i="3"/>
  <c r="B124" i="3"/>
  <c r="H123" i="3"/>
  <c r="B123" i="3"/>
  <c r="H122" i="3"/>
  <c r="B122" i="3"/>
  <c r="H121" i="3"/>
  <c r="B121" i="3"/>
  <c r="H120" i="3"/>
  <c r="B120" i="3"/>
  <c r="H119" i="3"/>
  <c r="B119" i="3"/>
  <c r="H118" i="3"/>
  <c r="B118" i="3"/>
  <c r="H117" i="3"/>
  <c r="B117" i="3"/>
  <c r="H116" i="3"/>
  <c r="H115" i="3"/>
  <c r="B115" i="3"/>
  <c r="H114" i="3"/>
  <c r="B114" i="3"/>
  <c r="H113" i="3"/>
  <c r="B113" i="3"/>
  <c r="H112" i="3"/>
  <c r="B112" i="3"/>
  <c r="H111" i="3"/>
  <c r="B111" i="3"/>
  <c r="H110" i="3"/>
  <c r="B110" i="3"/>
  <c r="H109" i="3"/>
  <c r="B109" i="3"/>
  <c r="H108" i="3"/>
  <c r="B108" i="3"/>
  <c r="H107" i="3"/>
  <c r="B107" i="3"/>
  <c r="H106" i="3"/>
  <c r="B106" i="3"/>
  <c r="H105" i="3"/>
  <c r="H104" i="3"/>
  <c r="B104" i="3"/>
  <c r="H103" i="3"/>
  <c r="B103" i="3"/>
  <c r="H102" i="3"/>
  <c r="B102" i="3"/>
  <c r="H101" i="3"/>
  <c r="B101" i="3"/>
  <c r="H100" i="3"/>
  <c r="B100" i="3"/>
  <c r="H99" i="3"/>
  <c r="B99" i="3"/>
  <c r="H98" i="3"/>
  <c r="B98" i="3"/>
  <c r="H97" i="3"/>
  <c r="B97" i="3"/>
  <c r="H96" i="3"/>
  <c r="B96" i="3"/>
  <c r="H95" i="3"/>
  <c r="B95" i="3"/>
  <c r="H94" i="3"/>
  <c r="H93" i="3"/>
  <c r="H92" i="3"/>
  <c r="H91" i="3"/>
  <c r="H90" i="3"/>
  <c r="B90" i="3"/>
  <c r="H89" i="3"/>
  <c r="B89" i="3"/>
  <c r="H88" i="3"/>
  <c r="B88" i="3"/>
  <c r="H87" i="3"/>
  <c r="B87" i="3"/>
  <c r="H86" i="3"/>
  <c r="B86" i="3"/>
  <c r="H85" i="3"/>
  <c r="B85" i="3"/>
  <c r="H84" i="3"/>
  <c r="B84" i="3"/>
  <c r="H83" i="3"/>
  <c r="B83" i="3"/>
  <c r="H82" i="3"/>
  <c r="B82" i="3"/>
  <c r="H81" i="3"/>
  <c r="B81" i="3"/>
  <c r="J80" i="3"/>
  <c r="H80" i="3"/>
  <c r="J79" i="3"/>
  <c r="H79" i="3"/>
  <c r="H78" i="3"/>
  <c r="B78" i="3"/>
  <c r="H77" i="3"/>
  <c r="B77" i="3"/>
  <c r="H76" i="3"/>
  <c r="B76" i="3"/>
  <c r="H75" i="3"/>
  <c r="B75" i="3"/>
  <c r="H74" i="3"/>
  <c r="B74" i="3"/>
  <c r="H73" i="3"/>
  <c r="B73" i="3"/>
  <c r="H72" i="3"/>
  <c r="B72" i="3"/>
  <c r="H71" i="3"/>
  <c r="B71" i="3"/>
  <c r="H70" i="3"/>
  <c r="B70" i="3"/>
  <c r="H69" i="3"/>
  <c r="B69" i="3"/>
  <c r="J68" i="3"/>
  <c r="H68" i="3"/>
  <c r="J67" i="3"/>
  <c r="H67" i="3"/>
  <c r="H66" i="3"/>
  <c r="B66" i="3"/>
  <c r="H65" i="3"/>
  <c r="B65" i="3"/>
  <c r="H64" i="3"/>
  <c r="B64" i="3"/>
  <c r="H63" i="3"/>
  <c r="B63" i="3"/>
  <c r="H62" i="3"/>
  <c r="B62" i="3"/>
  <c r="H61" i="3"/>
  <c r="B61" i="3"/>
  <c r="H60" i="3"/>
  <c r="B60" i="3"/>
  <c r="H59" i="3"/>
  <c r="B59" i="3"/>
  <c r="H58" i="3"/>
  <c r="B58" i="3"/>
  <c r="H57" i="3"/>
  <c r="B57" i="3"/>
  <c r="J56" i="3"/>
  <c r="H56" i="3"/>
  <c r="J55" i="3"/>
  <c r="H55" i="3"/>
  <c r="H54" i="3"/>
  <c r="B54" i="3"/>
  <c r="H53" i="3"/>
  <c r="B53" i="3"/>
  <c r="H52" i="3"/>
  <c r="B52" i="3"/>
  <c r="H51" i="3"/>
  <c r="B51" i="3"/>
  <c r="H50" i="3"/>
  <c r="B50" i="3"/>
  <c r="H49" i="3"/>
  <c r="B49" i="3"/>
  <c r="H48" i="3"/>
  <c r="B48" i="3"/>
  <c r="H47" i="3"/>
  <c r="B47" i="3"/>
  <c r="H46" i="3"/>
  <c r="B46" i="3"/>
  <c r="H45" i="3"/>
  <c r="B45" i="3"/>
  <c r="J44" i="3"/>
  <c r="H44" i="3"/>
  <c r="J43" i="3"/>
  <c r="H43" i="3"/>
  <c r="J42" i="3"/>
  <c r="H42" i="3"/>
  <c r="J41" i="3"/>
  <c r="H41" i="3"/>
  <c r="J40" i="3"/>
  <c r="H40" i="3"/>
  <c r="J39" i="3"/>
  <c r="H39" i="3"/>
  <c r="H38" i="3"/>
  <c r="B38" i="3"/>
  <c r="H37" i="3"/>
  <c r="B37" i="3"/>
  <c r="H36" i="3"/>
  <c r="B36" i="3"/>
  <c r="H35" i="3"/>
  <c r="B35" i="3"/>
  <c r="H34" i="3"/>
  <c r="B34" i="3"/>
  <c r="H33" i="3"/>
  <c r="B33" i="3"/>
  <c r="H32" i="3"/>
  <c r="B32" i="3"/>
  <c r="H31" i="3"/>
  <c r="B31" i="3"/>
  <c r="H30" i="3"/>
  <c r="B30" i="3"/>
  <c r="H29" i="3"/>
  <c r="B29" i="3"/>
  <c r="J28" i="3"/>
  <c r="H28" i="3"/>
  <c r="J27" i="3"/>
  <c r="H27" i="3"/>
  <c r="H26" i="3"/>
  <c r="B26" i="3"/>
  <c r="H25" i="3"/>
  <c r="B25" i="3"/>
  <c r="H24" i="3"/>
  <c r="B24" i="3"/>
  <c r="H23" i="3"/>
  <c r="B23" i="3"/>
  <c r="H22" i="3"/>
  <c r="B22" i="3"/>
  <c r="H21" i="3"/>
  <c r="B21" i="3"/>
  <c r="H20" i="3"/>
  <c r="B20" i="3"/>
  <c r="H19" i="3"/>
  <c r="B19" i="3"/>
  <c r="H18" i="3"/>
  <c r="B18" i="3"/>
  <c r="H17" i="3"/>
  <c r="B17" i="3"/>
  <c r="J16" i="3"/>
  <c r="H16" i="3"/>
  <c r="J15" i="3"/>
  <c r="H15" i="3"/>
  <c r="H14" i="3"/>
  <c r="B14" i="3"/>
  <c r="H13" i="3"/>
  <c r="B13" i="3"/>
  <c r="H12" i="3"/>
  <c r="B12" i="3"/>
  <c r="H11" i="3"/>
  <c r="B11" i="3"/>
  <c r="H10" i="3"/>
  <c r="B10" i="3"/>
  <c r="H9" i="3"/>
  <c r="B9" i="3"/>
  <c r="H8" i="3"/>
  <c r="B8" i="3"/>
  <c r="H7" i="3"/>
  <c r="B7" i="3"/>
  <c r="H6" i="3"/>
  <c r="B6" i="3"/>
  <c r="H5" i="3"/>
  <c r="B5" i="3"/>
  <c r="J4" i="3"/>
  <c r="H4" i="3"/>
  <c r="J3" i="3"/>
  <c r="H3" i="3"/>
  <c r="J2" i="3"/>
  <c r="C2" i="3"/>
  <c r="I2" i="3"/>
  <c r="H2" i="3"/>
  <c r="G2" i="3"/>
  <c r="F2" i="3"/>
  <c r="E2" i="3"/>
  <c r="D2" i="3"/>
  <c r="H133" i="2"/>
  <c r="B133" i="2"/>
  <c r="H132" i="2"/>
  <c r="B132" i="2"/>
  <c r="H131" i="2"/>
  <c r="B131" i="2"/>
  <c r="H130" i="2"/>
  <c r="B130" i="2"/>
  <c r="H129" i="2"/>
  <c r="B129" i="2"/>
  <c r="H128" i="2"/>
  <c r="B128" i="2"/>
  <c r="H127" i="2"/>
  <c r="B127" i="2"/>
  <c r="H126" i="2"/>
  <c r="B126" i="2"/>
  <c r="H125" i="2"/>
  <c r="B125" i="2"/>
  <c r="H124" i="2"/>
  <c r="B124" i="2"/>
  <c r="H123" i="2"/>
  <c r="H122" i="2"/>
  <c r="B122" i="2"/>
  <c r="H121" i="2"/>
  <c r="B121" i="2"/>
  <c r="H120" i="2"/>
  <c r="B120" i="2"/>
  <c r="H119" i="2"/>
  <c r="B119" i="2"/>
  <c r="H118" i="2"/>
  <c r="B118" i="2"/>
  <c r="H117" i="2"/>
  <c r="B117" i="2"/>
  <c r="H116" i="2"/>
  <c r="B116" i="2"/>
  <c r="H115" i="2"/>
  <c r="B115" i="2"/>
  <c r="H114" i="2"/>
  <c r="B114" i="2"/>
  <c r="H113" i="2"/>
  <c r="B113" i="2"/>
  <c r="H112" i="2"/>
  <c r="H111" i="2"/>
  <c r="B111" i="2"/>
  <c r="H110" i="2"/>
  <c r="B110" i="2"/>
  <c r="H109" i="2"/>
  <c r="B109" i="2"/>
  <c r="H108" i="2"/>
  <c r="B108" i="2"/>
  <c r="H107" i="2"/>
  <c r="B107" i="2"/>
  <c r="H106" i="2"/>
  <c r="B106" i="2"/>
  <c r="H105" i="2"/>
  <c r="B105" i="2"/>
  <c r="H104" i="2"/>
  <c r="B104" i="2"/>
  <c r="H103" i="2"/>
  <c r="B103" i="2"/>
  <c r="H102" i="2"/>
  <c r="B102" i="2"/>
  <c r="H101" i="2"/>
  <c r="H100" i="2"/>
  <c r="B100" i="2"/>
  <c r="H99" i="2"/>
  <c r="B99" i="2"/>
  <c r="H98" i="2"/>
  <c r="B98" i="2"/>
  <c r="H97" i="2"/>
  <c r="B97" i="2"/>
  <c r="H96" i="2"/>
  <c r="B96" i="2"/>
  <c r="H95" i="2"/>
  <c r="B95" i="2"/>
  <c r="H94" i="2"/>
  <c r="B94" i="2"/>
  <c r="H93" i="2"/>
  <c r="B93" i="2"/>
  <c r="H92" i="2"/>
  <c r="B92" i="2"/>
  <c r="H91" i="2"/>
  <c r="B91" i="2"/>
  <c r="H90" i="2"/>
  <c r="H89" i="2"/>
  <c r="B89" i="2"/>
  <c r="H88" i="2"/>
  <c r="B88" i="2"/>
  <c r="H87" i="2"/>
  <c r="B87" i="2"/>
  <c r="H86" i="2"/>
  <c r="B86" i="2"/>
  <c r="H85" i="2"/>
  <c r="B85" i="2"/>
  <c r="H84" i="2"/>
  <c r="B84" i="2"/>
  <c r="H83" i="2"/>
  <c r="B83" i="2"/>
  <c r="H82" i="2"/>
  <c r="B82" i="2"/>
  <c r="H81" i="2"/>
  <c r="B81" i="2"/>
  <c r="H80" i="2"/>
  <c r="B80" i="2"/>
  <c r="H79" i="2"/>
  <c r="H78" i="2"/>
  <c r="B78" i="2"/>
  <c r="H77" i="2"/>
  <c r="B77" i="2"/>
  <c r="H76" i="2"/>
  <c r="B76" i="2"/>
  <c r="H75" i="2"/>
  <c r="B75" i="2"/>
  <c r="H74" i="2"/>
  <c r="B74" i="2"/>
  <c r="H73" i="2"/>
  <c r="B73" i="2"/>
  <c r="H72" i="2"/>
  <c r="B72" i="2"/>
  <c r="H71" i="2"/>
  <c r="B71" i="2"/>
  <c r="H70" i="2"/>
  <c r="B70" i="2"/>
  <c r="H69" i="2"/>
  <c r="B69" i="2"/>
  <c r="H68" i="2"/>
  <c r="H67" i="2"/>
  <c r="H66" i="2"/>
  <c r="H65" i="2"/>
  <c r="H64" i="2"/>
  <c r="B64" i="2"/>
  <c r="H63" i="2"/>
  <c r="B63" i="2"/>
  <c r="H62" i="2"/>
  <c r="B62" i="2"/>
  <c r="H61" i="2"/>
  <c r="B61" i="2"/>
  <c r="H60" i="2"/>
  <c r="B60" i="2"/>
  <c r="H59" i="2"/>
  <c r="B59" i="2"/>
  <c r="H58" i="2"/>
  <c r="B58" i="2"/>
  <c r="H57" i="2"/>
  <c r="B57" i="2"/>
  <c r="H56" i="2"/>
  <c r="B56" i="2"/>
  <c r="H55" i="2"/>
  <c r="B55" i="2"/>
  <c r="J54" i="2"/>
  <c r="H54" i="2"/>
  <c r="J53" i="2"/>
  <c r="H53" i="2"/>
  <c r="H52" i="2"/>
  <c r="B52" i="2"/>
  <c r="H51" i="2"/>
  <c r="B51" i="2"/>
  <c r="H50" i="2"/>
  <c r="B50" i="2"/>
  <c r="H49" i="2"/>
  <c r="B49" i="2"/>
  <c r="H48" i="2"/>
  <c r="B48" i="2"/>
  <c r="H47" i="2"/>
  <c r="B47" i="2"/>
  <c r="H46" i="2"/>
  <c r="B46" i="2"/>
  <c r="H45" i="2"/>
  <c r="B45" i="2"/>
  <c r="H44" i="2"/>
  <c r="B44" i="2"/>
  <c r="H43" i="2"/>
  <c r="B43" i="2"/>
  <c r="J42" i="2"/>
  <c r="H42" i="2"/>
  <c r="J41" i="2"/>
  <c r="H41" i="2"/>
  <c r="H40" i="2"/>
  <c r="B40" i="2"/>
  <c r="H39" i="2"/>
  <c r="B39" i="2"/>
  <c r="H38" i="2"/>
  <c r="B38" i="2"/>
  <c r="H37" i="2"/>
  <c r="B37" i="2"/>
  <c r="H36" i="2"/>
  <c r="B36" i="2"/>
  <c r="H35" i="2"/>
  <c r="B35" i="2"/>
  <c r="H34" i="2"/>
  <c r="B34" i="2"/>
  <c r="H33" i="2"/>
  <c r="B33" i="2"/>
  <c r="H32" i="2"/>
  <c r="B32" i="2"/>
  <c r="H31" i="2"/>
  <c r="B31" i="2"/>
  <c r="H30" i="2"/>
  <c r="J29" i="2"/>
  <c r="H29" i="2"/>
  <c r="J28" i="2"/>
  <c r="H28" i="2"/>
  <c r="H27" i="2"/>
  <c r="B27" i="2"/>
  <c r="H26" i="2"/>
  <c r="B26" i="2"/>
  <c r="H25" i="2"/>
  <c r="B25" i="2"/>
  <c r="H24" i="2"/>
  <c r="B24" i="2"/>
  <c r="H23" i="2"/>
  <c r="B23" i="2"/>
  <c r="H22" i="2"/>
  <c r="B22" i="2"/>
  <c r="H21" i="2"/>
  <c r="B21" i="2"/>
  <c r="H20" i="2"/>
  <c r="B20" i="2"/>
  <c r="H19" i="2"/>
  <c r="B19" i="2"/>
  <c r="H18" i="2"/>
  <c r="B18" i="2"/>
  <c r="J17" i="2"/>
  <c r="H17" i="2"/>
  <c r="J16" i="2"/>
  <c r="H16" i="2"/>
  <c r="J15" i="2"/>
  <c r="H15" i="2"/>
  <c r="H14" i="2"/>
  <c r="B14" i="2"/>
  <c r="H13" i="2"/>
  <c r="B13" i="2"/>
  <c r="H12" i="2"/>
  <c r="B12" i="2"/>
  <c r="H11" i="2"/>
  <c r="B11" i="2"/>
  <c r="H10" i="2"/>
  <c r="B10" i="2"/>
  <c r="H9" i="2"/>
  <c r="B9" i="2"/>
  <c r="H8" i="2"/>
  <c r="B8" i="2"/>
  <c r="H7" i="2"/>
  <c r="B7" i="2"/>
  <c r="H6" i="2"/>
  <c r="B6" i="2"/>
  <c r="H5" i="2"/>
  <c r="B5" i="2"/>
  <c r="J4" i="2"/>
  <c r="H4" i="2"/>
  <c r="J3" i="2"/>
  <c r="H3" i="2"/>
  <c r="J2" i="2"/>
  <c r="C2" i="2"/>
  <c r="I2" i="2"/>
  <c r="H2" i="2"/>
  <c r="G2" i="2"/>
  <c r="F2" i="2"/>
  <c r="E2" i="2"/>
  <c r="D2" i="2"/>
  <c r="B43" i="1"/>
  <c r="B42" i="1"/>
  <c r="B35" i="1"/>
  <c r="B24" i="1"/>
  <c r="F9" i="1"/>
  <c r="D8" i="1"/>
  <c r="F3" i="1"/>
  <c r="E3" i="1"/>
  <c r="B2" i="1"/>
</calcChain>
</file>

<file path=xl/sharedStrings.xml><?xml version="1.0" encoding="utf-8"?>
<sst xmlns="http://schemas.openxmlformats.org/spreadsheetml/2006/main" count="877" uniqueCount="783">
  <si>
    <t>Problem Name</t>
  </si>
  <si>
    <t>Problem ID</t>
  </si>
  <si>
    <t>Status</t>
  </si>
  <si>
    <t>Owner</t>
  </si>
  <si>
    <t>Problem</t>
  </si>
  <si>
    <t>Submissions Count so far</t>
  </si>
  <si>
    <t>This google sheet is created by Mostafa Saad Ibrahim. Many problems of first 2 sheets are based on ahmed aly ladders. Overall ~450 problems.</t>
  </si>
  <si>
    <t>Reading Time(m)</t>
  </si>
  <si>
    <t>Thinking Time(m)</t>
  </si>
  <si>
    <t>Solving Time(m)</t>
  </si>
  <si>
    <t>Total Time(m)</t>
  </si>
  <si>
    <t>Problem Level /10</t>
  </si>
  <si>
    <t>Comments?</t>
  </si>
  <si>
    <t>Any Comments (Detailed for any hard problem)</t>
  </si>
  <si>
    <t>AC Averages =&gt;</t>
  </si>
  <si>
    <t>Email</t>
  </si>
  <si>
    <t>mostafa.saad.fci@gmail.com</t>
  </si>
  <si>
    <t>Feedbacks to refine problems on these sheets are highly requested. Your statistics matter me too.</t>
  </si>
  <si>
    <t>What?</t>
  </si>
  <si>
    <t>This is a personal Google sheet for you [Make copy from file menu] to have sets of problems to solve coupled with some algorithms to learn</t>
  </si>
  <si>
    <t>For Whom?</t>
  </si>
  <si>
    <t>A junior is anyone who can't master up to codeforces Div2-C (offline solving NOT online competition).</t>
  </si>
  <si>
    <t>Prerequisites?</t>
  </si>
  <si>
    <t>Basic Programming skills such in series</t>
  </si>
  <si>
    <t>With focus on</t>
  </si>
  <si>
    <t>STL</t>
  </si>
  <si>
    <t>Debugging Skills</t>
  </si>
  <si>
    <t xml:space="preserve">Bits </t>
  </si>
  <si>
    <t>Know about our community and what is programming competitions.</t>
  </si>
  <si>
    <t>Xenia and Ringroad</t>
  </si>
  <si>
    <t>Watermelon</t>
  </si>
  <si>
    <t>AC</t>
  </si>
  <si>
    <t>Way Too Long Words</t>
  </si>
  <si>
    <t>WA</t>
  </si>
  <si>
    <t>Random Teams</t>
  </si>
  <si>
    <t>Sort the Array</t>
  </si>
  <si>
    <t>String Task</t>
  </si>
  <si>
    <t>Training Style?</t>
  </si>
  <si>
    <t>You can train alone..but highly advised to find partner and work with him. E.g. try individually for 45 minutes, then work with partner to get it</t>
  </si>
  <si>
    <t>CS</t>
  </si>
  <si>
    <t>Skills Goals</t>
  </si>
  <si>
    <t>Moving from Junior Level to Semi-Senior Level..A one who do pretty well in CF-Div2 A, B, C and similar levels (e.g. TC-Div2-500)</t>
  </si>
  <si>
    <t>Knowledge Goals</t>
  </si>
  <si>
    <t>Understand and build fair knowledge in some algorithms in Number Theory, Dynamic Programming, Greedy, Graph Theory and Search</t>
  </si>
  <si>
    <t>Sheets</t>
  </si>
  <si>
    <t>Just examples :) .... note the average statiscics over AC problems only</t>
  </si>
  <si>
    <t>T-primes</t>
  </si>
  <si>
    <t>Petya and Strings</t>
  </si>
  <si>
    <t>P1A is part 1, set 1...P3B is part 3, set 2..and so on...ordered by level</t>
  </si>
  <si>
    <t>TLE</t>
  </si>
  <si>
    <t>Each sheet has some sets, each set is ~10 problems....The top sets are mandatory....The below sets (after line mark) are optional</t>
  </si>
  <si>
    <t>DZY Loves Strings</t>
  </si>
  <si>
    <t>If you did well in the mandatory sets, move to next sheet...otherwise you still need training on similar level...then solve the optional problems</t>
  </si>
  <si>
    <t>Always put recordings for AC problems to have correct stats</t>
  </si>
  <si>
    <t xml:space="preserve"> You will find videos to watch. If it is an algorithm, learn it...and solve at least 2 easy problems over it (see problems in youtube video info)</t>
  </si>
  <si>
    <t>Helpful Maths</t>
  </si>
  <si>
    <t>Little Pony and Sort by Shift</t>
  </si>
  <si>
    <t>The Videos won't necessarily be followed by problems over them...but building such knowledge at this point will be good.</t>
  </si>
  <si>
    <t>RTE</t>
  </si>
  <si>
    <t>You can also pick algorthmic problems for a video topic to solve from http://a2oj.com/Categories.jsp</t>
  </si>
  <si>
    <t>Roadside Trees (Simplified Edition)</t>
  </si>
  <si>
    <t>In some columns, some time recordings. This helps you to know how much time you take per a problem...use that to recognize your problems</t>
  </si>
  <si>
    <t>In the level column give an estimate to the problem level from 1 (easy) to 10 (very hard)</t>
  </si>
  <si>
    <t>Use any software to record times</t>
  </si>
  <si>
    <t>Twins</t>
  </si>
  <si>
    <t>Suffix Structures</t>
  </si>
  <si>
    <t>In the comments column..write comment if problem level &gt; 3...or it took much time from you...or it needs specific algorithm</t>
  </si>
  <si>
    <t>MLE</t>
  </si>
  <si>
    <t>Chat room</t>
  </si>
  <si>
    <t>OR in Matrix</t>
  </si>
  <si>
    <t>AC (for Accepted)</t>
  </si>
  <si>
    <t>Lucky Division</t>
  </si>
  <si>
    <t>Little Girl and Game</t>
  </si>
  <si>
    <t>CS (can't solve)</t>
  </si>
  <si>
    <t>Other values: WA, TLE, RTE, MLE</t>
  </si>
  <si>
    <t>Presents</t>
  </si>
  <si>
    <t>If you solved the problem before...put AC and try to remember the solving times and level...if can't...put some reasonable estimates</t>
  </si>
  <si>
    <t>Beautiful Matrix</t>
  </si>
  <si>
    <t>Don't let a problem takes more than 2-3 hours. If still, please put it in ToDos...later.. try it. Feel free to see editorials/solutions if can't solve</t>
  </si>
  <si>
    <t>Don't compare yourself with others. Don't care how many problems to solve per day....just keep solving.</t>
  </si>
  <si>
    <t>Books</t>
  </si>
  <si>
    <t>P1A</t>
  </si>
  <si>
    <t>This sheet is for the newcomers. Its level and problem are as same as Ladder-A</t>
  </si>
  <si>
    <t>P1B</t>
  </si>
  <si>
    <t>Those who mastered CF-Div2-A =&gt; should start with this sheet to manage the B's</t>
  </si>
  <si>
    <t>Painting Pebbles</t>
  </si>
  <si>
    <t>P2A</t>
  </si>
  <si>
    <t>Part 2 is 1 step more in your level. Working mainly on C problems (Easy level)</t>
  </si>
  <si>
    <t>P2B</t>
  </si>
  <si>
    <t>A selection for topcoder Div2-500. If after finishing first block don't feel much good, please solve remaining problems.</t>
  </si>
  <si>
    <t>George and Round</t>
  </si>
  <si>
    <t>P3A, P3B, P3C</t>
  </si>
  <si>
    <t>Arrival of the General</t>
  </si>
  <si>
    <t>Knowledge solving sheets. Solving them at this moment should be ok.</t>
  </si>
  <si>
    <t>Trace</t>
  </si>
  <si>
    <t>Games</t>
  </si>
  <si>
    <t>Road Construction</t>
  </si>
  <si>
    <t>Notations</t>
  </si>
  <si>
    <t>Young Physicist</t>
  </si>
  <si>
    <t>Before an Exam</t>
  </si>
  <si>
    <t>CF (codeforces), D2 (Division 2), (136, A) is problem URL. Note this is not Round 136 ... it is Round 97</t>
  </si>
  <si>
    <t>Expression</t>
  </si>
  <si>
    <t>SRM150-D2-500</t>
  </si>
  <si>
    <t>Lucky Substring</t>
  </si>
  <si>
    <t>SRM150 (Topcoder), D2 (Division 2), 500 (2nd problem)</t>
  </si>
  <si>
    <t>I Wanna Be the Guy</t>
  </si>
  <si>
    <t>Jeff and Periods</t>
  </si>
  <si>
    <t>Ilya and Bank Account</t>
  </si>
  <si>
    <t>Polo the Penguin and Matrix</t>
  </si>
  <si>
    <t>Moving faster</t>
  </si>
  <si>
    <t>Dragons</t>
  </si>
  <si>
    <t>Do I have to solve every problem? No. If you can solve last sheets you are done.</t>
  </si>
  <si>
    <t>Coins</t>
  </si>
  <si>
    <t>I advise with trying problems from next blocks...or next sheets...if can solve, move to this and so on..otherwise, back to previous level</t>
  </si>
  <si>
    <t>Team Olympiad</t>
  </si>
  <si>
    <t>The idea...we are not equal..we learn at different rates</t>
  </si>
  <si>
    <t>Fox And Snake</t>
  </si>
  <si>
    <t>History</t>
  </si>
  <si>
    <t>Choosing Teams</t>
  </si>
  <si>
    <t>Garland</t>
  </si>
  <si>
    <t>Art Union</t>
  </si>
  <si>
    <t>Rememeber: next problems won't be on above videos...you get 2 problems by yourslef and add in Yours sheet :)</t>
  </si>
  <si>
    <t>Valera and Antique Items</t>
  </si>
  <si>
    <t>V3: Added problem names. P3A, P3B split over 3 sheets, reordered to be more incremental rather than random</t>
  </si>
  <si>
    <t>Petya and Countryside</t>
  </si>
  <si>
    <t>Bear and Raspberry</t>
  </si>
  <si>
    <t>Routine Problem</t>
  </si>
  <si>
    <t>Playing with Dice</t>
  </si>
  <si>
    <t>جزى الله خيرا المتطوعين ممن يرسلون تقيمهم و نصائحهم لتحسين المحتوى</t>
  </si>
  <si>
    <t>Greg's Workout</t>
  </si>
  <si>
    <t>Levko and Permutation</t>
  </si>
  <si>
    <t>Thanks for feedback</t>
  </si>
  <si>
    <t>Valera and X</t>
  </si>
  <si>
    <t>Reading</t>
  </si>
  <si>
    <t>Coach Alhussain Aly</t>
  </si>
  <si>
    <t>Watching a movie</t>
  </si>
  <si>
    <t>Magdy Hassan</t>
  </si>
  <si>
    <t>Roma and Lucky Numbers</t>
  </si>
  <si>
    <t>Permutation</t>
  </si>
  <si>
    <t xml:space="preserve">Ahmed Yasser </t>
  </si>
  <si>
    <t>Cut Ribbon</t>
  </si>
  <si>
    <t>Ahmed Elsayed Awad</t>
  </si>
  <si>
    <t>Help Kingdom of Far Far Away 2</t>
  </si>
  <si>
    <t>Medo Medo!</t>
  </si>
  <si>
    <t>Marks</t>
  </si>
  <si>
    <t>Mostafa Ali Mansour</t>
  </si>
  <si>
    <t>Non-square Equation</t>
  </si>
  <si>
    <t>Aya elymany</t>
  </si>
  <si>
    <t>Lever</t>
  </si>
  <si>
    <t xml:space="preserve">Ayyad shenouda </t>
  </si>
  <si>
    <t>Others...</t>
  </si>
  <si>
    <t>Little Elephant and Sorting</t>
  </si>
  <si>
    <t>Domino</t>
  </si>
  <si>
    <t>Array</t>
  </si>
  <si>
    <t>Giga Tower</t>
  </si>
  <si>
    <t>DZY Loves Chessboard</t>
  </si>
  <si>
    <t>Life Without Zeros</t>
  </si>
  <si>
    <t>Collecting Beats is Fun</t>
  </si>
  <si>
    <t>Walking in the Rain</t>
  </si>
  <si>
    <t>Vasya and Digital Root</t>
  </si>
  <si>
    <t>The Child and Homework</t>
  </si>
  <si>
    <t>Xenia and Spies</t>
  </si>
  <si>
    <t>Line to Cashier</t>
  </si>
  <si>
    <t>Petya and Staircases</t>
  </si>
  <si>
    <t>Table</t>
  </si>
  <si>
    <t>Magic, Wizardry and Wonders</t>
  </si>
  <si>
    <t>Ancient Prophesy</t>
  </si>
  <si>
    <t>Well-known Numbers</t>
  </si>
  <si>
    <t>Dima and Continuous Line</t>
  </si>
  <si>
    <t>Nearest Fraction</t>
  </si>
  <si>
    <t>Help Vasilisa the Wise 2</t>
  </si>
  <si>
    <t>Friends</t>
  </si>
  <si>
    <t>Palindromic Times</t>
  </si>
  <si>
    <t>Inna and Nine</t>
  </si>
  <si>
    <t>Exams</t>
  </si>
  <si>
    <t>Bets</t>
  </si>
  <si>
    <t>Sockets</t>
  </si>
  <si>
    <t>Point on Spiral</t>
  </si>
  <si>
    <t>Rook, Bishop and King</t>
  </si>
  <si>
    <t>Cows and Primitive Roots</t>
  </si>
  <si>
    <t>Phone Numbers</t>
  </si>
  <si>
    <t>Bar</t>
  </si>
  <si>
    <t>Students and Shoelaces</t>
  </si>
  <si>
    <t>Worms Evolution</t>
  </si>
  <si>
    <t>The Child and Set</t>
  </si>
  <si>
    <t>Before moving to another sheet, email me with feedback about these problems selection.</t>
  </si>
  <si>
    <t>Special Offer! Super Price 999 Bourles!</t>
  </si>
  <si>
    <t>Optional Problems</t>
  </si>
  <si>
    <t>Two Tables</t>
  </si>
  <si>
    <t>IF you can't solve many of above problems or need like 2 hours or more per problems..then solve these too.</t>
  </si>
  <si>
    <t>Lucky Numbers (easy)</t>
  </si>
  <si>
    <t>Theatre Square</t>
  </si>
  <si>
    <t>After Training</t>
  </si>
  <si>
    <t>Next Round</t>
  </si>
  <si>
    <t>Domino piling</t>
  </si>
  <si>
    <t>Team</t>
  </si>
  <si>
    <t>Limit</t>
  </si>
  <si>
    <t>Bit++</t>
  </si>
  <si>
    <t>Hometask</t>
  </si>
  <si>
    <t>Tram</t>
  </si>
  <si>
    <t>cAPS lOCK</t>
  </si>
  <si>
    <t>Settlers' Training</t>
  </si>
  <si>
    <t>Football</t>
  </si>
  <si>
    <t>Stones on the Table</t>
  </si>
  <si>
    <t>HQ9+</t>
  </si>
  <si>
    <t>Word Capitalization</t>
  </si>
  <si>
    <t>Martian Clock</t>
  </si>
  <si>
    <t>Boy or Girl</t>
  </si>
  <si>
    <t>Hard Work</t>
  </si>
  <si>
    <t>Insomnia cure</t>
  </si>
  <si>
    <t>Running Student</t>
  </si>
  <si>
    <t>Double Cola</t>
  </si>
  <si>
    <t>Color the Fence</t>
  </si>
  <si>
    <t>George and Accommodation</t>
  </si>
  <si>
    <t>Convex Shape</t>
  </si>
  <si>
    <t>Nearly Lucky Number</t>
  </si>
  <si>
    <t>Epic Game</t>
  </si>
  <si>
    <t>Spoilt Permutation</t>
  </si>
  <si>
    <t>Beautiful Year</t>
  </si>
  <si>
    <t>Martian Dollar</t>
  </si>
  <si>
    <t>Design Tutorial: Learn from Math</t>
  </si>
  <si>
    <t>Sysadmin Bob</t>
  </si>
  <si>
    <t>Vasya and Socks</t>
  </si>
  <si>
    <t>Traffic Lights</t>
  </si>
  <si>
    <t>Game With Sticks</t>
  </si>
  <si>
    <t>Blog Photo</t>
  </si>
  <si>
    <t>Dubstep</t>
  </si>
  <si>
    <t>Puzzles</t>
  </si>
  <si>
    <t>Anton and Letters</t>
  </si>
  <si>
    <t>Even Odds</t>
  </si>
  <si>
    <t>Counting Rhombi</t>
  </si>
  <si>
    <t>Cheap Travel</t>
  </si>
  <si>
    <t>Undoubtedly Lucky Numbers</t>
  </si>
  <si>
    <t>Pashmak and Garden</t>
  </si>
  <si>
    <t>Young Photographer</t>
  </si>
  <si>
    <t>Dreamoon and Stairs</t>
  </si>
  <si>
    <t>Jury Size</t>
  </si>
  <si>
    <t>Devu, the Singer and Churu, the Joker</t>
  </si>
  <si>
    <t>Cthulhu</t>
  </si>
  <si>
    <t>IQ test</t>
  </si>
  <si>
    <t>Tournament</t>
  </si>
  <si>
    <t>Cakeminator</t>
  </si>
  <si>
    <t>Help Chef Gerasim</t>
  </si>
  <si>
    <t>Appleman and Easy Task</t>
  </si>
  <si>
    <t>Surrounded</t>
  </si>
  <si>
    <t>Lunch Rush</t>
  </si>
  <si>
    <t>Bargaining Table</t>
  </si>
  <si>
    <t>Soft Drinking</t>
  </si>
  <si>
    <t>Facetook Priority Wall</t>
  </si>
  <si>
    <t>Minimum Difficulty</t>
  </si>
  <si>
    <t>Counterexample</t>
  </si>
  <si>
    <t>Perfect Permutation</t>
  </si>
  <si>
    <t>Supercentral Point</t>
  </si>
  <si>
    <t>Taxi</t>
  </si>
  <si>
    <t>Contest</t>
  </si>
  <si>
    <t>Buttons</t>
  </si>
  <si>
    <t>TL</t>
  </si>
  <si>
    <t>A and B and Compilation Errors</t>
  </si>
  <si>
    <t>Colorful Stones (Simplified Edition)</t>
  </si>
  <si>
    <t>Pashmak and Flowers</t>
  </si>
  <si>
    <t>Cifera</t>
  </si>
  <si>
    <t>Fox and Number Game</t>
  </si>
  <si>
    <t>Present from Lena</t>
  </si>
  <si>
    <t>Parallelepiped</t>
  </si>
  <si>
    <t>Drinks</t>
  </si>
  <si>
    <t>Worms</t>
  </si>
  <si>
    <t>Yaroslav and Permutations</t>
  </si>
  <si>
    <t>Spreadsheets</t>
  </si>
  <si>
    <t>Levko and Table</t>
  </si>
  <si>
    <t>Vanya and Books</t>
  </si>
  <si>
    <t>Two Bags of Potatoes</t>
  </si>
  <si>
    <t>Caisa and Pylons</t>
  </si>
  <si>
    <t>Soroban</t>
  </si>
  <si>
    <t>Soldier and Badges</t>
  </si>
  <si>
    <t>Simple Game</t>
  </si>
  <si>
    <t>Eugeny and Array</t>
  </si>
  <si>
    <t>Design Tutorial: Learn from Life</t>
  </si>
  <si>
    <t>Reconnaissance 2</t>
  </si>
  <si>
    <t>BerSU Ball</t>
  </si>
  <si>
    <t>Comparing Strings</t>
  </si>
  <si>
    <t>Robot's Task</t>
  </si>
  <si>
    <t>Guess a number!</t>
  </si>
  <si>
    <t>Ilya and Queries</t>
  </si>
  <si>
    <t>Card Game</t>
  </si>
  <si>
    <t>Equidistant String</t>
  </si>
  <si>
    <t>Snow Footprints</t>
  </si>
  <si>
    <t>Next Test</t>
  </si>
  <si>
    <t>Luxurious Houses</t>
  </si>
  <si>
    <t>Sleuth</t>
  </si>
  <si>
    <t>Tavas and SaDDas</t>
  </si>
  <si>
    <t>Funky Numbers</t>
  </si>
  <si>
    <t>Berland National Library</t>
  </si>
  <si>
    <t>Lefthanders and Righthanders</t>
  </si>
  <si>
    <t>Queue at the School</t>
  </si>
  <si>
    <t>Fedor and New Game</t>
  </si>
  <si>
    <t>Vanya and Lanterns</t>
  </si>
  <si>
    <t>Lecture</t>
  </si>
  <si>
    <t>Anton and currency you all know</t>
  </si>
  <si>
    <t>Amr and Pins</t>
  </si>
  <si>
    <t>Jzzhu and Sequences</t>
  </si>
  <si>
    <t>Find Marble</t>
  </si>
  <si>
    <t>Little Elephant and Magic Square</t>
  </si>
  <si>
    <t>Football Kit</t>
  </si>
  <si>
    <t>Chat Online</t>
  </si>
  <si>
    <t>Vasya and Wrestling</t>
  </si>
  <si>
    <t>The Fibonacci Segment</t>
  </si>
  <si>
    <t>Sale</t>
  </si>
  <si>
    <t>Little Pigs and Wolves</t>
  </si>
  <si>
    <t>Painting Eggs</t>
  </si>
  <si>
    <t>Combination</t>
  </si>
  <si>
    <t>Unary</t>
  </si>
  <si>
    <t>Dima and To-do List</t>
  </si>
  <si>
    <t>Han Solo and Lazer Gun</t>
  </si>
  <si>
    <t>Flag Day</t>
  </si>
  <si>
    <t>Lucky String</t>
  </si>
  <si>
    <t>Archer</t>
  </si>
  <si>
    <t>Building Permutation</t>
  </si>
  <si>
    <t>Vanya and Exams</t>
  </si>
  <si>
    <t>Photographer</t>
  </si>
  <si>
    <t>Lucky Tickets</t>
  </si>
  <si>
    <t>Little Frog</t>
  </si>
  <si>
    <t>Page Numbers</t>
  </si>
  <si>
    <t>Fruits</t>
  </si>
  <si>
    <t>Anya and Smartphone</t>
  </si>
  <si>
    <t>Booking System</t>
  </si>
  <si>
    <t>Name Quest</t>
  </si>
  <si>
    <t>Design Tutorial: Make It Nondeterministic</t>
  </si>
  <si>
    <t>Divisibility by Eight</t>
  </si>
  <si>
    <t>Division into Teams</t>
  </si>
  <si>
    <t>Replacement</t>
  </si>
  <si>
    <t>Little Girl and Maximum Sum</t>
  </si>
  <si>
    <t>Tic-tac-toe</t>
  </si>
  <si>
    <t>SRM413-D2-500</t>
  </si>
  <si>
    <t>Email address</t>
  </si>
  <si>
    <t>SRM434-D2-500</t>
  </si>
  <si>
    <t>Unusual Product</t>
  </si>
  <si>
    <t>Ilya and Matrix</t>
  </si>
  <si>
    <t>SRM466-D2-500</t>
  </si>
  <si>
    <t>SRM386-D2-500</t>
  </si>
  <si>
    <t>SRM380-D2-500</t>
  </si>
  <si>
    <t>SRM374-D2-500</t>
  </si>
  <si>
    <t>SRM441-D2-500</t>
  </si>
  <si>
    <t>Devu and Partitioning of the Array</t>
  </si>
  <si>
    <t>SRM381-D2-500</t>
  </si>
  <si>
    <t>Registration system</t>
  </si>
  <si>
    <t>The Child and Toy</t>
  </si>
  <si>
    <t>SRM433-D2-500</t>
  </si>
  <si>
    <t>George and Job</t>
  </si>
  <si>
    <t>SRM483-D2-500</t>
  </si>
  <si>
    <t>Dreamoon and Sums</t>
  </si>
  <si>
    <t>Misha and Forest</t>
  </si>
  <si>
    <t>Searching for Graph</t>
  </si>
  <si>
    <t>SRM527-D2-500</t>
  </si>
  <si>
    <t>Amr and Chemistry</t>
  </si>
  <si>
    <t>Cardiogram</t>
  </si>
  <si>
    <t>SRM406-D2-500</t>
  </si>
  <si>
    <t>SRM508-D2-500</t>
  </si>
  <si>
    <t>SRM550-D2-500</t>
  </si>
  <si>
    <t>SRM457-D2-500</t>
  </si>
  <si>
    <t>Drazil and Factorial</t>
  </si>
  <si>
    <t>SRM387-D2-500</t>
  </si>
  <si>
    <t>Glass Carving</t>
  </si>
  <si>
    <t>SRM577-D2-500</t>
  </si>
  <si>
    <t>SRM539-D2-500</t>
  </si>
  <si>
    <t>Round Table Knights</t>
  </si>
  <si>
    <t>SRM486-D2-500</t>
  </si>
  <si>
    <t>New Year Ratings Change</t>
  </si>
  <si>
    <t>SRM394-D2-500</t>
  </si>
  <si>
    <t>The World is a Theatre</t>
  </si>
  <si>
    <t>MUH and House of Cards</t>
  </si>
  <si>
    <t>Almost Arithmetical Progression</t>
  </si>
  <si>
    <t>Table Decorations</t>
  </si>
  <si>
    <t>Marina and Vasya</t>
  </si>
  <si>
    <t>SRM382-D2-500</t>
  </si>
  <si>
    <t>Gargari and Bishops</t>
  </si>
  <si>
    <t>SRM410-D2-500</t>
  </si>
  <si>
    <t>Hacking Cypher</t>
  </si>
  <si>
    <t>SRM453-D2-500</t>
  </si>
  <si>
    <t>Removing Columns</t>
  </si>
  <si>
    <t>SRM500-D2-500</t>
  </si>
  <si>
    <t>Color Stripe</t>
  </si>
  <si>
    <t>SRM541-D2-500</t>
  </si>
  <si>
    <t>Dima and Salad</t>
  </si>
  <si>
    <t>Fixing Typos</t>
  </si>
  <si>
    <t>SRM581-D2-500</t>
  </si>
  <si>
    <t>Bear and Prime Numbers</t>
  </si>
  <si>
    <t>SRM400-D2-500</t>
  </si>
  <si>
    <t>George and Number</t>
  </si>
  <si>
    <t>SRM437-D2-500</t>
  </si>
  <si>
    <t>Restore Graph</t>
  </si>
  <si>
    <t>SRM542-D2-500</t>
  </si>
  <si>
    <t>Mr. Kitayuta, the Treasure Hunter</t>
  </si>
  <si>
    <t>SRM545-D2-500</t>
  </si>
  <si>
    <t>Polycarpus' Dice</t>
  </si>
  <si>
    <t>Bombs</t>
  </si>
  <si>
    <t>SRM464-D2-500</t>
  </si>
  <si>
    <t>Prime Swaps</t>
  </si>
  <si>
    <t>SRM467-D2-500</t>
  </si>
  <si>
    <t>Inna and Huge Candy Matrix</t>
  </si>
  <si>
    <t>Om Nom and Candies</t>
  </si>
  <si>
    <t>SRM561-D2-500</t>
  </si>
  <si>
    <t>Dijkstra?</t>
  </si>
  <si>
    <t>SRM552-D2-500</t>
  </si>
  <si>
    <t>King's Path</t>
  </si>
  <si>
    <t>SRM531-D2-500</t>
  </si>
  <si>
    <t>GukiZ hates Boxes</t>
  </si>
  <si>
    <t>SRM360-D2-500</t>
  </si>
  <si>
    <t>Present</t>
  </si>
  <si>
    <t>Painting Fence</t>
  </si>
  <si>
    <t>SRM540-D2-500</t>
  </si>
  <si>
    <t>SRM358-D2-500</t>
  </si>
  <si>
    <t>SRM559-D2-500</t>
  </si>
  <si>
    <t>New Year Snowmen</t>
  </si>
  <si>
    <t>SRM423-D2-500</t>
  </si>
  <si>
    <t>Primes on Interval</t>
  </si>
  <si>
    <t>Balls and Boxes</t>
  </si>
  <si>
    <t>DNA Alignment</t>
  </si>
  <si>
    <t>Captain Marmot</t>
  </si>
  <si>
    <t>The Art of Dealing with ATM</t>
  </si>
  <si>
    <t>SRM488-D2-500</t>
  </si>
  <si>
    <t>Dungeons and Candies</t>
  </si>
  <si>
    <t>SRM594-D2-500</t>
  </si>
  <si>
    <t>Quiz</t>
  </si>
  <si>
    <t>Barcode</t>
  </si>
  <si>
    <t>SRM448-D2-500</t>
  </si>
  <si>
    <t>Arthur and Table</t>
  </si>
  <si>
    <t>SRM449-D2-500</t>
  </si>
  <si>
    <t>SRM517-D2-500</t>
  </si>
  <si>
    <t>SRM580-D2-500</t>
  </si>
  <si>
    <t>A and B and Team Training</t>
  </si>
  <si>
    <t>SRM583-D2-500</t>
  </si>
  <si>
    <t>Given Length and Sum of Digits...</t>
  </si>
  <si>
    <t>SRM511-D2-500</t>
  </si>
  <si>
    <t>Cd and pwd commands</t>
  </si>
  <si>
    <t>SRM512-D2-500</t>
  </si>
  <si>
    <t>Soldier and Cards</t>
  </si>
  <si>
    <t>SRM525-D2-500</t>
  </si>
  <si>
    <t>Number of Ways</t>
  </si>
  <si>
    <t>Woodcutters</t>
  </si>
  <si>
    <t>Kefa and Park</t>
  </si>
  <si>
    <t>SRM510-D2-500</t>
  </si>
  <si>
    <t>Developing Skills</t>
  </si>
  <si>
    <t>SRM544-D2-500</t>
  </si>
  <si>
    <t>New Year Book Reading</t>
  </si>
  <si>
    <t>SRM602-D2-500</t>
  </si>
  <si>
    <t>SRM543-D2-500</t>
  </si>
  <si>
    <t>k-Tree</t>
  </si>
  <si>
    <t>SRM588-D2-500</t>
  </si>
  <si>
    <t>Tourist's Notes</t>
  </si>
  <si>
    <t>SRM409-D2-500</t>
  </si>
  <si>
    <t>SRM513-D2-500</t>
  </si>
  <si>
    <t>Fox And Names</t>
  </si>
  <si>
    <t>SRM589-D2-500</t>
  </si>
  <si>
    <t>Ilya and Sticks</t>
  </si>
  <si>
    <t>SRM584-D2-500</t>
  </si>
  <si>
    <t>Beautiful Sets of Points</t>
  </si>
  <si>
    <t>SRM407-D2-500</t>
  </si>
  <si>
    <t>Geometric Progression</t>
  </si>
  <si>
    <t>Valera and Tubes</t>
  </si>
  <si>
    <t>SRM493-D2-500</t>
  </si>
  <si>
    <t>XOR and OR</t>
  </si>
  <si>
    <t>SRM558-D2-500</t>
  </si>
  <si>
    <t>Palindrome Transformation</t>
  </si>
  <si>
    <t>SRM462-D2-500</t>
  </si>
  <si>
    <t>SRM356-D2-500</t>
  </si>
  <si>
    <t>Another Problem on Strings</t>
  </si>
  <si>
    <t>SRM535-D2-500</t>
  </si>
  <si>
    <t>Dima and Staircase</t>
  </si>
  <si>
    <t>SRM599-D2-500</t>
  </si>
  <si>
    <t>Anya and Ghosts</t>
  </si>
  <si>
    <t>SRM590-D2-500</t>
  </si>
  <si>
    <t>SRM566-D2-500</t>
  </si>
  <si>
    <t>Vasya and Basketball</t>
  </si>
  <si>
    <t>SRM551-D2-500</t>
  </si>
  <si>
    <t>Alice, Bob and Chocolate</t>
  </si>
  <si>
    <t>SRM579-D2-500</t>
  </si>
  <si>
    <t>Vanya and Scales</t>
  </si>
  <si>
    <t>Modified GCD</t>
  </si>
  <si>
    <t>Guess Your Way Out!</t>
  </si>
  <si>
    <t>Roads in Berland</t>
  </si>
  <si>
    <t>Hexadecimal's Numbers</t>
  </si>
  <si>
    <t>Sums of Digits</t>
  </si>
  <si>
    <t>Pocket Book</t>
  </si>
  <si>
    <t>Cupboard and Balloons</t>
  </si>
  <si>
    <t>Ice Cave</t>
  </si>
  <si>
    <t>Text Editor</t>
  </si>
  <si>
    <t>Valera and Elections</t>
  </si>
  <si>
    <t>Shaass and Lights</t>
  </si>
  <si>
    <t>Xenia and Weights</t>
  </si>
  <si>
    <t>Fancy Number</t>
  </si>
  <si>
    <t>Pashmak and Buses</t>
  </si>
  <si>
    <t>Prime Number</t>
  </si>
  <si>
    <t>Arithmetic Progression</t>
  </si>
  <si>
    <t>Queue</t>
  </si>
  <si>
    <t>Tavas and Karafs</t>
  </si>
  <si>
    <t>Fools and Roads</t>
  </si>
  <si>
    <t>Predict Outcome of the Game</t>
  </si>
  <si>
    <t>Find Maximum</t>
  </si>
  <si>
    <t>Weather</t>
  </si>
  <si>
    <t>IF you can't solve many of above problems or need like 1.5 hours or more per problems..then solve these too.</t>
  </si>
  <si>
    <t>Median</t>
  </si>
  <si>
    <t>SRM268-D2-500</t>
  </si>
  <si>
    <t>Hamburgers</t>
  </si>
  <si>
    <t>SRM362-D2-500</t>
  </si>
  <si>
    <t>Checkposts</t>
  </si>
  <si>
    <t>SRM245-D2-500</t>
  </si>
  <si>
    <t>Stripe</t>
  </si>
  <si>
    <t>Ladder</t>
  </si>
  <si>
    <t>SRM496-D2-500</t>
  </si>
  <si>
    <t>Anagram Search</t>
  </si>
  <si>
    <t>SRM454-D2-500</t>
  </si>
  <si>
    <t>Winnie-the-Pooh and honey</t>
  </si>
  <si>
    <t>SRM408-D2-500</t>
  </si>
  <si>
    <t>Secret</t>
  </si>
  <si>
    <t>Longest Regular Bracket Sequence</t>
  </si>
  <si>
    <t>SRM563-D2-500</t>
  </si>
  <si>
    <t>Pattern</t>
  </si>
  <si>
    <t>SRM521-D2-500</t>
  </si>
  <si>
    <t>To Add or Not to Add</t>
  </si>
  <si>
    <t>SRM388-D2-500</t>
  </si>
  <si>
    <t>Beauty Pageant</t>
  </si>
  <si>
    <t>SRM395-D2-500</t>
  </si>
  <si>
    <t>Magic Five</t>
  </si>
  <si>
    <t>Watto and Mechanism</t>
  </si>
  <si>
    <t>SRM147-D2-500</t>
  </si>
  <si>
    <t>Magic Formulas</t>
  </si>
  <si>
    <t>SRM427-D2-500</t>
  </si>
  <si>
    <t>Network Mask</t>
  </si>
  <si>
    <t>SRM379-D2-500</t>
  </si>
  <si>
    <t>Beautiful Numbers</t>
  </si>
  <si>
    <t>SRM530-D2-500</t>
  </si>
  <si>
    <t>Find Pair</t>
  </si>
  <si>
    <t>Terse princess</t>
  </si>
  <si>
    <t>SRM430-D2-500</t>
  </si>
  <si>
    <t>Buns</t>
  </si>
  <si>
    <t>SRM432-D2-500</t>
  </si>
  <si>
    <t>Ryouko's Memory Note</t>
  </si>
  <si>
    <t>SRM376-D2-500</t>
  </si>
  <si>
    <t>Ivan and Powers of Two</t>
  </si>
  <si>
    <t>SRM470-D2-500</t>
  </si>
  <si>
    <t>Vasily the Bear and Sequence</t>
  </si>
  <si>
    <t>SRM369-D2-500</t>
  </si>
  <si>
    <t>Letter</t>
  </si>
  <si>
    <t>SRM481-D2-500</t>
  </si>
  <si>
    <t>View Angle</t>
  </si>
  <si>
    <t>SRM383-D2-500</t>
  </si>
  <si>
    <t>SRM419-D2-500</t>
  </si>
  <si>
    <t>SRM565-D2-500</t>
  </si>
  <si>
    <t>SRM414-D2-500</t>
  </si>
  <si>
    <t>SRM431-D2-500</t>
  </si>
  <si>
    <t>SRM492-D2-500</t>
  </si>
  <si>
    <t>SRM498-D2-500</t>
  </si>
  <si>
    <t>SRM350-D2-500</t>
  </si>
  <si>
    <t>SRM392-D2-500</t>
  </si>
  <si>
    <t>SRM365-D2-500</t>
  </si>
  <si>
    <t>SRM402-D2-500</t>
  </si>
  <si>
    <t>SRM364-D2-500</t>
  </si>
  <si>
    <t>SRM355-D2-500</t>
  </si>
  <si>
    <t>SRM417-D2-500</t>
  </si>
  <si>
    <t>SRM472-D2-500</t>
  </si>
  <si>
    <t>SRM425-D2-500</t>
  </si>
  <si>
    <t>SRM416-D2-500</t>
  </si>
  <si>
    <t>Sheet: Adhocks, DP [1-8 videos], BFS, DFS, Flood Fill, Tree Diameter, Dijsktra, Floyd, UnionFind</t>
  </si>
  <si>
    <t>SRM526-D2-500</t>
  </si>
  <si>
    <t>Divisibility</t>
  </si>
  <si>
    <t>SRM568-D2-500</t>
  </si>
  <si>
    <t>The Seasonal War</t>
  </si>
  <si>
    <t>SRM372-D2-500</t>
  </si>
  <si>
    <t>This sheet put more stree on some algorithms you learnt..</t>
  </si>
  <si>
    <t>String to Palindrome</t>
  </si>
  <si>
    <t>problems varies from medium to hard..they are not sorted</t>
  </si>
  <si>
    <t>Shopping</t>
  </si>
  <si>
    <t>Battleships</t>
  </si>
  <si>
    <t>SRM562-D2-500</t>
  </si>
  <si>
    <t>Maze Exploration</t>
  </si>
  <si>
    <t>SRM373-D2-500</t>
  </si>
  <si>
    <t>SRM597-D2-500</t>
  </si>
  <si>
    <t>Vacation</t>
  </si>
  <si>
    <t>SRM426-D2-500</t>
  </si>
  <si>
    <t>SRM390-D2-500</t>
  </si>
  <si>
    <t>Sending email</t>
  </si>
  <si>
    <t>SRM403-D2-500</t>
  </si>
  <si>
    <t>UVA forums has many hints and test cases for UVA problems</t>
  </si>
  <si>
    <t>Cutting Sticks</t>
  </si>
  <si>
    <t>SRM576-D2-500</t>
  </si>
  <si>
    <t>Deciding victory in Go</t>
  </si>
  <si>
    <t>SRM490-D2-500</t>
  </si>
  <si>
    <t>Power Transmission</t>
  </si>
  <si>
    <t>SRM415-D2-500</t>
  </si>
  <si>
    <t>Trouble of 13-Dots</t>
  </si>
  <si>
    <t>SRM547-D2-500</t>
  </si>
  <si>
    <t>Sheet: Math, Search techniques, Bellman, Max Flow, MST, SCC, Euler, Trie</t>
  </si>
  <si>
    <t>Continents</t>
  </si>
  <si>
    <t>Code Refactoring</t>
  </si>
  <si>
    <t>SRM591-D2-500</t>
  </si>
  <si>
    <t>The Skyline Problem</t>
  </si>
  <si>
    <t>SRM429-D2-500</t>
  </si>
  <si>
    <t>Pyramids</t>
  </si>
  <si>
    <t>Make Palindrome</t>
  </si>
  <si>
    <t>SRM532-D2-500</t>
  </si>
  <si>
    <t>Big Mod</t>
  </si>
  <si>
    <t>Pouring water</t>
  </si>
  <si>
    <t>SRM578-D2-500</t>
  </si>
  <si>
    <t>Twin Primes</t>
  </si>
  <si>
    <t>Dividing coins</t>
  </si>
  <si>
    <t>SRM548-D2-500</t>
  </si>
  <si>
    <t>ABCDEF</t>
  </si>
  <si>
    <t>Knight Moves</t>
  </si>
  <si>
    <t>SRM553-D2-500</t>
  </si>
  <si>
    <t>Perfect Cubes</t>
  </si>
  <si>
    <t>Lift Hopping</t>
  </si>
  <si>
    <t>SRM438-D2-500</t>
  </si>
  <si>
    <t>23 out of 5</t>
  </si>
  <si>
    <t>SRM556-D2-500</t>
  </si>
  <si>
    <t>Changing Maze</t>
  </si>
  <si>
    <t>Phone List</t>
  </si>
  <si>
    <t>Longest Match</t>
  </si>
  <si>
    <t>SRM495-D2-500</t>
  </si>
  <si>
    <t>Aggressive cows</t>
  </si>
  <si>
    <t>Fast Food</t>
  </si>
  <si>
    <t>SRM366-D2-500</t>
  </si>
  <si>
    <t>Wormholes</t>
  </si>
  <si>
    <t>Word Transformation</t>
  </si>
  <si>
    <t>SRM412-D2-500</t>
  </si>
  <si>
    <t>Equation</t>
  </si>
  <si>
    <t>The Playboy Chimp</t>
  </si>
  <si>
    <t>SRM487-D2-500</t>
  </si>
  <si>
    <t>Mint</t>
  </si>
  <si>
    <t>Strategic Defense Initiative</t>
  </si>
  <si>
    <t>SRM421-D2-500</t>
  </si>
  <si>
    <t>Power of Cryptography</t>
  </si>
  <si>
    <t>SRM444-D2-500</t>
  </si>
  <si>
    <t>Counting</t>
  </si>
  <si>
    <t xml:space="preserve">ACM Contest and </t>
  </si>
  <si>
    <t>SRM484-D2-500</t>
  </si>
  <si>
    <t>Tic-Tac-Toe ( I )</t>
  </si>
  <si>
    <t>Search in the dictionary!</t>
  </si>
  <si>
    <t>The PATH</t>
  </si>
  <si>
    <t>SRM411-D2-500</t>
  </si>
  <si>
    <t>Virtual Friends</t>
  </si>
  <si>
    <t>SRM567-D2-500</t>
  </si>
  <si>
    <t>Fourth Point !!</t>
  </si>
  <si>
    <t>SRM354-D2-500</t>
  </si>
  <si>
    <t>Creating Palindrome</t>
  </si>
  <si>
    <t>The Lottery</t>
  </si>
  <si>
    <t>SRM357-D2-500</t>
  </si>
  <si>
    <t>Crabbles</t>
  </si>
  <si>
    <t>8 Queens Chess Problem</t>
  </si>
  <si>
    <t>SRM523-D2-500</t>
  </si>
  <si>
    <t>Prime Path</t>
  </si>
  <si>
    <t>Mittens</t>
  </si>
  <si>
    <t>How Many Points of ?</t>
  </si>
  <si>
    <t>Exchange Rates</t>
  </si>
  <si>
    <t>Dima and Containers</t>
  </si>
  <si>
    <t>Chocolate</t>
  </si>
  <si>
    <t>Highways</t>
  </si>
  <si>
    <t>Inna and Dima</t>
  </si>
  <si>
    <t xml:space="preserve">Summation of Four </t>
  </si>
  <si>
    <t>Mail Stamps</t>
  </si>
  <si>
    <t>Numbering Paths</t>
  </si>
  <si>
    <t>Gopher II</t>
  </si>
  <si>
    <t>Tic-Tac-Toe ( II )</t>
  </si>
  <si>
    <t>Unordered Subsequence</t>
  </si>
  <si>
    <t>The Necklace</t>
  </si>
  <si>
    <t>Nature</t>
  </si>
  <si>
    <t>Anagram</t>
  </si>
  <si>
    <t>The Stern-Brocot Number</t>
  </si>
  <si>
    <t>We Ship Cheap</t>
  </si>
  <si>
    <t>Four Segments</t>
  </si>
  <si>
    <t>Intersection</t>
  </si>
  <si>
    <t>Hiring Staff</t>
  </si>
  <si>
    <t xml:space="preserve">Identifying Concurrent </t>
  </si>
  <si>
    <t>Find the ways !</t>
  </si>
  <si>
    <t>Countdown</t>
  </si>
  <si>
    <t>System Administrator</t>
  </si>
  <si>
    <t>Factovisors</t>
  </si>
  <si>
    <t>Cleaning Robot</t>
  </si>
  <si>
    <t>John's trip</t>
  </si>
  <si>
    <t>Frogger</t>
  </si>
  <si>
    <t>Insertion Sort</t>
  </si>
  <si>
    <t>Be Efficient</t>
  </si>
  <si>
    <t>Optimal Array Multiplication Sequence</t>
  </si>
  <si>
    <t>Fire Again</t>
  </si>
  <si>
    <t>The Blocks Problem</t>
  </si>
  <si>
    <t>Squares</t>
  </si>
  <si>
    <t>Puzzle</t>
  </si>
  <si>
    <t>Title</t>
  </si>
  <si>
    <t>Software CRC</t>
  </si>
  <si>
    <t>Below the Diagonal</t>
  </si>
  <si>
    <t>BITMAP - Bitmap</t>
  </si>
  <si>
    <t>Hanoi Tower Troubles !</t>
  </si>
  <si>
    <t>Fractions Again?!</t>
  </si>
  <si>
    <t>Again Palindrome</t>
  </si>
  <si>
    <t>Sumsets</t>
  </si>
  <si>
    <t>Is It A Tree?</t>
  </si>
  <si>
    <t>Modular Fibonacci</t>
  </si>
  <si>
    <t>Roads in the North</t>
  </si>
  <si>
    <t>Divisors</t>
  </si>
  <si>
    <t>LCM Cardinality</t>
  </si>
  <si>
    <t>Cellphone Typing</t>
  </si>
  <si>
    <t>Prime Land</t>
  </si>
  <si>
    <t>Arctic Network</t>
  </si>
  <si>
    <t xml:space="preserve">Extrapolation Using a </t>
  </si>
  <si>
    <t>Intersecting Lines</t>
  </si>
  <si>
    <t>Subset Sums</t>
  </si>
  <si>
    <t>Factorial Factors</t>
  </si>
  <si>
    <t>Sphere in a tetrahedron</t>
  </si>
  <si>
    <t>Dungeon of Death</t>
  </si>
  <si>
    <t>XYZZY</t>
  </si>
  <si>
    <t>The Postal Worker Rings</t>
  </si>
  <si>
    <t>Sky Code</t>
  </si>
  <si>
    <t>Put here every external problem you solve</t>
  </si>
  <si>
    <t xml:space="preserve">The Problem with the </t>
  </si>
  <si>
    <t>E.g. after watching primes video...pick first 2 problems from video info..solve them...write in comments Primes</t>
  </si>
  <si>
    <t>Dictionary Subsequences</t>
  </si>
  <si>
    <t>When solve problems on videos...just pick 2...unless feel with urgent need to solve more</t>
  </si>
  <si>
    <t>Vertex Cover</t>
  </si>
  <si>
    <t>If you can't solve it, totally fine :) ... just put it in ToDos</t>
  </si>
  <si>
    <t>ICPC Scoreboard</t>
  </si>
  <si>
    <t>Key Task</t>
  </si>
  <si>
    <t>Tobo or not Tobo</t>
  </si>
  <si>
    <t>4 values whose sum is 0</t>
  </si>
  <si>
    <t>Copying Books</t>
  </si>
  <si>
    <t>Trip Routing</t>
  </si>
  <si>
    <t>Non-Stop Travel</t>
  </si>
  <si>
    <t>Gone Fishing</t>
  </si>
  <si>
    <t>Unidirectional TSP</t>
  </si>
  <si>
    <t>Laser Phones</t>
  </si>
  <si>
    <t>The dog task</t>
  </si>
  <si>
    <t>Divisibility of Factors</t>
  </si>
  <si>
    <t>Addition Chains</t>
  </si>
  <si>
    <t>Perfect Hash</t>
  </si>
  <si>
    <t>Travel in Desert</t>
  </si>
  <si>
    <t>The Cats and the Mouse</t>
  </si>
  <si>
    <t>Is There A Second Way Left?</t>
  </si>
  <si>
    <t>The Circumference of the</t>
  </si>
  <si>
    <t>Number Sequence</t>
  </si>
  <si>
    <t>Showstopper</t>
  </si>
  <si>
    <t>Palindromic Subsequence</t>
  </si>
  <si>
    <t>Accordian Patience</t>
  </si>
  <si>
    <t>The Tree Root</t>
  </si>
  <si>
    <t>Antifloyd</t>
  </si>
  <si>
    <t>Arbitrage</t>
  </si>
  <si>
    <t>Isolated Segments</t>
  </si>
  <si>
    <t>Angry Programmer</t>
  </si>
  <si>
    <t>Count the Faces.</t>
  </si>
  <si>
    <t>Software Allocation</t>
  </si>
  <si>
    <t>MELE3</t>
  </si>
  <si>
    <t>Scheduling Lectures</t>
  </si>
  <si>
    <t>Permalex</t>
  </si>
  <si>
    <t>Expressions</t>
  </si>
  <si>
    <t>Dominos</t>
  </si>
  <si>
    <t>Decoding Morse Sequences</t>
  </si>
  <si>
    <t>Perfect Rhyme</t>
  </si>
  <si>
    <t>Play on Words</t>
  </si>
  <si>
    <t>How Many Solutions?</t>
  </si>
  <si>
    <t>Another Game With Numbers</t>
  </si>
  <si>
    <t>Gopher Strategy</t>
  </si>
  <si>
    <t>New Marketing Plan</t>
  </si>
  <si>
    <t>Colour Hash</t>
  </si>
  <si>
    <t>The Cat in the Hat</t>
  </si>
  <si>
    <t>The Errant Physicist</t>
  </si>
  <si>
    <t>Parity</t>
  </si>
  <si>
    <t>Diccionário Portuñol</t>
  </si>
  <si>
    <t>L's in a Circle</t>
  </si>
  <si>
    <t>Instant View of Big Bang</t>
  </si>
  <si>
    <t>Texas Trip</t>
  </si>
  <si>
    <t>Solitaire</t>
  </si>
  <si>
    <t>Worm World</t>
  </si>
  <si>
    <t>Globetrotter</t>
  </si>
  <si>
    <t>Catenyms</t>
  </si>
  <si>
    <t xml:space="preserve">The ? 1 ? 2 ? ... ? n = k </t>
  </si>
  <si>
    <t>Square-free integers</t>
  </si>
  <si>
    <t>Roads</t>
  </si>
  <si>
    <t>Tin Cutter</t>
  </si>
  <si>
    <t>Coconuts</t>
  </si>
  <si>
    <t>Cijevi</t>
  </si>
  <si>
    <t>Hole Cutter</t>
  </si>
  <si>
    <t>Chase</t>
  </si>
  <si>
    <t>Bomb, Divide and Conquer</t>
  </si>
  <si>
    <t>Wavio Sequence</t>
  </si>
  <si>
    <t>Disjoint Paths</t>
  </si>
  <si>
    <t>Wandering 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</si>
</sst>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24" x14ac:knownFonts="1"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name val="Arial"/>
    </font>
    <font>
      <u/>
      <sz val="10"/>
      <color rgb="FF0000FF"/>
      <name val="Source Sans Pr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Source Sans Pr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Source Sans Pro"/>
    </font>
    <font>
      <u/>
      <sz val="10"/>
      <color rgb="FF0000FF"/>
      <name val="Source Sans Pro"/>
    </font>
    <font>
      <u/>
      <sz val="10"/>
      <color rgb="FF0000FF"/>
      <name val="Arial"/>
    </font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351C75"/>
        <bgColor rgb="FF351C75"/>
      </patternFill>
    </fill>
    <fill>
      <patternFill patternType="solid">
        <fgColor rgb="FFE6B8AF"/>
        <bgColor rgb="FFE6B8A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>
      <alignment wrapText="1"/>
    </xf>
    <xf numFmtId="164" fontId="1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4" fillId="0" borderId="0" xfId="0" applyFont="1" applyAlignment="1">
      <alignment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9" fillId="5" borderId="0" xfId="0" applyFont="1" applyFill="1" applyAlignment="1">
      <alignment wrapText="1"/>
    </xf>
    <xf numFmtId="0" fontId="10" fillId="5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0" borderId="0" xfId="0" applyFont="1" applyFill="1" applyAlignment="1">
      <alignment horizontal="left"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center" wrapText="1"/>
    </xf>
    <xf numFmtId="0" fontId="1" fillId="0" borderId="0" xfId="0" applyFont="1" applyAlignment="1">
      <alignment horizontal="left" wrapText="1"/>
    </xf>
    <xf numFmtId="164" fontId="1" fillId="2" borderId="0" xfId="0" applyNumberFormat="1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2" fillId="0" borderId="0" xfId="0" applyFont="1" applyAlignment="1"/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5" fillId="0" borderId="0" xfId="0" applyFont="1" applyAlignment="1"/>
    <xf numFmtId="0" fontId="16" fillId="0" borderId="0" xfId="0" applyFont="1" applyAlignment="1">
      <alignment wrapText="1"/>
    </xf>
    <xf numFmtId="0" fontId="1" fillId="10" borderId="0" xfId="0" applyFont="1" applyFill="1" applyAlignment="1">
      <alignment horizontal="left" wrapText="1"/>
    </xf>
    <xf numFmtId="0" fontId="1" fillId="12" borderId="0" xfId="0" applyFont="1" applyFill="1" applyAlignment="1">
      <alignment horizontal="left" wrapText="1"/>
    </xf>
    <xf numFmtId="0" fontId="17" fillId="0" borderId="0" xfId="0" applyFont="1" applyAlignment="1">
      <alignment wrapText="1"/>
    </xf>
    <xf numFmtId="0" fontId="18" fillId="0" borderId="0" xfId="0" applyFont="1" applyBorder="1" applyAlignment="1"/>
    <xf numFmtId="0" fontId="1" fillId="0" borderId="0" xfId="0" applyFont="1" applyBorder="1" applyAlignment="1">
      <alignment wrapText="1"/>
    </xf>
    <xf numFmtId="0" fontId="19" fillId="0" borderId="0" xfId="0" applyFont="1" applyBorder="1" applyAlignment="1"/>
    <xf numFmtId="0" fontId="20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21" fillId="0" borderId="0" xfId="0" applyFont="1" applyAlignment="1">
      <alignment wrapText="1"/>
    </xf>
    <xf numFmtId="164" fontId="22" fillId="2" borderId="0" xfId="0" applyNumberFormat="1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left" vertical="center" wrapText="1"/>
    </xf>
    <xf numFmtId="0" fontId="22" fillId="0" borderId="0" xfId="0" applyFont="1" applyAlignment="1">
      <alignment wrapText="1"/>
    </xf>
    <xf numFmtId="0" fontId="22" fillId="3" borderId="0" xfId="0" applyFont="1" applyFill="1" applyAlignment="1">
      <alignment horizontal="center" wrapText="1"/>
    </xf>
    <xf numFmtId="0" fontId="1" fillId="12" borderId="0" xfId="0" applyFont="1" applyFill="1" applyAlignment="1">
      <alignment horizontal="left" wrapText="1"/>
    </xf>
    <xf numFmtId="0" fontId="22" fillId="3" borderId="0" xfId="0" applyFont="1" applyFill="1" applyAlignment="1">
      <alignment horizontal="left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164" fontId="22" fillId="0" borderId="0" xfId="0" applyNumberFormat="1" applyFont="1" applyAlignment="1">
      <alignment horizontal="center" wrapText="1"/>
    </xf>
    <xf numFmtId="0" fontId="22" fillId="5" borderId="0" xfId="0" applyFont="1" applyFill="1" applyAlignment="1">
      <alignment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 wrapText="1"/>
    </xf>
    <xf numFmtId="0" fontId="22" fillId="5" borderId="0" xfId="0" applyFont="1" applyFill="1" applyAlignment="1">
      <alignment wrapText="1"/>
    </xf>
    <xf numFmtId="0" fontId="23" fillId="10" borderId="0" xfId="0" applyFont="1" applyFill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72"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EA9999"/>
          <bgColor rgb="FFEA9999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mostafasibrahim/" TargetMode="External"/><Relationship Id="rId4" Type="http://schemas.openxmlformats.org/officeDocument/2006/relationships/hyperlink" Target="https://www.youtube.com/playlist?list=PLPt2dINI2MIZPFq6HyUB1Uhxdh1UDnZMS" TargetMode="External"/><Relationship Id="rId5" Type="http://schemas.openxmlformats.org/officeDocument/2006/relationships/hyperlink" Target="https://www.youtube.com/playlist?list=PLPt2dINI2MIaNcU070HIAO8JWYBcafuyG" TargetMode="External"/><Relationship Id="rId6" Type="http://schemas.openxmlformats.org/officeDocument/2006/relationships/hyperlink" Target="https://uva.onlinejudge.org/index.php?option=com_content&amp;task=view&amp;id=16&amp;Itemid=31" TargetMode="External"/><Relationship Id="rId7" Type="http://schemas.openxmlformats.org/officeDocument/2006/relationships/hyperlink" Target="http://codeforces.com/problemset/problem/136/A" TargetMode="External"/><Relationship Id="rId8" Type="http://schemas.openxmlformats.org/officeDocument/2006/relationships/hyperlink" Target="https://docs.google.com/spreadsheets/d/1-A0sitOUOmHr_E7zoj5KQjrFGlZfWKU_mQ7AN4ztyOc/edit?usp=sharing" TargetMode="External"/><Relationship Id="rId9" Type="http://schemas.openxmlformats.org/officeDocument/2006/relationships/hyperlink" Target="https://docs.google.com/spreadsheets/d/18u-0hLEMc8d8ti1NoYM5mfLT-hLqmfkZ7VxEo1PT71M/edit?usp=sharing" TargetMode="External"/><Relationship Id="rId1" Type="http://schemas.openxmlformats.org/officeDocument/2006/relationships/hyperlink" Target="https://www.youtube.com/watch?v=DZ6YTtILCE8" TargetMode="External"/><Relationship Id="rId2" Type="http://schemas.openxmlformats.org/officeDocument/2006/relationships/hyperlink" Target="https://ask.fm/mostafasaad87" TargetMode="External"/></Relationships>
</file>

<file path=xl/worksheets/_rels/sheet2.xml.rels><?xml version="1.0" encoding="UTF-8" standalone="yes"?>
<Relationships xmlns="http://schemas.openxmlformats.org/package/2006/relationships"><Relationship Id="rId10" Type="http://schemas.openxmlformats.org/officeDocument/2006/relationships/hyperlink" Target="http://codeforces.com/problemset/problem/122/A" TargetMode="External"/><Relationship Id="rId11" Type="http://schemas.openxmlformats.org/officeDocument/2006/relationships/hyperlink" Target="http://codeforces.com/problemset/problem/136/A" TargetMode="External"/><Relationship Id="rId12" Type="http://schemas.openxmlformats.org/officeDocument/2006/relationships/hyperlink" Target="http://codeforces.com/problemset/problem/263/A" TargetMode="External"/><Relationship Id="rId13" Type="http://schemas.openxmlformats.org/officeDocument/2006/relationships/hyperlink" Target="https://www.youtube.com/watch?v=x1rCxxKfFbM" TargetMode="External"/><Relationship Id="rId14" Type="http://schemas.openxmlformats.org/officeDocument/2006/relationships/hyperlink" Target="https://www.youtube.com/watch?v=EQzmtn4PzYQ" TargetMode="External"/><Relationship Id="rId15" Type="http://schemas.openxmlformats.org/officeDocument/2006/relationships/hyperlink" Target="https://www.youtube.com/watch?v=Syx2qDjj7TE" TargetMode="External"/><Relationship Id="rId16" Type="http://schemas.openxmlformats.org/officeDocument/2006/relationships/hyperlink" Target="http://codeforces.com/problemset/problem/144/A" TargetMode="External"/><Relationship Id="rId17" Type="http://schemas.openxmlformats.org/officeDocument/2006/relationships/hyperlink" Target="http://codeforces.com/problemset/problem/268/A" TargetMode="External"/><Relationship Id="rId18" Type="http://schemas.openxmlformats.org/officeDocument/2006/relationships/hyperlink" Target="http://codeforces.com/problemset/problem/69/A" TargetMode="External"/><Relationship Id="rId19" Type="http://schemas.openxmlformats.org/officeDocument/2006/relationships/hyperlink" Target="http://codeforces.com/problemset/problem/479/A" TargetMode="External"/><Relationship Id="rId60" Type="http://schemas.openxmlformats.org/officeDocument/2006/relationships/hyperlink" Target="http://codeforces.com/problemset/problem/56/A" TargetMode="External"/><Relationship Id="rId61" Type="http://schemas.openxmlformats.org/officeDocument/2006/relationships/hyperlink" Target="http://codeforces.com/problemset/problem/31/A" TargetMode="External"/><Relationship Id="rId62" Type="http://schemas.openxmlformats.org/officeDocument/2006/relationships/hyperlink" Target="http://codeforces.com/problemset/problem/1/A" TargetMode="External"/><Relationship Id="rId63" Type="http://schemas.openxmlformats.org/officeDocument/2006/relationships/hyperlink" Target="http://codeforces.com/problemset/problem/158/A" TargetMode="External"/><Relationship Id="rId64" Type="http://schemas.openxmlformats.org/officeDocument/2006/relationships/hyperlink" Target="http://codeforces.com/problemset/problem/50/A" TargetMode="External"/><Relationship Id="rId65" Type="http://schemas.openxmlformats.org/officeDocument/2006/relationships/hyperlink" Target="http://codeforces.com/problemset/problem/231/A" TargetMode="External"/><Relationship Id="rId66" Type="http://schemas.openxmlformats.org/officeDocument/2006/relationships/hyperlink" Target="http://codeforces.com/problemset/problem/282/A" TargetMode="External"/><Relationship Id="rId67" Type="http://schemas.openxmlformats.org/officeDocument/2006/relationships/hyperlink" Target="http://codeforces.com/problemset/problem/116/A" TargetMode="External"/><Relationship Id="rId68" Type="http://schemas.openxmlformats.org/officeDocument/2006/relationships/hyperlink" Target="http://codeforces.com/problemset/problem/131/A" TargetMode="External"/><Relationship Id="rId69" Type="http://schemas.openxmlformats.org/officeDocument/2006/relationships/hyperlink" Target="http://codeforces.com/problemset/problem/96/A" TargetMode="External"/><Relationship Id="rId120" Type="http://schemas.openxmlformats.org/officeDocument/2006/relationships/hyperlink" Target="http://codeforces.com/problemset/problem/192/A" TargetMode="External"/><Relationship Id="rId121" Type="http://schemas.openxmlformats.org/officeDocument/2006/relationships/hyperlink" Target="http://codeforces.com/problemset/problem/234/A" TargetMode="External"/><Relationship Id="rId40" Type="http://schemas.openxmlformats.org/officeDocument/2006/relationships/hyperlink" Target="http://codeforces.com/problemset/problem/353/A" TargetMode="External"/><Relationship Id="rId41" Type="http://schemas.openxmlformats.org/officeDocument/2006/relationships/hyperlink" Target="http://codeforces.com/problemset/problem/300/A" TargetMode="External"/><Relationship Id="rId42" Type="http://schemas.openxmlformats.org/officeDocument/2006/relationships/hyperlink" Target="http://codeforces.com/problemset/problem/488/A" TargetMode="External"/><Relationship Id="rId90" Type="http://schemas.openxmlformats.org/officeDocument/2006/relationships/hyperlink" Target="http://codeforces.com/problemset/problem/439/A" TargetMode="External"/><Relationship Id="rId91" Type="http://schemas.openxmlformats.org/officeDocument/2006/relationships/hyperlink" Target="http://codeforces.com/problemset/problem/25/A" TargetMode="External"/><Relationship Id="rId92" Type="http://schemas.openxmlformats.org/officeDocument/2006/relationships/hyperlink" Target="http://codeforces.com/problemset/problem/330/A" TargetMode="External"/><Relationship Id="rId93" Type="http://schemas.openxmlformats.org/officeDocument/2006/relationships/hyperlink" Target="http://codeforces.com/problemset/problem/462/A" TargetMode="External"/><Relationship Id="rId94" Type="http://schemas.openxmlformats.org/officeDocument/2006/relationships/hyperlink" Target="http://codeforces.com/problemset/problem/276/A" TargetMode="External"/><Relationship Id="rId95" Type="http://schemas.openxmlformats.org/officeDocument/2006/relationships/hyperlink" Target="http://codeforces.com/problemset/problem/151/A" TargetMode="External"/><Relationship Id="rId96" Type="http://schemas.openxmlformats.org/officeDocument/2006/relationships/hyperlink" Target="http://codeforces.com/problemset/problem/496/A" TargetMode="External"/><Relationship Id="rId101" Type="http://schemas.openxmlformats.org/officeDocument/2006/relationships/hyperlink" Target="http://codeforces.com/problemset/problem/350/A" TargetMode="External"/><Relationship Id="rId102" Type="http://schemas.openxmlformats.org/officeDocument/2006/relationships/hyperlink" Target="http://codeforces.com/problemset/problem/265/A" TargetMode="External"/><Relationship Id="rId103" Type="http://schemas.openxmlformats.org/officeDocument/2006/relationships/hyperlink" Target="http://codeforces.com/problemset/problem/114/A" TargetMode="External"/><Relationship Id="rId104" Type="http://schemas.openxmlformats.org/officeDocument/2006/relationships/hyperlink" Target="http://codeforces.com/problemset/problem/389/A" TargetMode="External"/><Relationship Id="rId105" Type="http://schemas.openxmlformats.org/officeDocument/2006/relationships/hyperlink" Target="http://codeforces.com/problemset/problem/224/A" TargetMode="External"/><Relationship Id="rId106" Type="http://schemas.openxmlformats.org/officeDocument/2006/relationships/hyperlink" Target="http://codeforces.com/problemset/problem/43/A" TargetMode="External"/><Relationship Id="rId107" Type="http://schemas.openxmlformats.org/officeDocument/2006/relationships/hyperlink" Target="http://codeforces.com/problemset/problem/296/A" TargetMode="External"/><Relationship Id="rId108" Type="http://schemas.openxmlformats.org/officeDocument/2006/relationships/hyperlink" Target="http://codeforces.com/problemset/problem/361/A" TargetMode="External"/><Relationship Id="rId109" Type="http://schemas.openxmlformats.org/officeDocument/2006/relationships/hyperlink" Target="http://codeforces.com/problemset/problem/239/A" TargetMode="External"/><Relationship Id="rId97" Type="http://schemas.openxmlformats.org/officeDocument/2006/relationships/hyperlink" Target="http://codeforces.com/problemset/problem/483/A" TargetMode="External"/><Relationship Id="rId98" Type="http://schemas.openxmlformats.org/officeDocument/2006/relationships/hyperlink" Target="http://codeforces.com/problemset/problem/233/A" TargetMode="External"/><Relationship Id="rId99" Type="http://schemas.openxmlformats.org/officeDocument/2006/relationships/hyperlink" Target="http://codeforces.com/problemset/problem/165/A" TargetMode="External"/><Relationship Id="rId43" Type="http://schemas.openxmlformats.org/officeDocument/2006/relationships/hyperlink" Target="http://codeforces.com/problemset/problem/445/A" TargetMode="External"/><Relationship Id="rId44" Type="http://schemas.openxmlformats.org/officeDocument/2006/relationships/hyperlink" Target="http://codeforces.com/problemset/problem/75/A" TargetMode="External"/><Relationship Id="rId45" Type="http://schemas.openxmlformats.org/officeDocument/2006/relationships/hyperlink" Target="http://codeforces.com/problemset/problem/373/A" TargetMode="External"/><Relationship Id="rId46" Type="http://schemas.openxmlformats.org/officeDocument/2006/relationships/hyperlink" Target="http://codeforces.com/problemset/problem/355/A" TargetMode="External"/><Relationship Id="rId47" Type="http://schemas.openxmlformats.org/officeDocument/2006/relationships/hyperlink" Target="http://codeforces.com/problemset/problem/437/A" TargetMode="External"/><Relationship Id="rId48" Type="http://schemas.openxmlformats.org/officeDocument/2006/relationships/hyperlink" Target="http://codeforces.com/problemset/problem/408/A" TargetMode="External"/><Relationship Id="rId49" Type="http://schemas.openxmlformats.org/officeDocument/2006/relationships/hyperlink" Target="http://codeforces.com/problemset/problem/359/A" TargetMode="External"/><Relationship Id="rId100" Type="http://schemas.openxmlformats.org/officeDocument/2006/relationships/hyperlink" Target="http://codeforces.com/problemset/problem/501/A" TargetMode="External"/><Relationship Id="rId20" Type="http://schemas.openxmlformats.org/officeDocument/2006/relationships/hyperlink" Target="http://codeforces.com/problemset/problem/469/A" TargetMode="External"/><Relationship Id="rId21" Type="http://schemas.openxmlformats.org/officeDocument/2006/relationships/hyperlink" Target="http://codeforces.com/problemset/problem/313/A" TargetMode="External"/><Relationship Id="rId22" Type="http://schemas.openxmlformats.org/officeDocument/2006/relationships/hyperlink" Target="http://codeforces.com/problemset/problem/230/A" TargetMode="External"/><Relationship Id="rId70" Type="http://schemas.openxmlformats.org/officeDocument/2006/relationships/hyperlink" Target="http://codeforces.com/problemset/problem/266/A" TargetMode="External"/><Relationship Id="rId71" Type="http://schemas.openxmlformats.org/officeDocument/2006/relationships/hyperlink" Target="http://codeforces.com/problemset/problem/133/A" TargetMode="External"/><Relationship Id="rId72" Type="http://schemas.openxmlformats.org/officeDocument/2006/relationships/hyperlink" Target="http://codeforces.com/problemset/problem/281/A" TargetMode="External"/><Relationship Id="rId73" Type="http://schemas.openxmlformats.org/officeDocument/2006/relationships/hyperlink" Target="http://codeforces.com/problemset/problem/236/A" TargetMode="External"/><Relationship Id="rId74" Type="http://schemas.openxmlformats.org/officeDocument/2006/relationships/hyperlink" Target="http://codeforces.com/problemset/problem/148/A" TargetMode="External"/><Relationship Id="rId75" Type="http://schemas.openxmlformats.org/officeDocument/2006/relationships/hyperlink" Target="http://codeforces.com/problemset/problem/82/A" TargetMode="External"/><Relationship Id="rId76" Type="http://schemas.openxmlformats.org/officeDocument/2006/relationships/hyperlink" Target="http://codeforces.com/problemset/problem/467/A" TargetMode="External"/><Relationship Id="rId77" Type="http://schemas.openxmlformats.org/officeDocument/2006/relationships/hyperlink" Target="http://codeforces.com/problemset/problem/110/A" TargetMode="External"/><Relationship Id="rId78" Type="http://schemas.openxmlformats.org/officeDocument/2006/relationships/hyperlink" Target="http://codeforces.com/problemset/problem/119/A" TargetMode="External"/><Relationship Id="rId79" Type="http://schemas.openxmlformats.org/officeDocument/2006/relationships/hyperlink" Target="http://codeforces.com/problemset/problem/271/A" TargetMode="External"/><Relationship Id="rId23" Type="http://schemas.openxmlformats.org/officeDocument/2006/relationships/hyperlink" Target="http://codeforces.com/problemset/problem/490/A" TargetMode="External"/><Relationship Id="rId24" Type="http://schemas.openxmlformats.org/officeDocument/2006/relationships/hyperlink" Target="http://codeforces.com/problemset/problem/510/A" TargetMode="External"/><Relationship Id="rId25" Type="http://schemas.openxmlformats.org/officeDocument/2006/relationships/hyperlink" Target="http://codeforces.com/problemset/problem/432/A" TargetMode="External"/><Relationship Id="rId26" Type="http://schemas.openxmlformats.org/officeDocument/2006/relationships/hyperlink" Target="https://www.youtube.com/watch?v=9sqvjnvuLtY" TargetMode="External"/><Relationship Id="rId27" Type="http://schemas.openxmlformats.org/officeDocument/2006/relationships/hyperlink" Target="https://www.youtube.com/watch?v=sr6WgCLcgVM" TargetMode="External"/><Relationship Id="rId28" Type="http://schemas.openxmlformats.org/officeDocument/2006/relationships/hyperlink" Target="http://codeforces.com/problemset/problem/441/A" TargetMode="External"/><Relationship Id="rId29" Type="http://schemas.openxmlformats.org/officeDocument/2006/relationships/hyperlink" Target="http://codeforces.com/problemset/problem/385/A" TargetMode="External"/><Relationship Id="rId1" Type="http://schemas.openxmlformats.org/officeDocument/2006/relationships/hyperlink" Target="https://www.youtube.com/watch?v=fd0Ebfa_mJ0" TargetMode="External"/><Relationship Id="rId2" Type="http://schemas.openxmlformats.org/officeDocument/2006/relationships/hyperlink" Target="https://www.youtube.com/watch?v=olcmPKZNqnM" TargetMode="External"/><Relationship Id="rId3" Type="http://schemas.openxmlformats.org/officeDocument/2006/relationships/hyperlink" Target="http://codeforces.com/problemset/problem/4/A" TargetMode="External"/><Relationship Id="rId4" Type="http://schemas.openxmlformats.org/officeDocument/2006/relationships/hyperlink" Target="http://codeforces.com/problemset/problem/71/A" TargetMode="External"/><Relationship Id="rId5" Type="http://schemas.openxmlformats.org/officeDocument/2006/relationships/hyperlink" Target="http://codeforces.com/problemset/problem/118/A" TargetMode="External"/><Relationship Id="rId6" Type="http://schemas.openxmlformats.org/officeDocument/2006/relationships/hyperlink" Target="http://codeforces.com/problemset/problem/112/A" TargetMode="External"/><Relationship Id="rId7" Type="http://schemas.openxmlformats.org/officeDocument/2006/relationships/hyperlink" Target="http://codeforces.com/problemset/problem/339/A" TargetMode="External"/><Relationship Id="rId8" Type="http://schemas.openxmlformats.org/officeDocument/2006/relationships/hyperlink" Target="http://codeforces.com/problemset/problem/160/A" TargetMode="External"/><Relationship Id="rId9" Type="http://schemas.openxmlformats.org/officeDocument/2006/relationships/hyperlink" Target="http://codeforces.com/problemset/problem/58/A" TargetMode="External"/><Relationship Id="rId50" Type="http://schemas.openxmlformats.org/officeDocument/2006/relationships/hyperlink" Target="https://www.youtube.com/watch?v=VZBfW08ECgA" TargetMode="External"/><Relationship Id="rId51" Type="http://schemas.openxmlformats.org/officeDocument/2006/relationships/hyperlink" Target="https://www.youtube.com/watch?v=-5ApOQDhBtU" TargetMode="External"/><Relationship Id="rId52" Type="http://schemas.openxmlformats.org/officeDocument/2006/relationships/hyperlink" Target="http://codeforces.com/problemset/problem/358/A" TargetMode="External"/><Relationship Id="rId53" Type="http://schemas.openxmlformats.org/officeDocument/2006/relationships/hyperlink" Target="http://codeforces.com/problemset/problem/143/A" TargetMode="External"/><Relationship Id="rId54" Type="http://schemas.openxmlformats.org/officeDocument/2006/relationships/hyperlink" Target="http://codeforces.com/problemset/problem/108/A" TargetMode="External"/><Relationship Id="rId55" Type="http://schemas.openxmlformats.org/officeDocument/2006/relationships/hyperlink" Target="http://codeforces.com/problemset/problem/194/A" TargetMode="External"/><Relationship Id="rId56" Type="http://schemas.openxmlformats.org/officeDocument/2006/relationships/hyperlink" Target="http://codeforces.com/problemset/problem/257/A" TargetMode="External"/><Relationship Id="rId57" Type="http://schemas.openxmlformats.org/officeDocument/2006/relationships/hyperlink" Target="http://codeforces.com/problemset/problem/279/A" TargetMode="External"/><Relationship Id="rId58" Type="http://schemas.openxmlformats.org/officeDocument/2006/relationships/hyperlink" Target="http://codeforces.com/problemset/problem/370/A" TargetMode="External"/><Relationship Id="rId59" Type="http://schemas.openxmlformats.org/officeDocument/2006/relationships/hyperlink" Target="http://codeforces.com/problemset/problem/284/A" TargetMode="External"/><Relationship Id="rId110" Type="http://schemas.openxmlformats.org/officeDocument/2006/relationships/hyperlink" Target="http://codeforces.com/problemset/problem/363/A" TargetMode="External"/><Relationship Id="rId111" Type="http://schemas.openxmlformats.org/officeDocument/2006/relationships/hyperlink" Target="http://codeforces.com/problemset/problem/376/A" TargetMode="External"/><Relationship Id="rId112" Type="http://schemas.openxmlformats.org/officeDocument/2006/relationships/hyperlink" Target="http://codeforces.com/problemset/problem/302/A" TargetMode="External"/><Relationship Id="rId113" Type="http://schemas.openxmlformats.org/officeDocument/2006/relationships/hyperlink" Target="http://codeforces.com/problemset/problem/34/A" TargetMode="External"/><Relationship Id="rId114" Type="http://schemas.openxmlformats.org/officeDocument/2006/relationships/hyperlink" Target="http://codeforces.com/problemset/problem/186/A" TargetMode="External"/><Relationship Id="rId115" Type="http://schemas.openxmlformats.org/officeDocument/2006/relationships/hyperlink" Target="http://codeforces.com/problemset/problem/416/A" TargetMode="External"/><Relationship Id="rId116" Type="http://schemas.openxmlformats.org/officeDocument/2006/relationships/hyperlink" Target="http://codeforces.com/problemset/problem/106/A" TargetMode="External"/><Relationship Id="rId117" Type="http://schemas.openxmlformats.org/officeDocument/2006/relationships/hyperlink" Target="http://codeforces.com/problemset/problem/298/A" TargetMode="External"/><Relationship Id="rId118" Type="http://schemas.openxmlformats.org/officeDocument/2006/relationships/hyperlink" Target="http://codeforces.com/problemset/problem/27/A" TargetMode="External"/><Relationship Id="rId119" Type="http://schemas.openxmlformats.org/officeDocument/2006/relationships/hyperlink" Target="http://codeforces.com/problemset/problem/49/A" TargetMode="External"/><Relationship Id="rId30" Type="http://schemas.openxmlformats.org/officeDocument/2006/relationships/hyperlink" Target="http://codeforces.com/problemset/problem/378/A" TargetMode="External"/><Relationship Id="rId31" Type="http://schemas.openxmlformats.org/officeDocument/2006/relationships/hyperlink" Target="http://codeforces.com/problemset/problem/255/A" TargetMode="External"/><Relationship Id="rId32" Type="http://schemas.openxmlformats.org/officeDocument/2006/relationships/hyperlink" Target="http://codeforces.com/problemset/problem/404/A" TargetMode="External"/><Relationship Id="rId33" Type="http://schemas.openxmlformats.org/officeDocument/2006/relationships/hyperlink" Target="http://codeforces.com/problemset/problem/499/A" TargetMode="External"/><Relationship Id="rId34" Type="http://schemas.openxmlformats.org/officeDocument/2006/relationships/hyperlink" Target="http://codeforces.com/problemset/problem/262/A" TargetMode="External"/><Relationship Id="rId35" Type="http://schemas.openxmlformats.org/officeDocument/2006/relationships/hyperlink" Target="http://codeforces.com/problemset/problem/189/A" TargetMode="External"/><Relationship Id="rId36" Type="http://schemas.openxmlformats.org/officeDocument/2006/relationships/hyperlink" Target="http://codeforces.com/problemset/problem/152/A" TargetMode="External"/><Relationship Id="rId37" Type="http://schemas.openxmlformats.org/officeDocument/2006/relationships/hyperlink" Target="http://codeforces.com/problemset/problem/376/A" TargetMode="External"/><Relationship Id="rId38" Type="http://schemas.openxmlformats.org/officeDocument/2006/relationships/hyperlink" Target="https://www.youtube.com/watch?v=9wvqNeX_JnI" TargetMode="External"/><Relationship Id="rId39" Type="http://schemas.openxmlformats.org/officeDocument/2006/relationships/hyperlink" Target="https://www.youtube.com/watch?v=8V_xhaPpjmM" TargetMode="External"/><Relationship Id="rId80" Type="http://schemas.openxmlformats.org/officeDocument/2006/relationships/hyperlink" Target="http://codeforces.com/problemset/problem/472/A" TargetMode="External"/><Relationship Id="rId81" Type="http://schemas.openxmlformats.org/officeDocument/2006/relationships/hyperlink" Target="http://codeforces.com/problemset/problem/460/A" TargetMode="External"/><Relationship Id="rId82" Type="http://schemas.openxmlformats.org/officeDocument/2006/relationships/hyperlink" Target="http://codeforces.com/problemset/problem/451/A" TargetMode="External"/><Relationship Id="rId83" Type="http://schemas.openxmlformats.org/officeDocument/2006/relationships/hyperlink" Target="http://codeforces.com/problemset/problem/208/A" TargetMode="External"/><Relationship Id="rId84" Type="http://schemas.openxmlformats.org/officeDocument/2006/relationships/hyperlink" Target="http://codeforces.com/problemset/problem/337/A" TargetMode="External"/><Relationship Id="rId85" Type="http://schemas.openxmlformats.org/officeDocument/2006/relationships/hyperlink" Target="http://codeforces.com/problemset/problem/443/A" TargetMode="External"/><Relationship Id="rId86" Type="http://schemas.openxmlformats.org/officeDocument/2006/relationships/hyperlink" Target="http://codeforces.com/problemset/problem/318/A" TargetMode="External"/><Relationship Id="rId87" Type="http://schemas.openxmlformats.org/officeDocument/2006/relationships/hyperlink" Target="http://codeforces.com/problemset/problem/466/A" TargetMode="External"/><Relationship Id="rId88" Type="http://schemas.openxmlformats.org/officeDocument/2006/relationships/hyperlink" Target="http://codeforces.com/problemset/problem/459/A" TargetMode="External"/><Relationship Id="rId89" Type="http://schemas.openxmlformats.org/officeDocument/2006/relationships/hyperlink" Target="http://codeforces.com/problemset/problem/476/A" TargetMode="External"/></Relationships>
</file>

<file path=xl/worksheets/_rels/sheet3.xml.rels><?xml version="1.0" encoding="UTF-8" standalone="yes"?>
<Relationships xmlns="http://schemas.openxmlformats.org/package/2006/relationships"><Relationship Id="rId10" Type="http://schemas.openxmlformats.org/officeDocument/2006/relationships/hyperlink" Target="http://codeforces.com/problemset/problem/448/B" TargetMode="External"/><Relationship Id="rId11" Type="http://schemas.openxmlformats.org/officeDocument/2006/relationships/hyperlink" Target="http://codeforces.com/problemset/problem/486/B" TargetMode="External"/><Relationship Id="rId12" Type="http://schemas.openxmlformats.org/officeDocument/2006/relationships/hyperlink" Target="http://codeforces.com/problemset/problem/276/B" TargetMode="External"/><Relationship Id="rId13" Type="http://schemas.openxmlformats.org/officeDocument/2006/relationships/hyperlink" Target="https://www.youtube.com/watch?v=jzfcfQVBtKA" TargetMode="External"/><Relationship Id="rId14" Type="http://schemas.openxmlformats.org/officeDocument/2006/relationships/hyperlink" Target="https://www.youtube.com/watch?v=9DP0X2xlPCo" TargetMode="External"/><Relationship Id="rId15" Type="http://schemas.openxmlformats.org/officeDocument/2006/relationships/hyperlink" Target="http://codeforces.com/problemset/problem/279/B" TargetMode="External"/><Relationship Id="rId16" Type="http://schemas.openxmlformats.org/officeDocument/2006/relationships/hyperlink" Target="http://codeforces.com/problemset/problem/509/B" TargetMode="External"/><Relationship Id="rId17" Type="http://schemas.openxmlformats.org/officeDocument/2006/relationships/hyperlink" Target="http://codeforces.com/problemset/problem/387/B" TargetMode="External"/><Relationship Id="rId18" Type="http://schemas.openxmlformats.org/officeDocument/2006/relationships/hyperlink" Target="http://codeforces.com/problemset/problem/157/B" TargetMode="External"/><Relationship Id="rId19" Type="http://schemas.openxmlformats.org/officeDocument/2006/relationships/hyperlink" Target="http://codeforces.com/problemset/problem/330/B" TargetMode="External"/><Relationship Id="rId60" Type="http://schemas.openxmlformats.org/officeDocument/2006/relationships/hyperlink" Target="http://codeforces.com/problemset/problem/96/B" TargetMode="External"/><Relationship Id="rId61" Type="http://schemas.openxmlformats.org/officeDocument/2006/relationships/hyperlink" Target="http://codeforces.com/problemset/problem/195/B" TargetMode="External"/><Relationship Id="rId62" Type="http://schemas.openxmlformats.org/officeDocument/2006/relationships/hyperlink" Target="http://codeforces.com/problemset/problem/197/B" TargetMode="External"/><Relationship Id="rId63" Type="http://schemas.openxmlformats.org/officeDocument/2006/relationships/hyperlink" Target="http://codeforces.com/problemset/problem/214/B" TargetMode="External"/><Relationship Id="rId64" Type="http://schemas.openxmlformats.org/officeDocument/2006/relationships/hyperlink" Target="http://codeforces.com/problemset/problem/63/B" TargetMode="External"/><Relationship Id="rId65" Type="http://schemas.openxmlformats.org/officeDocument/2006/relationships/hyperlink" Target="https://www.youtube.com/watch?v=jxvaNAthWRI" TargetMode="External"/><Relationship Id="rId66" Type="http://schemas.openxmlformats.org/officeDocument/2006/relationships/hyperlink" Target="https://www.youtube.com/watch?v=O2SPaQXYHFc" TargetMode="External"/><Relationship Id="rId67" Type="http://schemas.openxmlformats.org/officeDocument/2006/relationships/hyperlink" Target="http://codeforces.com/problemset/problem/149/B" TargetMode="External"/><Relationship Id="rId68" Type="http://schemas.openxmlformats.org/officeDocument/2006/relationships/hyperlink" Target="http://codeforces.com/problemset/problem/61/B" TargetMode="External"/><Relationship Id="rId69" Type="http://schemas.openxmlformats.org/officeDocument/2006/relationships/hyperlink" Target="http://codeforces.com/problemset/problem/9/B" TargetMode="External"/><Relationship Id="rId120" Type="http://schemas.openxmlformats.org/officeDocument/2006/relationships/hyperlink" Target="http://codeforces.com/problemset/problem/493/B" TargetMode="External"/><Relationship Id="rId121" Type="http://schemas.openxmlformats.org/officeDocument/2006/relationships/hyperlink" Target="http://codeforces.com/problemset/problem/365/B" TargetMode="External"/><Relationship Id="rId122" Type="http://schemas.openxmlformats.org/officeDocument/2006/relationships/hyperlink" Target="http://codeforces.com/problemset/problem/34/B" TargetMode="External"/><Relationship Id="rId123" Type="http://schemas.openxmlformats.org/officeDocument/2006/relationships/hyperlink" Target="http://codeforces.com/problemset/problem/116/B" TargetMode="External"/><Relationship Id="rId124" Type="http://schemas.openxmlformats.org/officeDocument/2006/relationships/hyperlink" Target="http://codeforces.com/problemset/problem/282/B" TargetMode="External"/><Relationship Id="rId125" Type="http://schemas.openxmlformats.org/officeDocument/2006/relationships/hyperlink" Target="http://codeforces.com/problemset/problem/155/B" TargetMode="External"/><Relationship Id="rId126" Type="http://schemas.openxmlformats.org/officeDocument/2006/relationships/hyperlink" Target="http://codeforces.com/problemset/problem/133/B" TargetMode="External"/><Relationship Id="rId127" Type="http://schemas.openxmlformats.org/officeDocument/2006/relationships/hyperlink" Target="http://codeforces.com/problemset/problem/366/B" TargetMode="External"/><Relationship Id="rId128" Type="http://schemas.openxmlformats.org/officeDocument/2006/relationships/hyperlink" Target="http://codeforces.com/problemset/problem/514/B" TargetMode="External"/><Relationship Id="rId129" Type="http://schemas.openxmlformats.org/officeDocument/2006/relationships/hyperlink" Target="http://codeforces.com/problemset/problem/357/B" TargetMode="External"/><Relationship Id="rId40" Type="http://schemas.openxmlformats.org/officeDocument/2006/relationships/hyperlink" Target="https://www.youtube.com/watch?v=1Vi2h7dKdEQ" TargetMode="External"/><Relationship Id="rId41" Type="http://schemas.openxmlformats.org/officeDocument/2006/relationships/hyperlink" Target="https://www.youtube.com/watch?v=k5fDfC9vfWM" TargetMode="External"/><Relationship Id="rId42" Type="http://schemas.openxmlformats.org/officeDocument/2006/relationships/hyperlink" Target="https://www.youtube.com/watch?v=Fa69kqT9NPY" TargetMode="External"/><Relationship Id="rId90" Type="http://schemas.openxmlformats.org/officeDocument/2006/relationships/hyperlink" Target="http://codeforces.com/problemset/problem/268/B" TargetMode="External"/><Relationship Id="rId91" Type="http://schemas.openxmlformats.org/officeDocument/2006/relationships/hyperlink" Target="http://codeforces.com/problemset/problem/519/B" TargetMode="External"/><Relationship Id="rId92" Type="http://schemas.openxmlformats.org/officeDocument/2006/relationships/hyperlink" Target="http://codeforces.com/problemset/problem/459/B" TargetMode="External"/><Relationship Id="rId93" Type="http://schemas.openxmlformats.org/officeDocument/2006/relationships/hyperlink" Target="http://codeforces.com/problemset/problem/118/B" TargetMode="External"/><Relationship Id="rId94" Type="http://schemas.openxmlformats.org/officeDocument/2006/relationships/hyperlink" Target="http://codeforces.com/problemset/problem/200/B" TargetMode="External"/><Relationship Id="rId95" Type="http://schemas.openxmlformats.org/officeDocument/2006/relationships/hyperlink" Target="http://codeforces.com/problemset/problem/474/B" TargetMode="External"/><Relationship Id="rId96" Type="http://schemas.openxmlformats.org/officeDocument/2006/relationships/hyperlink" Target="http://codeforces.com/problemset/problem/1/B" TargetMode="External"/><Relationship Id="rId101" Type="http://schemas.openxmlformats.org/officeDocument/2006/relationships/hyperlink" Target="http://codeforces.com/problemset/problem/472/B" TargetMode="External"/><Relationship Id="rId102" Type="http://schemas.openxmlformats.org/officeDocument/2006/relationships/hyperlink" Target="http://codeforces.com/problemset/problem/489/B" TargetMode="External"/><Relationship Id="rId103" Type="http://schemas.openxmlformats.org/officeDocument/2006/relationships/hyperlink" Target="http://codeforces.com/problemset/problem/583/B" TargetMode="External"/><Relationship Id="rId104" Type="http://schemas.openxmlformats.org/officeDocument/2006/relationships/hyperlink" Target="http://codeforces.com/problemset/problem/313/B" TargetMode="External"/><Relationship Id="rId105" Type="http://schemas.openxmlformats.org/officeDocument/2006/relationships/hyperlink" Target="http://codeforces.com/problemset/problem/545/B" TargetMode="External"/><Relationship Id="rId106" Type="http://schemas.openxmlformats.org/officeDocument/2006/relationships/hyperlink" Target="http://codeforces.com/problemset/problem/581/B" TargetMode="External"/><Relationship Id="rId107" Type="http://schemas.openxmlformats.org/officeDocument/2006/relationships/hyperlink" Target="http://codeforces.com/problemset/problem/535/B" TargetMode="External"/><Relationship Id="rId108" Type="http://schemas.openxmlformats.org/officeDocument/2006/relationships/hyperlink" Target="http://codeforces.com/problemset/problem/567/B" TargetMode="External"/><Relationship Id="rId109" Type="http://schemas.openxmlformats.org/officeDocument/2006/relationships/hyperlink" Target="http://codeforces.com/problemset/problem/266/B" TargetMode="External"/><Relationship Id="rId97" Type="http://schemas.openxmlformats.org/officeDocument/2006/relationships/hyperlink" Target="http://codeforces.com/problemset/problem/552/B" TargetMode="External"/><Relationship Id="rId98" Type="http://schemas.openxmlformats.org/officeDocument/2006/relationships/hyperlink" Target="http://codeforces.com/problemset/problem/463/B" TargetMode="External"/><Relationship Id="rId99" Type="http://schemas.openxmlformats.org/officeDocument/2006/relationships/hyperlink" Target="http://codeforces.com/problemset/problem/546/B" TargetMode="External"/><Relationship Id="rId43" Type="http://schemas.openxmlformats.org/officeDocument/2006/relationships/hyperlink" Target="http://codeforces.com/problemset/problem/192/B" TargetMode="External"/><Relationship Id="rId44" Type="http://schemas.openxmlformats.org/officeDocument/2006/relationships/hyperlink" Target="http://codeforces.com/problemset/problem/342/B" TargetMode="External"/><Relationship Id="rId45" Type="http://schemas.openxmlformats.org/officeDocument/2006/relationships/hyperlink" Target="http://codeforces.com/problemset/problem/362/B" TargetMode="External"/><Relationship Id="rId46" Type="http://schemas.openxmlformats.org/officeDocument/2006/relationships/hyperlink" Target="http://codeforces.com/problemset/problem/231/B" TargetMode="External"/><Relationship Id="rId47" Type="http://schemas.openxmlformats.org/officeDocument/2006/relationships/hyperlink" Target="http://codeforces.com/problemset/problem/260/B" TargetMode="External"/><Relationship Id="rId48" Type="http://schemas.openxmlformats.org/officeDocument/2006/relationships/hyperlink" Target="http://codeforces.com/problemset/problem/225/B" TargetMode="External"/><Relationship Id="rId49" Type="http://schemas.openxmlformats.org/officeDocument/2006/relationships/hyperlink" Target="http://codeforces.com/problemset/problem/281/B" TargetMode="External"/><Relationship Id="rId100" Type="http://schemas.openxmlformats.org/officeDocument/2006/relationships/hyperlink" Target="http://codeforces.com/problemset/problem/570/B" TargetMode="External"/><Relationship Id="rId20" Type="http://schemas.openxmlformats.org/officeDocument/2006/relationships/hyperlink" Target="http://codeforces.com/problemset/problem/4/B" TargetMode="External"/><Relationship Id="rId21" Type="http://schemas.openxmlformats.org/officeDocument/2006/relationships/hyperlink" Target="http://codeforces.com/problemset/problem/122/B" TargetMode="External"/><Relationship Id="rId22" Type="http://schemas.openxmlformats.org/officeDocument/2006/relationships/hyperlink" Target="http://codeforces.com/problemset/problem/352/B" TargetMode="External"/><Relationship Id="rId70" Type="http://schemas.openxmlformats.org/officeDocument/2006/relationships/hyperlink" Target="http://codeforces.com/problemset/problem/349/B" TargetMode="External"/><Relationship Id="rId71" Type="http://schemas.openxmlformats.org/officeDocument/2006/relationships/hyperlink" Target="http://codeforces.com/problemset/problem/275/B" TargetMode="External"/><Relationship Id="rId72" Type="http://schemas.openxmlformats.org/officeDocument/2006/relationships/hyperlink" Target="http://codeforces.com/problemset/problem/56/B" TargetMode="External"/><Relationship Id="rId73" Type="http://schemas.openxmlformats.org/officeDocument/2006/relationships/hyperlink" Target="http://codeforces.com/problemset/problem/41/B" TargetMode="External"/><Relationship Id="rId74" Type="http://schemas.openxmlformats.org/officeDocument/2006/relationships/hyperlink" Target="http://codeforces.com/problemset/problem/31/B" TargetMode="External"/><Relationship Id="rId75" Type="http://schemas.openxmlformats.org/officeDocument/2006/relationships/hyperlink" Target="http://codeforces.com/problemset/problem/29/B" TargetMode="External"/><Relationship Id="rId76" Type="http://schemas.openxmlformats.org/officeDocument/2006/relationships/hyperlink" Target="http://codeforces.com/problemset/problem/53/B" TargetMode="External"/><Relationship Id="rId77" Type="http://schemas.openxmlformats.org/officeDocument/2006/relationships/hyperlink" Target="https://www.youtube.com/watch?v=xY8To84R87Y" TargetMode="External"/><Relationship Id="rId78" Type="http://schemas.openxmlformats.org/officeDocument/2006/relationships/hyperlink" Target="https://www.youtube.com/watch?v=OcqD14kI3Wk" TargetMode="External"/><Relationship Id="rId79" Type="http://schemas.openxmlformats.org/officeDocument/2006/relationships/hyperlink" Target="http://codeforces.com/problemset/problem/189/B" TargetMode="External"/><Relationship Id="rId23" Type="http://schemas.openxmlformats.org/officeDocument/2006/relationships/hyperlink" Target="http://codeforces.com/problemset/problem/289/B" TargetMode="External"/><Relationship Id="rId24" Type="http://schemas.openxmlformats.org/officeDocument/2006/relationships/hyperlink" Target="http://codeforces.com/problemset/problem/58/B" TargetMode="External"/><Relationship Id="rId25" Type="http://schemas.openxmlformats.org/officeDocument/2006/relationships/hyperlink" Target="https://www.youtube.com/watch?v=COB1GHq0YwY" TargetMode="External"/><Relationship Id="rId26" Type="http://schemas.openxmlformats.org/officeDocument/2006/relationships/hyperlink" Target="https://www.youtube.com/watch?v=iXxP_liQklk" TargetMode="External"/><Relationship Id="rId27" Type="http://schemas.openxmlformats.org/officeDocument/2006/relationships/hyperlink" Target="http://codeforces.com/problemset/problem/408/B" TargetMode="External"/><Relationship Id="rId28" Type="http://schemas.openxmlformats.org/officeDocument/2006/relationships/hyperlink" Target="http://codeforces.com/problemset/problem/416/B" TargetMode="External"/><Relationship Id="rId29" Type="http://schemas.openxmlformats.org/officeDocument/2006/relationships/hyperlink" Target="http://codeforces.com/problemset/problem/66/B" TargetMode="External"/><Relationship Id="rId130" Type="http://schemas.openxmlformats.org/officeDocument/2006/relationships/hyperlink" Target="http://codeforces.com/problemset/problem/110/B" TargetMode="External"/><Relationship Id="rId131" Type="http://schemas.openxmlformats.org/officeDocument/2006/relationships/hyperlink" Target="http://codeforces.com/problemset/problem/312/B" TargetMode="External"/><Relationship Id="rId1" Type="http://schemas.openxmlformats.org/officeDocument/2006/relationships/hyperlink" Target="https://www.youtube.com/watch?v=YTLv1fgISPI" TargetMode="External"/><Relationship Id="rId2" Type="http://schemas.openxmlformats.org/officeDocument/2006/relationships/hyperlink" Target="https://www.youtube.com/watch?v=YklnFXpq0ZE" TargetMode="External"/><Relationship Id="rId3" Type="http://schemas.openxmlformats.org/officeDocument/2006/relationships/hyperlink" Target="http://codeforces.com/problemset/problem/339/B" TargetMode="External"/><Relationship Id="rId4" Type="http://schemas.openxmlformats.org/officeDocument/2006/relationships/hyperlink" Target="http://codeforces.com/problemset/problem/478/B" TargetMode="External"/><Relationship Id="rId5" Type="http://schemas.openxmlformats.org/officeDocument/2006/relationships/hyperlink" Target="http://codeforces.com/problemset/problem/451/B" TargetMode="External"/><Relationship Id="rId6" Type="http://schemas.openxmlformats.org/officeDocument/2006/relationships/hyperlink" Target="http://codeforces.com/problemset/problem/230/B" TargetMode="External"/><Relationship Id="rId7" Type="http://schemas.openxmlformats.org/officeDocument/2006/relationships/hyperlink" Target="http://codeforces.com/problemset/problem/447/B" TargetMode="External"/><Relationship Id="rId8" Type="http://schemas.openxmlformats.org/officeDocument/2006/relationships/hyperlink" Target="http://codeforces.com/problemset/problem/454/B" TargetMode="External"/><Relationship Id="rId9" Type="http://schemas.openxmlformats.org/officeDocument/2006/relationships/hyperlink" Target="http://codeforces.com/problemset/problem/265/B" TargetMode="External"/><Relationship Id="rId50" Type="http://schemas.openxmlformats.org/officeDocument/2006/relationships/hyperlink" Target="http://codeforces.com/problemset/problem/94/B" TargetMode="External"/><Relationship Id="rId51" Type="http://schemas.openxmlformats.org/officeDocument/2006/relationships/hyperlink" Target="http://codeforces.com/problemset/problem/374/B" TargetMode="External"/><Relationship Id="rId52" Type="http://schemas.openxmlformats.org/officeDocument/2006/relationships/hyperlink" Target="http://codeforces.com/problemset/problem/69/B" TargetMode="External"/><Relationship Id="rId53" Type="http://schemas.openxmlformats.org/officeDocument/2006/relationships/hyperlink" Target="https://www.youtube.com/watch?v=gFdP6X4CyKU" TargetMode="External"/><Relationship Id="rId54" Type="http://schemas.openxmlformats.org/officeDocument/2006/relationships/hyperlink" Target="https://www.youtube.com/watch?v=1j3srLj-C5Q" TargetMode="External"/><Relationship Id="rId55" Type="http://schemas.openxmlformats.org/officeDocument/2006/relationships/hyperlink" Target="http://codeforces.com/problemset/problem/151/B" TargetMode="External"/><Relationship Id="rId56" Type="http://schemas.openxmlformats.org/officeDocument/2006/relationships/hyperlink" Target="http://codeforces.com/problemset/problem/129/B" TargetMode="External"/><Relationship Id="rId57" Type="http://schemas.openxmlformats.org/officeDocument/2006/relationships/hyperlink" Target="http://codeforces.com/problemset/problem/437/B" TargetMode="External"/><Relationship Id="rId58" Type="http://schemas.openxmlformats.org/officeDocument/2006/relationships/hyperlink" Target="http://codeforces.com/problemset/problem/219/B" TargetMode="External"/><Relationship Id="rId59" Type="http://schemas.openxmlformats.org/officeDocument/2006/relationships/hyperlink" Target="http://codeforces.com/problemset/problem/228/B" TargetMode="External"/><Relationship Id="rId110" Type="http://schemas.openxmlformats.org/officeDocument/2006/relationships/hyperlink" Target="http://codeforces.com/problemset/problem/467/B" TargetMode="External"/><Relationship Id="rId111" Type="http://schemas.openxmlformats.org/officeDocument/2006/relationships/hyperlink" Target="http://codeforces.com/problemset/problem/492/B" TargetMode="External"/><Relationship Id="rId112" Type="http://schemas.openxmlformats.org/officeDocument/2006/relationships/hyperlink" Target="http://codeforces.com/problemset/problem/499/B" TargetMode="External"/><Relationship Id="rId113" Type="http://schemas.openxmlformats.org/officeDocument/2006/relationships/hyperlink" Target="http://codeforces.com/problemset/problem/508/B" TargetMode="External"/><Relationship Id="rId114" Type="http://schemas.openxmlformats.org/officeDocument/2006/relationships/hyperlink" Target="http://codeforces.com/problemset/problem/507/B" TargetMode="External"/><Relationship Id="rId115" Type="http://schemas.openxmlformats.org/officeDocument/2006/relationships/hyperlink" Target="http://codeforces.com/problemset/problem/450/B" TargetMode="External"/><Relationship Id="rId116" Type="http://schemas.openxmlformats.org/officeDocument/2006/relationships/hyperlink" Target="http://codeforces.com/problemset/problem/285/B" TargetMode="External"/><Relationship Id="rId117" Type="http://schemas.openxmlformats.org/officeDocument/2006/relationships/hyperlink" Target="http://codeforces.com/problemset/problem/259/B" TargetMode="External"/><Relationship Id="rId118" Type="http://schemas.openxmlformats.org/officeDocument/2006/relationships/hyperlink" Target="http://codeforces.com/problemset/problem/432/B" TargetMode="External"/><Relationship Id="rId119" Type="http://schemas.openxmlformats.org/officeDocument/2006/relationships/hyperlink" Target="http://codeforces.com/problemset/problem/469/B" TargetMode="External"/><Relationship Id="rId30" Type="http://schemas.openxmlformats.org/officeDocument/2006/relationships/hyperlink" Target="http://codeforces.com/problemset/problem/337/B" TargetMode="External"/><Relationship Id="rId31" Type="http://schemas.openxmlformats.org/officeDocument/2006/relationships/hyperlink" Target="http://codeforces.com/problemset/problem/361/B" TargetMode="External"/><Relationship Id="rId32" Type="http://schemas.openxmlformats.org/officeDocument/2006/relationships/hyperlink" Target="http://codeforces.com/problemset/problem/234/B" TargetMode="External"/><Relationship Id="rId33" Type="http://schemas.openxmlformats.org/officeDocument/2006/relationships/hyperlink" Target="http://codeforces.com/problemset/problem/359/B" TargetMode="External"/><Relationship Id="rId34" Type="http://schemas.openxmlformats.org/officeDocument/2006/relationships/hyperlink" Target="http://codeforces.com/problemset/problem/143/B" TargetMode="External"/><Relationship Id="rId35" Type="http://schemas.openxmlformats.org/officeDocument/2006/relationships/hyperlink" Target="http://codeforces.com/problemset/problem/233/B" TargetMode="External"/><Relationship Id="rId36" Type="http://schemas.openxmlformats.org/officeDocument/2006/relationships/hyperlink" Target="http://codeforces.com/problemset/problem/205/B" TargetMode="External"/><Relationship Id="rId37" Type="http://schemas.openxmlformats.org/officeDocument/2006/relationships/hyperlink" Target="https://www.youtube.com/watch?v=XhVmgLXYvuQ" TargetMode="External"/><Relationship Id="rId38" Type="http://schemas.openxmlformats.org/officeDocument/2006/relationships/hyperlink" Target="https://www.youtube.com/watch?v=2CUN12WrNr4" TargetMode="External"/><Relationship Id="rId39" Type="http://schemas.openxmlformats.org/officeDocument/2006/relationships/hyperlink" Target="https://www.youtube.com/watch?v=dcMtSmWHLP4" TargetMode="External"/><Relationship Id="rId80" Type="http://schemas.openxmlformats.org/officeDocument/2006/relationships/hyperlink" Target="http://codeforces.com/problemset/problem/244/B" TargetMode="External"/><Relationship Id="rId81" Type="http://schemas.openxmlformats.org/officeDocument/2006/relationships/hyperlink" Target="http://codeforces.com/problemset/problem/14/B" TargetMode="External"/><Relationship Id="rId82" Type="http://schemas.openxmlformats.org/officeDocument/2006/relationships/hyperlink" Target="http://codeforces.com/problemset/problem/254/B" TargetMode="External"/><Relationship Id="rId83" Type="http://schemas.openxmlformats.org/officeDocument/2006/relationships/hyperlink" Target="http://codeforces.com/problemset/problem/103/B" TargetMode="External"/><Relationship Id="rId84" Type="http://schemas.openxmlformats.org/officeDocument/2006/relationships/hyperlink" Target="http://codeforces.com/problemset/problem/27/B" TargetMode="External"/><Relationship Id="rId85" Type="http://schemas.openxmlformats.org/officeDocument/2006/relationships/hyperlink" Target="http://codeforces.com/problemset/problem/99/B" TargetMode="External"/><Relationship Id="rId86" Type="http://schemas.openxmlformats.org/officeDocument/2006/relationships/hyperlink" Target="http://codeforces.com/problemset/problem/190/B" TargetMode="External"/><Relationship Id="rId87" Type="http://schemas.openxmlformats.org/officeDocument/2006/relationships/hyperlink" Target="http://codeforces.com/problemset/problem/22/B" TargetMode="External"/><Relationship Id="rId88" Type="http://schemas.openxmlformats.org/officeDocument/2006/relationships/hyperlink" Target="http://codeforces.com/problemset/problem/75/B" TargetMode="External"/><Relationship Id="rId89" Type="http://schemas.openxmlformats.org/officeDocument/2006/relationships/hyperlink" Target="http://codeforces.com/problemset/problem/158/B" TargetMode="External"/></Relationships>
</file>

<file path=xl/worksheets/_rels/sheet4.xml.rels><?xml version="1.0" encoding="UTF-8" standalone="yes"?>
<Relationships xmlns="http://schemas.openxmlformats.org/package/2006/relationships"><Relationship Id="rId10" Type="http://schemas.openxmlformats.org/officeDocument/2006/relationships/hyperlink" Target="http://codeforces.com/problemset/problem/12/C" TargetMode="External"/><Relationship Id="rId11" Type="http://schemas.openxmlformats.org/officeDocument/2006/relationships/hyperlink" Target="http://codeforces.com/problemset/problem/518/C" TargetMode="External"/><Relationship Id="rId12" Type="http://schemas.openxmlformats.org/officeDocument/2006/relationships/hyperlink" Target="http://codeforces.com/problemset/problem/416/C" TargetMode="External"/><Relationship Id="rId13" Type="http://schemas.openxmlformats.org/officeDocument/2006/relationships/hyperlink" Target="https://www.youtube.com/watch?v=hLXVhRzqq18" TargetMode="External"/><Relationship Id="rId14" Type="http://schemas.openxmlformats.org/officeDocument/2006/relationships/hyperlink" Target="https://www.youtube.com/watch?v=vAqaki1BhS0" TargetMode="External"/><Relationship Id="rId15" Type="http://schemas.openxmlformats.org/officeDocument/2006/relationships/hyperlink" Target="https://www.youtube.com/watch?v=PrXbn8-zw14" TargetMode="External"/><Relationship Id="rId16" Type="http://schemas.openxmlformats.org/officeDocument/2006/relationships/hyperlink" Target="http://codeforces.com/problemset/problem/523/C" TargetMode="External"/><Relationship Id="rId17" Type="http://schemas.openxmlformats.org/officeDocument/2006/relationships/hyperlink" Target="http://codeforces.com/problemset/problem/472/C" TargetMode="External"/><Relationship Id="rId18" Type="http://schemas.openxmlformats.org/officeDocument/2006/relationships/hyperlink" Target="http://codeforces.com/problemset/problem/550/C" TargetMode="External"/><Relationship Id="rId19" Type="http://schemas.openxmlformats.org/officeDocument/2006/relationships/hyperlink" Target="http://codeforces.com/problemset/problem/149/C" TargetMode="External"/><Relationship Id="rId60" Type="http://schemas.openxmlformats.org/officeDocument/2006/relationships/hyperlink" Target="http://codeforces.com/problemset/problem/387/C" TargetMode="External"/><Relationship Id="rId61" Type="http://schemas.openxmlformats.org/officeDocument/2006/relationships/hyperlink" Target="http://codeforces.com/problemset/problem/404/C" TargetMode="External"/><Relationship Id="rId62" Type="http://schemas.openxmlformats.org/officeDocument/2006/relationships/hyperlink" Target="http://codeforces.com/problemset/problem/505/C" TargetMode="External"/><Relationship Id="rId63" Type="http://schemas.openxmlformats.org/officeDocument/2006/relationships/hyperlink" Target="https://www.youtube.com/watch?v=ZIJLCVn4KzQ" TargetMode="External"/><Relationship Id="rId64" Type="http://schemas.openxmlformats.org/officeDocument/2006/relationships/hyperlink" Target="https://www.youtube.com/watch?v=RASvnfG2SSE" TargetMode="External"/><Relationship Id="rId65" Type="http://schemas.openxmlformats.org/officeDocument/2006/relationships/hyperlink" Target="http://codeforces.com/problemset/problem/534/C" TargetMode="External"/><Relationship Id="rId66" Type="http://schemas.openxmlformats.org/officeDocument/2006/relationships/hyperlink" Target="http://codeforces.com/problemset/problem/350/C" TargetMode="External"/><Relationship Id="rId67" Type="http://schemas.openxmlformats.org/officeDocument/2006/relationships/hyperlink" Target="http://codeforces.com/problemset/problem/432/C" TargetMode="External"/><Relationship Id="rId68" Type="http://schemas.openxmlformats.org/officeDocument/2006/relationships/hyperlink" Target="http://codeforces.com/problemset/problem/400/C" TargetMode="External"/><Relationship Id="rId69" Type="http://schemas.openxmlformats.org/officeDocument/2006/relationships/hyperlink" Target="http://codeforces.com/problemset/problem/526/C" TargetMode="External"/><Relationship Id="rId120" Type="http://schemas.openxmlformats.org/officeDocument/2006/relationships/hyperlink" Target="http://codeforces.com/problemset/problem/535/C" TargetMode="External"/><Relationship Id="rId121" Type="http://schemas.openxmlformats.org/officeDocument/2006/relationships/hyperlink" Target="http://codeforces.com/problemset/problem/451/C" TargetMode="External"/><Relationship Id="rId122" Type="http://schemas.openxmlformats.org/officeDocument/2006/relationships/hyperlink" Target="http://codeforces.com/problemset/problem/353/C" TargetMode="External"/><Relationship Id="rId123" Type="http://schemas.openxmlformats.org/officeDocument/2006/relationships/hyperlink" Target="http://codeforces.com/problemset/problem/234/C" TargetMode="External"/><Relationship Id="rId124" Type="http://schemas.openxmlformats.org/officeDocument/2006/relationships/hyperlink" Target="http://codeforces.com/problemset/problem/166/C" TargetMode="External"/><Relationship Id="rId125" Type="http://schemas.openxmlformats.org/officeDocument/2006/relationships/hyperlink" Target="http://codeforces.com/problemset/problem/371/C" TargetMode="External"/><Relationship Id="rId126" Type="http://schemas.openxmlformats.org/officeDocument/2006/relationships/hyperlink" Target="http://codeforces.com/problemset/problem/427/C" TargetMode="External"/><Relationship Id="rId127" Type="http://schemas.openxmlformats.org/officeDocument/2006/relationships/hyperlink" Target="http://codeforces.com/problemset/problem/18/C" TargetMode="External"/><Relationship Id="rId128" Type="http://schemas.openxmlformats.org/officeDocument/2006/relationships/hyperlink" Target="http://codeforces.com/problemset/problem/279/C" TargetMode="External"/><Relationship Id="rId129" Type="http://schemas.openxmlformats.org/officeDocument/2006/relationships/hyperlink" Target="http://codeforces.com/problemset/problem/144/C" TargetMode="External"/><Relationship Id="rId40" Type="http://schemas.openxmlformats.org/officeDocument/2006/relationships/hyperlink" Target="https://www.youtube.com/watch?v=b4AC2jGNGEM" TargetMode="External"/><Relationship Id="rId41" Type="http://schemas.openxmlformats.org/officeDocument/2006/relationships/hyperlink" Target="https://www.youtube.com/watch?v=pJbeTrSKl3Y" TargetMode="External"/><Relationship Id="rId42" Type="http://schemas.openxmlformats.org/officeDocument/2006/relationships/hyperlink" Target="http://codeforces.com/problemset/problem/515/C" TargetMode="External"/><Relationship Id="rId90" Type="http://schemas.openxmlformats.org/officeDocument/2006/relationships/hyperlink" Target="http://codeforces.com/problemset/problem/546/C" TargetMode="External"/><Relationship Id="rId91" Type="http://schemas.openxmlformats.org/officeDocument/2006/relationships/hyperlink" Target="http://codeforces.com/problemset/problem/466/C" TargetMode="External"/><Relationship Id="rId92" Type="http://schemas.openxmlformats.org/officeDocument/2006/relationships/hyperlink" Target="http://codeforces.com/problemset/problem/545/C" TargetMode="External"/><Relationship Id="rId93" Type="http://schemas.openxmlformats.org/officeDocument/2006/relationships/hyperlink" Target="http://codeforces.com/problemset/problem/580/C" TargetMode="External"/><Relationship Id="rId94" Type="http://schemas.openxmlformats.org/officeDocument/2006/relationships/hyperlink" Target="http://codeforces.com/problemset/problem/581/C" TargetMode="External"/><Relationship Id="rId95" Type="http://schemas.openxmlformats.org/officeDocument/2006/relationships/hyperlink" Target="http://codeforces.com/problemset/problem/500/C" TargetMode="External"/><Relationship Id="rId96" Type="http://schemas.openxmlformats.org/officeDocument/2006/relationships/hyperlink" Target="http://codeforces.com/problemset/problem/401/C" TargetMode="External"/><Relationship Id="rId101" Type="http://schemas.openxmlformats.org/officeDocument/2006/relationships/hyperlink" Target="http://codeforces.com/problemset/problem/268/C" TargetMode="External"/><Relationship Id="rId102" Type="http://schemas.openxmlformats.org/officeDocument/2006/relationships/hyperlink" Target="http://codeforces.com/problemset/problem/567/C" TargetMode="External"/><Relationship Id="rId103" Type="http://schemas.openxmlformats.org/officeDocument/2006/relationships/hyperlink" Target="http://codeforces.com/problemset/problem/441/C" TargetMode="External"/><Relationship Id="rId104" Type="http://schemas.openxmlformats.org/officeDocument/2006/relationships/hyperlink" Target="http://codeforces.com/problemset/problem/282/C" TargetMode="External"/><Relationship Id="rId105" Type="http://schemas.openxmlformats.org/officeDocument/2006/relationships/hyperlink" Target="http://codeforces.com/problemset/problem/486/C" TargetMode="External"/><Relationship Id="rId106" Type="http://schemas.openxmlformats.org/officeDocument/2006/relationships/hyperlink" Target="http://codeforces.com/problemset/problem/165/C" TargetMode="External"/><Relationship Id="rId107" Type="http://schemas.openxmlformats.org/officeDocument/2006/relationships/hyperlink" Target="http://codeforces.com/problemset/problem/272/C" TargetMode="External"/><Relationship Id="rId108" Type="http://schemas.openxmlformats.org/officeDocument/2006/relationships/hyperlink" Target="http://codeforces.com/problemset/problem/508/C" TargetMode="External"/><Relationship Id="rId109" Type="http://schemas.openxmlformats.org/officeDocument/2006/relationships/hyperlink" Target="http://codeforces.com/problemset/problem/493/C" TargetMode="External"/><Relationship Id="rId97" Type="http://schemas.openxmlformats.org/officeDocument/2006/relationships/hyperlink" Target="http://codeforces.com/problemset/problem/431/C" TargetMode="External"/><Relationship Id="rId98" Type="http://schemas.openxmlformats.org/officeDocument/2006/relationships/hyperlink" Target="http://codeforces.com/problemset/problem/538/C" TargetMode="External"/><Relationship Id="rId99" Type="http://schemas.openxmlformats.org/officeDocument/2006/relationships/hyperlink" Target="http://codeforces.com/problemset/problem/510/C" TargetMode="External"/><Relationship Id="rId43" Type="http://schemas.openxmlformats.org/officeDocument/2006/relationships/hyperlink" Target="http://codeforces.com/problemset/problem/527/C" TargetMode="External"/><Relationship Id="rId44" Type="http://schemas.openxmlformats.org/officeDocument/2006/relationships/hyperlink" Target="http://codeforces.com/problemset/problem/417/C" TargetMode="External"/><Relationship Id="rId45" Type="http://schemas.openxmlformats.org/officeDocument/2006/relationships/hyperlink" Target="http://codeforces.com/problemset/problem/71/C" TargetMode="External"/><Relationship Id="rId46" Type="http://schemas.openxmlformats.org/officeDocument/2006/relationships/hyperlink" Target="http://codeforces.com/problemset/problem/379/C" TargetMode="External"/><Relationship Id="rId47" Type="http://schemas.openxmlformats.org/officeDocument/2006/relationships/hyperlink" Target="http://codeforces.com/problemset/problem/131/C" TargetMode="External"/><Relationship Id="rId48" Type="http://schemas.openxmlformats.org/officeDocument/2006/relationships/hyperlink" Target="http://codeforces.com/problemset/problem/471/C" TargetMode="External"/><Relationship Id="rId49" Type="http://schemas.openxmlformats.org/officeDocument/2006/relationships/hyperlink" Target="http://codeforces.com/problemset/problem/255/C" TargetMode="External"/><Relationship Id="rId100" Type="http://schemas.openxmlformats.org/officeDocument/2006/relationships/hyperlink" Target="http://codeforces.com/problemset/problem/525/C" TargetMode="External"/><Relationship Id="rId20" Type="http://schemas.openxmlformats.org/officeDocument/2006/relationships/hyperlink" Target="http://codeforces.com/problemset/problem/570/C" TargetMode="External"/><Relationship Id="rId21" Type="http://schemas.openxmlformats.org/officeDocument/2006/relationships/hyperlink" Target="http://codeforces.com/problemset/problem/276/C" TargetMode="External"/><Relationship Id="rId22" Type="http://schemas.openxmlformats.org/officeDocument/2006/relationships/hyperlink" Target="http://codeforces.com/problemset/problem/3/C" TargetMode="External"/><Relationship Id="rId70" Type="http://schemas.openxmlformats.org/officeDocument/2006/relationships/hyperlink" Target="http://codeforces.com/problemset/problem/20/C" TargetMode="External"/><Relationship Id="rId71" Type="http://schemas.openxmlformats.org/officeDocument/2006/relationships/hyperlink" Target="http://codeforces.com/problemset/problem/242/C" TargetMode="External"/><Relationship Id="rId72" Type="http://schemas.openxmlformats.org/officeDocument/2006/relationships/hyperlink" Target="http://codeforces.com/problemset/problem/551/C" TargetMode="External"/><Relationship Id="rId73" Type="http://schemas.openxmlformats.org/officeDocument/2006/relationships/hyperlink" Target="http://codeforces.com/problemset/problem/460/C" TargetMode="External"/><Relationship Id="rId74" Type="http://schemas.openxmlformats.org/officeDocument/2006/relationships/hyperlink" Target="http://codeforces.com/problemset/problem/448/C" TargetMode="External"/><Relationship Id="rId75" Type="http://schemas.openxmlformats.org/officeDocument/2006/relationships/hyperlink" Target="https://www.youtube.com/watch?v=lE09Ss_Sy0A" TargetMode="External"/><Relationship Id="rId76" Type="http://schemas.openxmlformats.org/officeDocument/2006/relationships/hyperlink" Target="https://www.youtube.com/watch?v=s3IGwpJwCTA" TargetMode="External"/><Relationship Id="rId77" Type="http://schemas.openxmlformats.org/officeDocument/2006/relationships/hyperlink" Target="http://codeforces.com/problemset/problem/140/C" TargetMode="External"/><Relationship Id="rId78" Type="http://schemas.openxmlformats.org/officeDocument/2006/relationships/hyperlink" Target="http://codeforces.com/problemset/problem/237/C" TargetMode="External"/><Relationship Id="rId79" Type="http://schemas.openxmlformats.org/officeDocument/2006/relationships/hyperlink" Target="http://codeforces.com/problemset/problem/260/C" TargetMode="External"/><Relationship Id="rId23" Type="http://schemas.openxmlformats.org/officeDocument/2006/relationships/hyperlink" Target="http://codeforces.com/problemset/problem/41/C" TargetMode="External"/><Relationship Id="rId24" Type="http://schemas.openxmlformats.org/officeDocument/2006/relationships/hyperlink" Target="http://codeforces.com/problemset/problem/405/C" TargetMode="External"/><Relationship Id="rId25" Type="http://schemas.openxmlformats.org/officeDocument/2006/relationships/hyperlink" Target="http://codeforces.com/problemset/problem/313/C" TargetMode="External"/><Relationship Id="rId26" Type="http://schemas.openxmlformats.org/officeDocument/2006/relationships/hyperlink" Target="https://www.youtube.com/watch?v=6GzxGabB5MI" TargetMode="External"/><Relationship Id="rId27" Type="http://schemas.openxmlformats.org/officeDocument/2006/relationships/hyperlink" Target="https://www.youtube.com/watch?v=g4CWwTOGxdM" TargetMode="External"/><Relationship Id="rId28" Type="http://schemas.openxmlformats.org/officeDocument/2006/relationships/hyperlink" Target="https://www.youtube.com/watch?v=tcQky6O1em8" TargetMode="External"/><Relationship Id="rId29" Type="http://schemas.openxmlformats.org/officeDocument/2006/relationships/hyperlink" Target="http://codeforces.com/problemset/problem/137/C" TargetMode="External"/><Relationship Id="rId130" Type="http://schemas.openxmlformats.org/officeDocument/2006/relationships/hyperlink" Target="http://codeforces.com/problemset/problem/120/C" TargetMode="External"/><Relationship Id="rId131" Type="http://schemas.openxmlformats.org/officeDocument/2006/relationships/hyperlink" Target="http://codeforces.com/problemset/problem/271/C" TargetMode="External"/><Relationship Id="rId132" Type="http://schemas.openxmlformats.org/officeDocument/2006/relationships/hyperlink" Target="http://codeforces.com/problemset/problem/5/C" TargetMode="External"/><Relationship Id="rId133" Type="http://schemas.openxmlformats.org/officeDocument/2006/relationships/hyperlink" Target="http://codeforces.com/problemset/problem/412/C" TargetMode="External"/><Relationship Id="rId134" Type="http://schemas.openxmlformats.org/officeDocument/2006/relationships/hyperlink" Target="http://codeforces.com/problemset/problem/231/C" TargetMode="External"/><Relationship Id="rId135" Type="http://schemas.openxmlformats.org/officeDocument/2006/relationships/hyperlink" Target="http://codeforces.com/problemset/problem/246/C" TargetMode="External"/><Relationship Id="rId136" Type="http://schemas.openxmlformats.org/officeDocument/2006/relationships/hyperlink" Target="http://codeforces.com/problemset/problem/327/C" TargetMode="External"/><Relationship Id="rId137" Type="http://schemas.openxmlformats.org/officeDocument/2006/relationships/hyperlink" Target="http://codeforces.com/problemset/problem/514/C" TargetMode="External"/><Relationship Id="rId138" Type="http://schemas.openxmlformats.org/officeDocument/2006/relationships/hyperlink" Target="http://codeforces.com/problemset/problem/424/C" TargetMode="External"/><Relationship Id="rId139" Type="http://schemas.openxmlformats.org/officeDocument/2006/relationships/hyperlink" Target="http://codeforces.com/problemset/problem/291/C" TargetMode="External"/><Relationship Id="rId1" Type="http://schemas.openxmlformats.org/officeDocument/2006/relationships/hyperlink" Target="https://www.youtube.com/watch?v=ZNYQrKpR42g" TargetMode="External"/><Relationship Id="rId2" Type="http://schemas.openxmlformats.org/officeDocument/2006/relationships/hyperlink" Target="https://www.youtube.com/watch?v=2G7RzlxTNPo" TargetMode="External"/><Relationship Id="rId3" Type="http://schemas.openxmlformats.org/officeDocument/2006/relationships/hyperlink" Target="http://codeforces.com/problemset/problem/285/C" TargetMode="External"/><Relationship Id="rId4" Type="http://schemas.openxmlformats.org/officeDocument/2006/relationships/hyperlink" Target="http://codeforces.com/problemset/problem/479/C" TargetMode="External"/><Relationship Id="rId5" Type="http://schemas.openxmlformats.org/officeDocument/2006/relationships/hyperlink" Target="http://codeforces.com/problemset/problem/492/C" TargetMode="External"/><Relationship Id="rId6" Type="http://schemas.openxmlformats.org/officeDocument/2006/relationships/hyperlink" Target="http://codeforces.com/problemset/problem/203/C" TargetMode="External"/><Relationship Id="rId7" Type="http://schemas.openxmlformats.org/officeDocument/2006/relationships/hyperlink" Target="http://codeforces.com/problemset/problem/43/C" TargetMode="External"/><Relationship Id="rId8" Type="http://schemas.openxmlformats.org/officeDocument/2006/relationships/hyperlink" Target="http://codeforces.com/problemset/problem/53/C" TargetMode="External"/><Relationship Id="rId9" Type="http://schemas.openxmlformats.org/officeDocument/2006/relationships/hyperlink" Target="http://codeforces.com/problemset/problem/34/C" TargetMode="External"/><Relationship Id="rId50" Type="http://schemas.openxmlformats.org/officeDocument/2006/relationships/hyperlink" Target="http://codeforces.com/problemset/problem/478/C" TargetMode="External"/><Relationship Id="rId51" Type="http://schemas.openxmlformats.org/officeDocument/2006/relationships/hyperlink" Target="http://codeforces.com/problemset/problem/584/C" TargetMode="External"/><Relationship Id="rId52" Type="http://schemas.openxmlformats.org/officeDocument/2006/relationships/hyperlink" Target="https://www.youtube.com/watch?v=HQ5ANfzSDn0" TargetMode="External"/><Relationship Id="rId53" Type="http://schemas.openxmlformats.org/officeDocument/2006/relationships/hyperlink" Target="http://codeforces.com/problemset/problem/463/C" TargetMode="External"/><Relationship Id="rId54" Type="http://schemas.openxmlformats.org/officeDocument/2006/relationships/hyperlink" Target="http://codeforces.com/problemset/problem/490/C" TargetMode="External"/><Relationship Id="rId55" Type="http://schemas.openxmlformats.org/officeDocument/2006/relationships/hyperlink" Target="http://codeforces.com/problemset/problem/496/C" TargetMode="External"/><Relationship Id="rId56" Type="http://schemas.openxmlformats.org/officeDocument/2006/relationships/hyperlink" Target="http://codeforces.com/problemset/problem/219/C" TargetMode="External"/><Relationship Id="rId57" Type="http://schemas.openxmlformats.org/officeDocument/2006/relationships/hyperlink" Target="http://codeforces.com/problemset/problem/366/C" TargetMode="External"/><Relationship Id="rId58" Type="http://schemas.openxmlformats.org/officeDocument/2006/relationships/hyperlink" Target="http://codeforces.com/problemset/problem/363/C" TargetMode="External"/><Relationship Id="rId59" Type="http://schemas.openxmlformats.org/officeDocument/2006/relationships/hyperlink" Target="http://codeforces.com/problemset/problem/385/C" TargetMode="External"/><Relationship Id="rId110" Type="http://schemas.openxmlformats.org/officeDocument/2006/relationships/hyperlink" Target="http://codeforces.com/problemset/problem/6/C" TargetMode="External"/><Relationship Id="rId111" Type="http://schemas.openxmlformats.org/officeDocument/2006/relationships/hyperlink" Target="http://codeforces.com/problemset/problem/552/C" TargetMode="External"/><Relationship Id="rId112" Type="http://schemas.openxmlformats.org/officeDocument/2006/relationships/hyperlink" Target="http://codeforces.com/problemset/problem/507/C" TargetMode="External"/><Relationship Id="rId113" Type="http://schemas.openxmlformats.org/officeDocument/2006/relationships/hyperlink" Target="http://codeforces.com/problemset/problem/9/C" TargetMode="External"/><Relationship Id="rId114" Type="http://schemas.openxmlformats.org/officeDocument/2006/relationships/hyperlink" Target="http://codeforces.com/problemset/problem/152/C" TargetMode="External"/><Relationship Id="rId115" Type="http://schemas.openxmlformats.org/officeDocument/2006/relationships/hyperlink" Target="http://codeforces.com/problemset/problem/540/C" TargetMode="External"/><Relationship Id="rId116" Type="http://schemas.openxmlformats.org/officeDocument/2006/relationships/hyperlink" Target="http://codeforces.com/problemset/problem/369/C" TargetMode="External"/><Relationship Id="rId117" Type="http://schemas.openxmlformats.org/officeDocument/2006/relationships/hyperlink" Target="http://codeforces.com/problemset/problem/339/C" TargetMode="External"/><Relationship Id="rId118" Type="http://schemas.openxmlformats.org/officeDocument/2006/relationships/hyperlink" Target="http://codeforces.com/problemset/problem/459/C" TargetMode="External"/><Relationship Id="rId119" Type="http://schemas.openxmlformats.org/officeDocument/2006/relationships/hyperlink" Target="http://codeforces.com/problemset/problem/382/C" TargetMode="External"/><Relationship Id="rId30" Type="http://schemas.openxmlformats.org/officeDocument/2006/relationships/hyperlink" Target="http://codeforces.com/problemset/problem/439/C" TargetMode="External"/><Relationship Id="rId31" Type="http://schemas.openxmlformats.org/officeDocument/2006/relationships/hyperlink" Target="http://codeforces.com/problemset/problem/4/C" TargetMode="External"/><Relationship Id="rId32" Type="http://schemas.openxmlformats.org/officeDocument/2006/relationships/hyperlink" Target="http://codeforces.com/problemset/problem/437/C" TargetMode="External"/><Relationship Id="rId33" Type="http://schemas.openxmlformats.org/officeDocument/2006/relationships/hyperlink" Target="http://codeforces.com/problemset/problem/467/C" TargetMode="External"/><Relationship Id="rId34" Type="http://schemas.openxmlformats.org/officeDocument/2006/relationships/hyperlink" Target="http://codeforces.com/problemset/problem/476/C" TargetMode="External"/><Relationship Id="rId35" Type="http://schemas.openxmlformats.org/officeDocument/2006/relationships/hyperlink" Target="http://codeforces.com/problemset/problem/501/C" TargetMode="External"/><Relationship Id="rId36" Type="http://schemas.openxmlformats.org/officeDocument/2006/relationships/hyperlink" Target="http://codeforces.com/problemset/problem/402/C" TargetMode="External"/><Relationship Id="rId37" Type="http://schemas.openxmlformats.org/officeDocument/2006/relationships/hyperlink" Target="http://codeforces.com/problemset/problem/558/C" TargetMode="External"/><Relationship Id="rId38" Type="http://schemas.openxmlformats.org/officeDocument/2006/relationships/hyperlink" Target="http://codeforces.com/problemset/problem/435/C" TargetMode="External"/><Relationship Id="rId39" Type="http://schemas.openxmlformats.org/officeDocument/2006/relationships/hyperlink" Target="https://www.youtube.com/watch?v=bDlAqeWsKsg" TargetMode="External"/><Relationship Id="rId80" Type="http://schemas.openxmlformats.org/officeDocument/2006/relationships/hyperlink" Target="http://codeforces.com/problemset/problem/520/C" TargetMode="External"/><Relationship Id="rId81" Type="http://schemas.openxmlformats.org/officeDocument/2006/relationships/hyperlink" Target="http://codeforces.com/problemset/problem/474/C" TargetMode="External"/><Relationship Id="rId82" Type="http://schemas.openxmlformats.org/officeDocument/2006/relationships/hyperlink" Target="http://codeforces.com/problemset/problem/524/C" TargetMode="External"/><Relationship Id="rId83" Type="http://schemas.openxmlformats.org/officeDocument/2006/relationships/hyperlink" Target="http://codeforces.com/problemset/problem/436/C" TargetMode="External"/><Relationship Id="rId84" Type="http://schemas.openxmlformats.org/officeDocument/2006/relationships/hyperlink" Target="http://codeforces.com/problemset/problem/337/C" TargetMode="External"/><Relationship Id="rId85" Type="http://schemas.openxmlformats.org/officeDocument/2006/relationships/hyperlink" Target="http://codeforces.com/problemset/problem/225/C" TargetMode="External"/><Relationship Id="rId86" Type="http://schemas.openxmlformats.org/officeDocument/2006/relationships/hyperlink" Target="http://codeforces.com/problemset/problem/557/C" TargetMode="External"/><Relationship Id="rId87" Type="http://schemas.openxmlformats.org/officeDocument/2006/relationships/hyperlink" Target="http://codeforces.com/problemset/problem/519/C" TargetMode="External"/><Relationship Id="rId88" Type="http://schemas.openxmlformats.org/officeDocument/2006/relationships/hyperlink" Target="http://codeforces.com/problemset/problem/489/C" TargetMode="External"/><Relationship Id="rId89" Type="http://schemas.openxmlformats.org/officeDocument/2006/relationships/hyperlink" Target="http://codeforces.com/problemset/problem/158/C" TargetMode="External"/><Relationship Id="rId140" Type="http://schemas.openxmlformats.org/officeDocument/2006/relationships/hyperlink" Target="http://codeforces.com/problemset/problem/300/C" TargetMode="External"/><Relationship Id="rId141" Type="http://schemas.openxmlformats.org/officeDocument/2006/relationships/hyperlink" Target="http://codeforces.com/problemset/problem/160/C" TargetMode="External"/><Relationship Id="rId142" Type="http://schemas.openxmlformats.org/officeDocument/2006/relationships/hyperlink" Target="http://codeforces.com/problemset/problem/148/C" TargetMode="External"/><Relationship Id="rId143" Type="http://schemas.openxmlformats.org/officeDocument/2006/relationships/hyperlink" Target="http://codeforces.com/problemset/problem/106/C" TargetMode="External"/><Relationship Id="rId144" Type="http://schemas.openxmlformats.org/officeDocument/2006/relationships/hyperlink" Target="http://codeforces.com/problemset/problem/433/C" TargetMode="External"/><Relationship Id="rId145" Type="http://schemas.openxmlformats.org/officeDocument/2006/relationships/hyperlink" Target="http://codeforces.com/problemset/problem/305/C" TargetMode="External"/><Relationship Id="rId146" Type="http://schemas.openxmlformats.org/officeDocument/2006/relationships/hyperlink" Target="http://codeforces.com/problemset/problem/336/C" TargetMode="External"/><Relationship Id="rId147" Type="http://schemas.openxmlformats.org/officeDocument/2006/relationships/hyperlink" Target="http://codeforces.com/problemset/problem/180/C" TargetMode="External"/><Relationship Id="rId148" Type="http://schemas.openxmlformats.org/officeDocument/2006/relationships/hyperlink" Target="http://codeforces.com/problemset/problem/257/C" TargetMode="External"/></Relationships>
</file>

<file path=xl/worksheets/_rels/sheet5.xml.rels><?xml version="1.0" encoding="UTF-8" standalone="yes"?>
<Relationships xmlns="http://schemas.openxmlformats.org/package/2006/relationships"><Relationship Id="rId142" Type="http://schemas.openxmlformats.org/officeDocument/2006/relationships/hyperlink" Target="https://community.topcoder.com/stat?c=problem_statement&amp;pm=12398&amp;rd=15488" TargetMode="External"/><Relationship Id="rId143" Type="http://schemas.openxmlformats.org/officeDocument/2006/relationships/hyperlink" Target="https://community.topcoder.com/stat?c=problem_statement&amp;pm=8223&amp;rd=10789" TargetMode="External"/><Relationship Id="rId144" Type="http://schemas.openxmlformats.org/officeDocument/2006/relationships/hyperlink" Target="https://community.topcoder.com/stat?c=problem_statement&amp;pm=12318&amp;rd=15184" TargetMode="External"/><Relationship Id="rId145" Type="http://schemas.openxmlformats.org/officeDocument/2006/relationships/hyperlink" Target="https://community.topcoder.com/stat?c=problem_statement&amp;pm=8087&amp;rd=10791" TargetMode="External"/><Relationship Id="rId146" Type="http://schemas.openxmlformats.org/officeDocument/2006/relationships/hyperlink" Target="https://community.topcoder.com/stat?c=problem_statement&amp;pm=12854&amp;rd=15709" TargetMode="External"/><Relationship Id="rId147" Type="http://schemas.openxmlformats.org/officeDocument/2006/relationships/hyperlink" Target="https://community.topcoder.com/stat?c=problem_statement&amp;pm=10196&amp;rd=13517" TargetMode="External"/><Relationship Id="rId148" Type="http://schemas.openxmlformats.org/officeDocument/2006/relationships/hyperlink" Target="https://community.topcoder.com/stat?c=problem_statement&amp;pm=8589&amp;rd=11124" TargetMode="External"/><Relationship Id="rId149" Type="http://schemas.openxmlformats.org/officeDocument/2006/relationships/hyperlink" Target="https://community.topcoder.com/stat?c=problem_statement&amp;pm=8568&amp;rd=12175" TargetMode="External"/><Relationship Id="rId180" Type="http://schemas.openxmlformats.org/officeDocument/2006/relationships/hyperlink" Target="http://codeforces.com/problemset/problem/216/C" TargetMode="External"/><Relationship Id="rId181" Type="http://schemas.openxmlformats.org/officeDocument/2006/relationships/hyperlink" Target="http://codeforces.com/problemset/problem/190/C" TargetMode="External"/><Relationship Id="rId182" Type="http://schemas.openxmlformats.org/officeDocument/2006/relationships/hyperlink" Target="http://codeforces.com/problemset/problem/22/C" TargetMode="External"/><Relationship Id="rId40" Type="http://schemas.openxmlformats.org/officeDocument/2006/relationships/hyperlink" Target="https://community.topcoder.com/stat?c=problem_statement&amp;pm=12025&amp;rd=14737" TargetMode="External"/><Relationship Id="rId41" Type="http://schemas.openxmlformats.org/officeDocument/2006/relationships/hyperlink" Target="https://www.youtube.com/watch?v=QuOiEwefssM" TargetMode="External"/><Relationship Id="rId42" Type="http://schemas.openxmlformats.org/officeDocument/2006/relationships/hyperlink" Target="https://www.youtube.com/watch?v=eF5bfvC8O38" TargetMode="External"/><Relationship Id="rId43" Type="http://schemas.openxmlformats.org/officeDocument/2006/relationships/hyperlink" Target="https://community.topcoder.com/stat?c=problem_statement&amp;pm=10724&amp;rd=14149" TargetMode="External"/><Relationship Id="rId44" Type="http://schemas.openxmlformats.org/officeDocument/2006/relationships/hyperlink" Target="https://community.topcoder.com/stat?c=problem_statement&amp;pm=10823&amp;rd=14151" TargetMode="External"/><Relationship Id="rId45" Type="http://schemas.openxmlformats.org/officeDocument/2006/relationships/hyperlink" Target="https://community.topcoder.com/stat?c=problem_statement&amp;pm=12314&amp;rd=15183" TargetMode="External"/><Relationship Id="rId46" Type="http://schemas.openxmlformats.org/officeDocument/2006/relationships/hyperlink" Target="https://community.topcoder.com/stat?c=problem_statement&amp;pm=12146&amp;rd=15174" TargetMode="External"/><Relationship Id="rId47" Type="http://schemas.openxmlformats.org/officeDocument/2006/relationships/hyperlink" Target="https://community.topcoder.com/stat?c=problem_statement&amp;pm=11774&amp;rd=14724" TargetMode="External"/><Relationship Id="rId48" Type="http://schemas.openxmlformats.org/officeDocument/2006/relationships/hyperlink" Target="https://community.topcoder.com/stat?c=problem_statement&amp;pm=12296&amp;rd=15182" TargetMode="External"/><Relationship Id="rId49" Type="http://schemas.openxmlformats.org/officeDocument/2006/relationships/hyperlink" Target="https://community.topcoder.com/stat?c=problem_statement&amp;pm=11842&amp;rd=14732" TargetMode="External"/><Relationship Id="rId183" Type="http://schemas.openxmlformats.org/officeDocument/2006/relationships/hyperlink" Target="http://codeforces.com/problemset/problem/362/C" TargetMode="External"/><Relationship Id="rId184" Type="http://schemas.openxmlformats.org/officeDocument/2006/relationships/hyperlink" Target="http://codeforces.com/problemset/problem/35/C" TargetMode="External"/><Relationship Id="rId185" Type="http://schemas.openxmlformats.org/officeDocument/2006/relationships/hyperlink" Target="http://codeforces.com/problemset/problem/59/C" TargetMode="External"/><Relationship Id="rId186" Type="http://schemas.openxmlformats.org/officeDocument/2006/relationships/hyperlink" Target="http://codeforces.com/problemset/problem/266/C" TargetMode="External"/><Relationship Id="rId80" Type="http://schemas.openxmlformats.org/officeDocument/2006/relationships/hyperlink" Target="https://www.youtube.com/watch?v=62oWdABsCRc" TargetMode="External"/><Relationship Id="rId81" Type="http://schemas.openxmlformats.org/officeDocument/2006/relationships/hyperlink" Target="https://www.youtube.com/watch?v=bXbm6UUzqB8" TargetMode="External"/><Relationship Id="rId82" Type="http://schemas.openxmlformats.org/officeDocument/2006/relationships/hyperlink" Target="https://community.topcoder.com/stat?c=problem_statement&amp;pm=11292&amp;rd=14422" TargetMode="External"/><Relationship Id="rId83" Type="http://schemas.openxmlformats.org/officeDocument/2006/relationships/hyperlink" Target="https://community.topcoder.com/stat?c=problem_statement&amp;pm=11835&amp;rd=15180" TargetMode="External"/><Relationship Id="rId84" Type="http://schemas.openxmlformats.org/officeDocument/2006/relationships/hyperlink" Target="https://community.topcoder.com/stat?c=problem_statement&amp;pm=10589&amp;rd=14147" TargetMode="External"/><Relationship Id="rId85" Type="http://schemas.openxmlformats.org/officeDocument/2006/relationships/hyperlink" Target="https://community.topcoder.com/stat?c=problem_statement&amp;pm=7901&amp;rd=10765" TargetMode="External"/><Relationship Id="rId86" Type="http://schemas.openxmlformats.org/officeDocument/2006/relationships/hyperlink" Target="https://community.topcoder.com/stat?c=problem_statement&amp;pm=11364&amp;rd=15037" TargetMode="External"/><Relationship Id="rId87" Type="http://schemas.openxmlformats.org/officeDocument/2006/relationships/hyperlink" Target="https://community.topcoder.com/stat?c=problem_statement&amp;pm=12870&amp;rd=15711" TargetMode="External"/><Relationship Id="rId88" Type="http://schemas.openxmlformats.org/officeDocument/2006/relationships/hyperlink" Target="https://community.topcoder.com/stat?c=problem_statement&amp;pm=12743&amp;rd=15702" TargetMode="External"/><Relationship Id="rId89" Type="http://schemas.openxmlformats.org/officeDocument/2006/relationships/hyperlink" Target="https://community.topcoder.com/stat?c=problem_statement&amp;pm=12355&amp;rd=15486" TargetMode="External"/><Relationship Id="rId110" Type="http://schemas.openxmlformats.org/officeDocument/2006/relationships/hyperlink" Target="https://community.topcoder.com/stat?c=problem_statement&amp;pm=12332&amp;rd=15185" TargetMode="External"/><Relationship Id="rId111" Type="http://schemas.openxmlformats.org/officeDocument/2006/relationships/hyperlink" Target="https://community.topcoder.com/stat?c=problem_statement&amp;pm=10943&amp;rd=14546" TargetMode="External"/><Relationship Id="rId112" Type="http://schemas.openxmlformats.org/officeDocument/2006/relationships/hyperlink" Target="https://community.topcoder.com/stat?c=problem_statement&amp;pm=8520&amp;rd=11122" TargetMode="External"/><Relationship Id="rId113" Type="http://schemas.openxmlformats.org/officeDocument/2006/relationships/hyperlink" Target="https://community.topcoder.com/stat?c=problem_statement&amp;pm=8464&amp;rd=11129" TargetMode="External"/><Relationship Id="rId114" Type="http://schemas.openxmlformats.org/officeDocument/2006/relationships/hyperlink" Target="https://community.topcoder.com/stat?c=problem_statement&amp;pm=1225&amp;rd=4540" TargetMode="External"/><Relationship Id="rId115" Type="http://schemas.openxmlformats.org/officeDocument/2006/relationships/hyperlink" Target="https://community.topcoder.com/stat?c=problem_statement&amp;pm=10155&amp;rd=13518" TargetMode="External"/><Relationship Id="rId116" Type="http://schemas.openxmlformats.org/officeDocument/2006/relationships/hyperlink" Target="https://community.topcoder.com/stat?c=problem_statement&amp;pm=8440&amp;rd=10800" TargetMode="External"/><Relationship Id="rId117" Type="http://schemas.openxmlformats.org/officeDocument/2006/relationships/hyperlink" Target="https://community.topcoder.com/stat?c=problem_statement&amp;pm=11274&amp;rd=14723" TargetMode="External"/><Relationship Id="rId118" Type="http://schemas.openxmlformats.org/officeDocument/2006/relationships/hyperlink" Target="https://community.topcoder.com/stat?c=problem_statement&amp;pm=9921&amp;rd=13521" TargetMode="External"/><Relationship Id="rId119" Type="http://schemas.openxmlformats.org/officeDocument/2006/relationships/hyperlink" Target="https://community.topcoder.com/stat?c=problem_statement&amp;pm=10154&amp;rd=13694" TargetMode="External"/><Relationship Id="rId150" Type="http://schemas.openxmlformats.org/officeDocument/2006/relationships/hyperlink" Target="https://community.topcoder.com/stat?c=problem_statement&amp;pm=12504&amp;rd=15496" TargetMode="External"/><Relationship Id="rId151" Type="http://schemas.openxmlformats.org/officeDocument/2006/relationships/hyperlink" Target="https://community.topcoder.com/stat?c=problem_statement&amp;pm=11227&amp;rd=14243" TargetMode="External"/><Relationship Id="rId152" Type="http://schemas.openxmlformats.org/officeDocument/2006/relationships/hyperlink" Target="https://community.topcoder.com/stat?c=problem_statement&amp;pm=9954&amp;rd=13506" TargetMode="External"/><Relationship Id="rId10" Type="http://schemas.openxmlformats.org/officeDocument/2006/relationships/hyperlink" Target="https://community.topcoder.com/stat?c=problem_statement&amp;pm=8374&amp;rd=10793" TargetMode="External"/><Relationship Id="rId11" Type="http://schemas.openxmlformats.org/officeDocument/2006/relationships/hyperlink" Target="https://community.topcoder.com/stat?c=problem_statement&amp;pm=7397&amp;rd=10665" TargetMode="External"/><Relationship Id="rId12" Type="http://schemas.openxmlformats.org/officeDocument/2006/relationships/hyperlink" Target="https://community.topcoder.com/stat?c=problem_statement&amp;pm=8414&amp;rd=10804" TargetMode="External"/><Relationship Id="rId13" Type="http://schemas.openxmlformats.org/officeDocument/2006/relationships/hyperlink" Target="https://community.topcoder.com/stat?c=problem_statement&amp;pm=10195&amp;rd=13695" TargetMode="External"/><Relationship Id="rId14" Type="http://schemas.openxmlformats.org/officeDocument/2006/relationships/hyperlink" Target="https://community.topcoder.com/stat?c=problem_statement&amp;pm=11035&amp;rd=14236" TargetMode="External"/><Relationship Id="rId15" Type="http://schemas.openxmlformats.org/officeDocument/2006/relationships/hyperlink" Target="https://www.youtube.com/watch?v=IGaJWl0jPY4" TargetMode="External"/><Relationship Id="rId16" Type="http://schemas.openxmlformats.org/officeDocument/2006/relationships/hyperlink" Target="https://www.youtube.com/watch?v=xVMe4JSEQo0&amp;index=14&amp;list=PLPt2dINI2MIb4OXlJ_EEwIDV9WVUpRQ5K" TargetMode="External"/><Relationship Id="rId17" Type="http://schemas.openxmlformats.org/officeDocument/2006/relationships/hyperlink" Target="https://community.topcoder.com/stat?c=problem_statement&amp;pm=11308&amp;rd=14552" TargetMode="External"/><Relationship Id="rId18" Type="http://schemas.openxmlformats.org/officeDocument/2006/relationships/hyperlink" Target="https://community.topcoder.com/stat?c=problem_statement&amp;pm=8427&amp;rd=12178" TargetMode="External"/><Relationship Id="rId19" Type="http://schemas.openxmlformats.org/officeDocument/2006/relationships/hyperlink" Target="https://community.topcoder.com/stat?c=problem_statement&amp;pm=11434&amp;rd=14437" TargetMode="External"/><Relationship Id="rId153" Type="http://schemas.openxmlformats.org/officeDocument/2006/relationships/hyperlink" Target="https://community.topcoder.com/stat?c=problem_statement&amp;pm=12754&amp;rd=15703" TargetMode="External"/><Relationship Id="rId154" Type="http://schemas.openxmlformats.org/officeDocument/2006/relationships/hyperlink" Target="https://community.topcoder.com/stat?c=problem_statement&amp;pm=10246&amp;rd=13520" TargetMode="External"/><Relationship Id="rId155" Type="http://schemas.openxmlformats.org/officeDocument/2006/relationships/hyperlink" Target="https://community.topcoder.com/stat?c=problem_statement&amp;pm=11808&amp;rd=14729" TargetMode="External"/><Relationship Id="rId156" Type="http://schemas.openxmlformats.org/officeDocument/2006/relationships/hyperlink" Target="https://community.topcoder.com/stat?c=problem_statement&amp;pm=12545&amp;rd=15498" TargetMode="External"/><Relationship Id="rId157" Type="http://schemas.openxmlformats.org/officeDocument/2006/relationships/hyperlink" Target="https://community.topcoder.com/stat?c=problem_statement&amp;pm=11967&amp;rd=15170" TargetMode="External"/><Relationship Id="rId158" Type="http://schemas.openxmlformats.org/officeDocument/2006/relationships/hyperlink" Target="https://community.topcoder.com/stat?c=problem_statement&amp;pm=11354&amp;rd=15175" TargetMode="External"/><Relationship Id="rId159" Type="http://schemas.openxmlformats.org/officeDocument/2006/relationships/hyperlink" Target="https://community.topcoder.com/stat?c=problem_statement&amp;pm=10360&amp;rd=13803" TargetMode="External"/><Relationship Id="rId50" Type="http://schemas.openxmlformats.org/officeDocument/2006/relationships/hyperlink" Target="https://community.topcoder.com/stat?c=problem_statement&amp;pm=7716&amp;rd=10768" TargetMode="External"/><Relationship Id="rId51" Type="http://schemas.openxmlformats.org/officeDocument/2006/relationships/hyperlink" Target="https://community.topcoder.com/stat?c=problem_statement&amp;pm=12201&amp;rd=15181" TargetMode="External"/><Relationship Id="rId52" Type="http://schemas.openxmlformats.org/officeDocument/2006/relationships/hyperlink" Target="https://community.topcoder.com/stat?c=problem_statement&amp;pm=9976&amp;rd=13514" TargetMode="External"/><Relationship Id="rId53" Type="http://schemas.openxmlformats.org/officeDocument/2006/relationships/hyperlink" Target="https://www.youtube.com/watch?v=TP8QXP6PBqM" TargetMode="External"/><Relationship Id="rId54" Type="http://schemas.openxmlformats.org/officeDocument/2006/relationships/hyperlink" Target="https://www.youtube.com/watch?v=fT4JZU5hO58" TargetMode="External"/><Relationship Id="rId55" Type="http://schemas.openxmlformats.org/officeDocument/2006/relationships/hyperlink" Target="https://www.youtube.com/watch?v=uKSLJw0ZUd8" TargetMode="External"/><Relationship Id="rId56" Type="http://schemas.openxmlformats.org/officeDocument/2006/relationships/hyperlink" Target="https://www.youtube.com/watch?v=f_lt366qTZc" TargetMode="External"/><Relationship Id="rId57" Type="http://schemas.openxmlformats.org/officeDocument/2006/relationships/hyperlink" Target="https://community.topcoder.com/stat?c=problem_statement&amp;pm=11197&amp;rd=14241" TargetMode="External"/><Relationship Id="rId58" Type="http://schemas.openxmlformats.org/officeDocument/2006/relationships/hyperlink" Target="https://community.topcoder.com/stat?c=problem_statement&amp;pm=12812&amp;rd=15706" TargetMode="External"/><Relationship Id="rId59" Type="http://schemas.openxmlformats.org/officeDocument/2006/relationships/hyperlink" Target="https://community.topcoder.com/stat?c=problem_statement&amp;pm=10618&amp;rd=13902" TargetMode="External"/><Relationship Id="rId90" Type="http://schemas.openxmlformats.org/officeDocument/2006/relationships/hyperlink" Target="https://community.topcoder.com/stat?c=problem_statement&amp;pm=12137&amp;rd=15173" TargetMode="External"/><Relationship Id="rId91" Type="http://schemas.openxmlformats.org/officeDocument/2006/relationships/hyperlink" Target="https://community.topcoder.com/stat?c=problem_statement&amp;pm=12523&amp;rd=15499" TargetMode="External"/><Relationship Id="rId92" Type="http://schemas.openxmlformats.org/officeDocument/2006/relationships/hyperlink" Target="https://www.youtube.com/watch?v=8aATaY9sdeE" TargetMode="External"/><Relationship Id="rId93" Type="http://schemas.openxmlformats.org/officeDocument/2006/relationships/hyperlink" Target="https://www.youtube.com/watch?v=AIjk-KVgjQo" TargetMode="External"/><Relationship Id="rId94" Type="http://schemas.openxmlformats.org/officeDocument/2006/relationships/hyperlink" Target="http://codeforces.com/problemset/problem/75/C" TargetMode="External"/><Relationship Id="rId95" Type="http://schemas.openxmlformats.org/officeDocument/2006/relationships/hyperlink" Target="http://codeforces.com/problemset/problem/25/C" TargetMode="External"/><Relationship Id="rId96" Type="http://schemas.openxmlformats.org/officeDocument/2006/relationships/hyperlink" Target="http://codeforces.com/problemset/problem/509/C" TargetMode="External"/><Relationship Id="rId97" Type="http://schemas.openxmlformats.org/officeDocument/2006/relationships/hyperlink" Target="http://codeforces.com/problemset/problem/342/C" TargetMode="External"/><Relationship Id="rId98" Type="http://schemas.openxmlformats.org/officeDocument/2006/relationships/hyperlink" Target="http://codeforces.com/problemset/problem/253/C" TargetMode="External"/><Relationship Id="rId99" Type="http://schemas.openxmlformats.org/officeDocument/2006/relationships/hyperlink" Target="http://codeforces.com/problemset/problem/294/C" TargetMode="External"/><Relationship Id="rId120" Type="http://schemas.openxmlformats.org/officeDocument/2006/relationships/hyperlink" Target="https://community.topcoder.com/stat?c=problem_statement&amp;pm=10797&amp;rd=14186" TargetMode="External"/><Relationship Id="rId121" Type="http://schemas.openxmlformats.org/officeDocument/2006/relationships/hyperlink" Target="https://community.topcoder.com/stat?c=problem_statement&amp;pm=10915&amp;rd=14153" TargetMode="External"/><Relationship Id="rId122" Type="http://schemas.openxmlformats.org/officeDocument/2006/relationships/hyperlink" Target="https://community.topcoder.com/stat?c=problem_statement&amp;pm=8193&amp;rd=10785" TargetMode="External"/><Relationship Id="rId123" Type="http://schemas.openxmlformats.org/officeDocument/2006/relationships/hyperlink" Target="https://community.topcoder.com/stat?c=problem_statement&amp;pm=11004&amp;rd=14234" TargetMode="External"/><Relationship Id="rId124" Type="http://schemas.openxmlformats.org/officeDocument/2006/relationships/hyperlink" Target="https://community.topcoder.com/stat?c=problem_statement&amp;pm=11035&amp;rd=14236" TargetMode="External"/><Relationship Id="rId125" Type="http://schemas.openxmlformats.org/officeDocument/2006/relationships/hyperlink" Target="https://community.topcoder.com/stat?c=problem_statement&amp;pm=10054&amp;rd=13510" TargetMode="External"/><Relationship Id="rId126" Type="http://schemas.openxmlformats.org/officeDocument/2006/relationships/hyperlink" Target="https://community.topcoder.com/stat?c=problem_statement&amp;pm=12351&amp;rd=15187" TargetMode="External"/><Relationship Id="rId127" Type="http://schemas.openxmlformats.org/officeDocument/2006/relationships/hyperlink" Target="https://community.topcoder.com/stat?c=problem_statement&amp;pm=9895&amp;rd=13505" TargetMode="External"/><Relationship Id="rId128" Type="http://schemas.openxmlformats.org/officeDocument/2006/relationships/hyperlink" Target="https://community.topcoder.com/stat?c=problem_statement&amp;pm=10261&amp;rd=13522" TargetMode="External"/><Relationship Id="rId129" Type="http://schemas.openxmlformats.org/officeDocument/2006/relationships/hyperlink" Target="https://community.topcoder.com/stat?c=problem_statement&amp;pm=11060&amp;rd=14245" TargetMode="External"/><Relationship Id="rId160" Type="http://schemas.openxmlformats.org/officeDocument/2006/relationships/hyperlink" Target="https://community.topcoder.com/stat?c=problem_statement&amp;pm=12175&amp;rd=15178" TargetMode="External"/><Relationship Id="rId161" Type="http://schemas.openxmlformats.org/officeDocument/2006/relationships/hyperlink" Target="https://community.topcoder.com/stat?c=problem_statement&amp;pm=11302&amp;rd=14424" TargetMode="External"/><Relationship Id="rId162" Type="http://schemas.openxmlformats.org/officeDocument/2006/relationships/hyperlink" Target="https://community.topcoder.com/stat?c=problem_statement&amp;pm=7973&amp;rd=10781" TargetMode="External"/><Relationship Id="rId20" Type="http://schemas.openxmlformats.org/officeDocument/2006/relationships/hyperlink" Target="https://community.topcoder.com/stat?c=problem_statement&amp;pm=12033&amp;rd=15172" TargetMode="External"/><Relationship Id="rId21" Type="http://schemas.openxmlformats.org/officeDocument/2006/relationships/hyperlink" Target="https://community.topcoder.com/stat?c=round_overview&amp;er=5&amp;rd=14144" TargetMode="External"/><Relationship Id="rId22" Type="http://schemas.openxmlformats.org/officeDocument/2006/relationships/hyperlink" Target="https://community.topcoder.com/stat?c=problem_statement&amp;pm=8527&amp;rd=11121" TargetMode="External"/><Relationship Id="rId23" Type="http://schemas.openxmlformats.org/officeDocument/2006/relationships/hyperlink" Target="https://community.topcoder.com/stat?c=problem_statement&amp;pm=12521&amp;rd=15497" TargetMode="External"/><Relationship Id="rId24" Type="http://schemas.openxmlformats.org/officeDocument/2006/relationships/hyperlink" Target="https://community.topcoder.com/stat?c=problem_statement&amp;pm=11855&amp;rd=14731" TargetMode="External"/><Relationship Id="rId25" Type="http://schemas.openxmlformats.org/officeDocument/2006/relationships/hyperlink" Target="https://community.topcoder.com/stat?c=problem_statement&amp;pm=10992&amp;rd=14239" TargetMode="External"/><Relationship Id="rId26" Type="http://schemas.openxmlformats.org/officeDocument/2006/relationships/hyperlink" Target="https://community.topcoder.com/stat?c=problem_statement&amp;pm=8594&amp;rd=11128" TargetMode="External"/><Relationship Id="rId27" Type="http://schemas.openxmlformats.org/officeDocument/2006/relationships/hyperlink" Target="https://www.youtube.com/watch?v=0wlc8Rhyybo" TargetMode="External"/><Relationship Id="rId28" Type="http://schemas.openxmlformats.org/officeDocument/2006/relationships/hyperlink" Target="https://www.youtube.com/watch?v=5zILiqyQ2ts" TargetMode="External"/><Relationship Id="rId29" Type="http://schemas.openxmlformats.org/officeDocument/2006/relationships/hyperlink" Target="https://www.youtube.com/watch?v=9fwHOeebIgc" TargetMode="External"/><Relationship Id="rId163" Type="http://schemas.openxmlformats.org/officeDocument/2006/relationships/hyperlink" Target="https://community.topcoder.com/stat?c=problem_statement&amp;pm=8481&amp;rd=13503" TargetMode="External"/><Relationship Id="rId164" Type="http://schemas.openxmlformats.org/officeDocument/2006/relationships/hyperlink" Target="https://community.topcoder.com/stat?c=problem_statement&amp;pm=11157&amp;rd=14240" TargetMode="External"/><Relationship Id="rId165" Type="http://schemas.openxmlformats.org/officeDocument/2006/relationships/hyperlink" Target="https://community.topcoder.com/stat?c=problem_statement&amp;pm=10104&amp;rd=13512" TargetMode="External"/><Relationship Id="rId166" Type="http://schemas.openxmlformats.org/officeDocument/2006/relationships/hyperlink" Target="https://community.topcoder.com/stat?c=problem_statement&amp;pm=10457&amp;rd=13898" TargetMode="External"/><Relationship Id="rId167" Type="http://schemas.openxmlformats.org/officeDocument/2006/relationships/hyperlink" Target="https://community.topcoder.com/stat?c=problem_statement&amp;pm=11131&amp;rd=14237" TargetMode="External"/><Relationship Id="rId168" Type="http://schemas.openxmlformats.org/officeDocument/2006/relationships/hyperlink" Target="https://community.topcoder.com/stat?c=problem_statement&amp;pm=8692&amp;rd=12183" TargetMode="External"/><Relationship Id="rId169" Type="http://schemas.openxmlformats.org/officeDocument/2006/relationships/hyperlink" Target="https://community.topcoder.com/stat?c=problem_statement&amp;pm=12377&amp;rd=15487" TargetMode="External"/><Relationship Id="rId60" Type="http://schemas.openxmlformats.org/officeDocument/2006/relationships/hyperlink" Target="https://community.topcoder.com/stat?c=problem_statement&amp;pm=10547&amp;rd=13903" TargetMode="External"/><Relationship Id="rId61" Type="http://schemas.openxmlformats.org/officeDocument/2006/relationships/hyperlink" Target="https://community.topcoder.com/stat?c=problem_statement&amp;pm=11535&amp;rd=14542" TargetMode="External"/><Relationship Id="rId62" Type="http://schemas.openxmlformats.org/officeDocument/2006/relationships/hyperlink" Target="https://community.topcoder.com/stat?c=problem_statement&amp;pm=12575&amp;rd=15500" TargetMode="External"/><Relationship Id="rId63" Type="http://schemas.openxmlformats.org/officeDocument/2006/relationships/hyperlink" Target="https://community.topcoder.com/stat?c=problem_statement&amp;pm=12610&amp;rd=15503" TargetMode="External"/><Relationship Id="rId64" Type="http://schemas.openxmlformats.org/officeDocument/2006/relationships/hyperlink" Target="https://community.topcoder.com/stat?c=problem_statement&amp;pm=11485&amp;rd=14536" TargetMode="External"/><Relationship Id="rId65" Type="http://schemas.openxmlformats.org/officeDocument/2006/relationships/hyperlink" Target="https://community.topcoder.com/stat?c=problem_statement&amp;pm=11295&amp;rd=14537" TargetMode="External"/><Relationship Id="rId66" Type="http://schemas.openxmlformats.org/officeDocument/2006/relationships/hyperlink" Target="https://community.topcoder.com/stat?c=problem_statement&amp;pm=11665&amp;rd=14550" TargetMode="External"/><Relationship Id="rId67" Type="http://schemas.openxmlformats.org/officeDocument/2006/relationships/hyperlink" Target="https://www.youtube.com/watch?v=71lp43FM7xU" TargetMode="External"/><Relationship Id="rId68" Type="http://schemas.openxmlformats.org/officeDocument/2006/relationships/hyperlink" Target="https://www.youtube.com/watch?v=p8MFuDxvnuo" TargetMode="External"/><Relationship Id="rId69" Type="http://schemas.openxmlformats.org/officeDocument/2006/relationships/hyperlink" Target="https://community.topcoder.com/stat?c=problem_statement&amp;pm=11464&amp;rd=14439" TargetMode="External"/><Relationship Id="rId130" Type="http://schemas.openxmlformats.org/officeDocument/2006/relationships/hyperlink" Target="https://community.topcoder.com/stat?c=problem_statement&amp;pm=11219&amp;rd=14427" TargetMode="External"/><Relationship Id="rId131" Type="http://schemas.openxmlformats.org/officeDocument/2006/relationships/hyperlink" Target="https://community.topcoder.com/stat?c=problem_statement&amp;pm=7613&amp;rd=10674" TargetMode="External"/><Relationship Id="rId132" Type="http://schemas.openxmlformats.org/officeDocument/2006/relationships/hyperlink" Target="https://community.topcoder.com/stat?c=problem_statement&amp;pm=8706&amp;rd=11126" TargetMode="External"/><Relationship Id="rId133" Type="http://schemas.openxmlformats.org/officeDocument/2006/relationships/hyperlink" Target="https://community.topcoder.com/stat?c=problem_statement&amp;pm=7787&amp;rd=10780" TargetMode="External"/><Relationship Id="rId134" Type="http://schemas.openxmlformats.org/officeDocument/2006/relationships/hyperlink" Target="https://community.topcoder.com/stat?c=problem_statement&amp;pm=8302&amp;rd=12174" TargetMode="External"/><Relationship Id="rId135" Type="http://schemas.openxmlformats.org/officeDocument/2006/relationships/hyperlink" Target="https://community.topcoder.com/stat?c=problem_statement&amp;pm=8060&amp;rd=10778" TargetMode="External"/><Relationship Id="rId136" Type="http://schemas.openxmlformats.org/officeDocument/2006/relationships/hyperlink" Target="https://community.topcoder.com/stat?c=problem_statement&amp;pm=7759&amp;rd=10712" TargetMode="External"/><Relationship Id="rId137" Type="http://schemas.openxmlformats.org/officeDocument/2006/relationships/hyperlink" Target="https://community.topcoder.com/stat?c=problem_statement&amp;pm=9943&amp;rd=13508" TargetMode="External"/><Relationship Id="rId138" Type="http://schemas.openxmlformats.org/officeDocument/2006/relationships/hyperlink" Target="https://community.topcoder.com/stat?c=problem_statement&amp;pm=10759&amp;rd=14154" TargetMode="External"/><Relationship Id="rId139" Type="http://schemas.openxmlformats.org/officeDocument/2006/relationships/hyperlink" Target="https://community.topcoder.com/stat?c=problem_statement&amp;pm=10095&amp;rd=13516" TargetMode="External"/><Relationship Id="rId170" Type="http://schemas.openxmlformats.org/officeDocument/2006/relationships/hyperlink" Target="https://community.topcoder.com/stat?c=problem_statement&amp;pm=7654&amp;rd=10711" TargetMode="External"/><Relationship Id="rId171" Type="http://schemas.openxmlformats.org/officeDocument/2006/relationships/hyperlink" Target="https://community.topcoder.com/stat?c=problem_statement&amp;pm=6254&amp;rd=10766" TargetMode="External"/><Relationship Id="rId172" Type="http://schemas.openxmlformats.org/officeDocument/2006/relationships/hyperlink" Target="https://community.topcoder.com/stat?c=problem_statement&amp;pm=10957&amp;rd=14548" TargetMode="External"/><Relationship Id="rId30" Type="http://schemas.openxmlformats.org/officeDocument/2006/relationships/hyperlink" Target="https://www.youtube.com/watch?v=YUIwEX8UEN0" TargetMode="External"/><Relationship Id="rId31" Type="http://schemas.openxmlformats.org/officeDocument/2006/relationships/hyperlink" Target="https://community.topcoder.com/stat?c=problem_statement&amp;pm=8319&amp;rd=10805" TargetMode="External"/><Relationship Id="rId32" Type="http://schemas.openxmlformats.org/officeDocument/2006/relationships/hyperlink" Target="https://community.topcoder.com/stat?c=problem_statement&amp;pm=8817&amp;rd=12182" TargetMode="External"/><Relationship Id="rId33" Type="http://schemas.openxmlformats.org/officeDocument/2006/relationships/hyperlink" Target="https://community.topcoder.com/stat?c=problem_statement&amp;pm=10688&amp;rd=13907" TargetMode="External"/><Relationship Id="rId34" Type="http://schemas.openxmlformats.org/officeDocument/2006/relationships/hyperlink" Target="https://community.topcoder.com/stat?c=problem_statement&amp;pm=11342&amp;rd=14429" TargetMode="External"/><Relationship Id="rId35" Type="http://schemas.openxmlformats.org/officeDocument/2006/relationships/hyperlink" Target="https://community.topcoder.com/stat?c=problem_statement&amp;pm=11887&amp;rd=14733" TargetMode="External"/><Relationship Id="rId36" Type="http://schemas.openxmlformats.org/officeDocument/2006/relationships/hyperlink" Target="https://community.topcoder.com/stat?c=problem_statement&amp;pm=12588&amp;rd=15501" TargetMode="External"/><Relationship Id="rId37" Type="http://schemas.openxmlformats.org/officeDocument/2006/relationships/hyperlink" Target="https://community.topcoder.com/stat?c=problem_statement&amp;pm=8763&amp;rd=12172" TargetMode="External"/><Relationship Id="rId38" Type="http://schemas.openxmlformats.org/officeDocument/2006/relationships/hyperlink" Target="https://community.topcoder.com/stat?c=problem_statement&amp;pm=10369&amp;rd=13699" TargetMode="External"/><Relationship Id="rId39" Type="http://schemas.openxmlformats.org/officeDocument/2006/relationships/hyperlink" Target="https://community.topcoder.com/stat?c=problem_statement&amp;pm=11934&amp;rd=14734" TargetMode="External"/><Relationship Id="rId173" Type="http://schemas.openxmlformats.org/officeDocument/2006/relationships/hyperlink" Target="http://codeforces.com/problemset/problem/370/C" TargetMode="External"/><Relationship Id="rId174" Type="http://schemas.openxmlformats.org/officeDocument/2006/relationships/hyperlink" Target="http://codeforces.com/problemset/problem/358/C" TargetMode="External"/><Relationship Id="rId175" Type="http://schemas.openxmlformats.org/officeDocument/2006/relationships/hyperlink" Target="http://codeforces.com/problemset/problem/374/C" TargetMode="External"/><Relationship Id="rId176" Type="http://schemas.openxmlformats.org/officeDocument/2006/relationships/hyperlink" Target="http://codeforces.com/problemset/problem/29/C" TargetMode="External"/><Relationship Id="rId177" Type="http://schemas.openxmlformats.org/officeDocument/2006/relationships/hyperlink" Target="http://codeforces.com/problemset/problem/27/C" TargetMode="External"/><Relationship Id="rId178" Type="http://schemas.openxmlformats.org/officeDocument/2006/relationships/hyperlink" Target="http://codeforces.com/problemset/problem/254/C" TargetMode="External"/><Relationship Id="rId179" Type="http://schemas.openxmlformats.org/officeDocument/2006/relationships/hyperlink" Target="http://codeforces.com/problemset/problem/14/C" TargetMode="External"/><Relationship Id="rId70" Type="http://schemas.openxmlformats.org/officeDocument/2006/relationships/hyperlink" Target="https://community.topcoder.com/stat?c=problem_statement&amp;pm=11951&amp;rd=14736" TargetMode="External"/><Relationship Id="rId71" Type="http://schemas.openxmlformats.org/officeDocument/2006/relationships/hyperlink" Target="https://community.topcoder.com/stat?c=problem_statement&amp;pm=12928&amp;rd=15820" TargetMode="External"/><Relationship Id="rId72" Type="http://schemas.openxmlformats.org/officeDocument/2006/relationships/hyperlink" Target="https://community.topcoder.com/stat?c=problem_statement&amp;pm=11910&amp;rd=14735" TargetMode="External"/><Relationship Id="rId73" Type="http://schemas.openxmlformats.org/officeDocument/2006/relationships/hyperlink" Target="https://community.topcoder.com/stat?c=problem_statement&amp;pm=12707&amp;rd=15700" TargetMode="External"/><Relationship Id="rId74" Type="http://schemas.openxmlformats.org/officeDocument/2006/relationships/hyperlink" Target="https://community.topcoder.com/stat?c=problem_statement&amp;pm=9823&amp;rd=12181" TargetMode="External"/><Relationship Id="rId75" Type="http://schemas.openxmlformats.org/officeDocument/2006/relationships/hyperlink" Target="https://community.topcoder.com/stat?c=problem_statement&amp;pm=11502&amp;rd=14538" TargetMode="External"/><Relationship Id="rId76" Type="http://schemas.openxmlformats.org/officeDocument/2006/relationships/hyperlink" Target="https://community.topcoder.com/stat?c=problem_statement&amp;pm=12732&amp;rd=15701" TargetMode="External"/><Relationship Id="rId77" Type="http://schemas.openxmlformats.org/officeDocument/2006/relationships/hyperlink" Target="https://community.topcoder.com/stat?c=problem_statement&amp;pm=12613&amp;rd=15696" TargetMode="External"/><Relationship Id="rId78" Type="http://schemas.openxmlformats.org/officeDocument/2006/relationships/hyperlink" Target="https://community.topcoder.com/stat?c=problem_statement&amp;pm=11315&amp;rd=14436" TargetMode="External"/><Relationship Id="rId79" Type="http://schemas.openxmlformats.org/officeDocument/2006/relationships/hyperlink" Target="https://www.youtube.com/watch?v=Z-1Z-1utYuI" TargetMode="External"/><Relationship Id="rId1" Type="http://schemas.openxmlformats.org/officeDocument/2006/relationships/hyperlink" Target="https://www.youtube.com/watch?v=7z1498LTCgg" TargetMode="External"/><Relationship Id="rId2" Type="http://schemas.openxmlformats.org/officeDocument/2006/relationships/hyperlink" Target="https://www.youtube.com/watch?v=Tm_Vlkv4mOo" TargetMode="External"/><Relationship Id="rId3" Type="http://schemas.openxmlformats.org/officeDocument/2006/relationships/hyperlink" Target="https://www.youtube.com/watch?v=6Fx8T_NBA7Q" TargetMode="External"/><Relationship Id="rId4" Type="http://schemas.openxmlformats.org/officeDocument/2006/relationships/hyperlink" Target="https://www.youtube.com/watch?v=F0hmrbOW8nw" TargetMode="External"/><Relationship Id="rId100" Type="http://schemas.openxmlformats.org/officeDocument/2006/relationships/hyperlink" Target="http://codeforces.com/problemset/problem/118/C" TargetMode="External"/><Relationship Id="rId101" Type="http://schemas.openxmlformats.org/officeDocument/2006/relationships/hyperlink" Target="http://codeforces.com/problemset/problem/359/C" TargetMode="External"/><Relationship Id="rId102" Type="http://schemas.openxmlformats.org/officeDocument/2006/relationships/hyperlink" Target="http://codeforces.com/problemset/problem/141/C" TargetMode="External"/><Relationship Id="rId103" Type="http://schemas.openxmlformats.org/officeDocument/2006/relationships/hyperlink" Target="http://codeforces.com/problemset/problem/191/C" TargetMode="External"/><Relationship Id="rId104" Type="http://schemas.openxmlformats.org/officeDocument/2006/relationships/hyperlink" Target="https://community.topcoder.com/stat?c=problem_statement&amp;pm=3490&amp;rd=8001" TargetMode="External"/><Relationship Id="rId105" Type="http://schemas.openxmlformats.org/officeDocument/2006/relationships/hyperlink" Target="https://community.topcoder.com/stat?c=problem_statement&amp;pm=7735&amp;rd=10775" TargetMode="External"/><Relationship Id="rId106" Type="http://schemas.openxmlformats.org/officeDocument/2006/relationships/hyperlink" Target="https://community.topcoder.com/stat?c=problem_statement&amp;pm=4487&amp;rd=7220" TargetMode="External"/><Relationship Id="rId107" Type="http://schemas.openxmlformats.org/officeDocument/2006/relationships/hyperlink" Target="https://community.topcoder.com/stat?c=problem_statement&amp;pm=11306&amp;rd=14425" TargetMode="External"/><Relationship Id="rId108" Type="http://schemas.openxmlformats.org/officeDocument/2006/relationships/hyperlink" Target="https://community.topcoder.com/stat?c=problem_statement&amp;pm=10708&amp;rd=13908" TargetMode="External"/><Relationship Id="rId109" Type="http://schemas.openxmlformats.org/officeDocument/2006/relationships/hyperlink" Target="https://community.topcoder.com/stat?c=problem_statement&amp;pm=8467&amp;rd=12180" TargetMode="External"/><Relationship Id="rId5" Type="http://schemas.openxmlformats.org/officeDocument/2006/relationships/hyperlink" Target="https://community.topcoder.com/stat?c=problem_statement&amp;pm=9839&amp;rd=13504" TargetMode="External"/><Relationship Id="rId6" Type="http://schemas.openxmlformats.org/officeDocument/2006/relationships/hyperlink" Target="https://community.topcoder.com/stat?c=problem_statement&amp;pm=10268&amp;rd=13696" TargetMode="External"/><Relationship Id="rId7" Type="http://schemas.openxmlformats.org/officeDocument/2006/relationships/hyperlink" Target="https://community.topcoder.com/stat?c=problem_statement&amp;pm=10862&amp;rd=14150" TargetMode="External"/><Relationship Id="rId8" Type="http://schemas.openxmlformats.org/officeDocument/2006/relationships/hyperlink" Target="https://community.topcoder.com/stat?c=problem_statement&amp;pm=8444&amp;rd=11120" TargetMode="External"/><Relationship Id="rId9" Type="http://schemas.openxmlformats.org/officeDocument/2006/relationships/hyperlink" Target="https://community.topcoder.com/stat?c=problem_statement&amp;pm=11064&amp;rd=14159" TargetMode="External"/><Relationship Id="rId140" Type="http://schemas.openxmlformats.org/officeDocument/2006/relationships/hyperlink" Target="https://community.topcoder.com/stat?c=problem_statement&amp;pm=8576&amp;rd=13507" TargetMode="External"/><Relationship Id="rId141" Type="http://schemas.openxmlformats.org/officeDocument/2006/relationships/hyperlink" Target="https://community.topcoder.com/stat?c=problem_statement&amp;pm=11667&amp;rd=14551" TargetMode="External"/></Relationships>
</file>

<file path=xl/worksheets/_rels/sheet6.xml.rels><?xml version="1.0" encoding="UTF-8" standalone="yes"?>
<Relationships xmlns="http://schemas.openxmlformats.org/package/2006/relationships"><Relationship Id="rId46" Type="http://schemas.openxmlformats.org/officeDocument/2006/relationships/hyperlink" Target="https://uva.onlinejudge.org/index.php?option=com_onlinejudge&amp;Itemid=8&amp;page=show_problem&amp;problem=284" TargetMode="External"/><Relationship Id="rId47" Type="http://schemas.openxmlformats.org/officeDocument/2006/relationships/hyperlink" Target="https://uva.onlinejudge.org/index.php?option=com_onlinejudge&amp;Itemid=8&amp;page=show_problem&amp;problem=37" TargetMode="External"/><Relationship Id="rId48" Type="http://schemas.openxmlformats.org/officeDocument/2006/relationships/hyperlink" Target="https://uva.onlinejudge.org/index.php?option=com_onlinejudge&amp;Itemid=8&amp;page=show_problem&amp;problem=163" TargetMode="External"/><Relationship Id="rId49" Type="http://schemas.openxmlformats.org/officeDocument/2006/relationships/hyperlink" Target="http://www.spoj.com/problems/BITMAP/" TargetMode="External"/><Relationship Id="rId20" Type="http://schemas.openxmlformats.org/officeDocument/2006/relationships/hyperlink" Target="https://uva.onlinejudge.org/index.php?option=com_onlinejudge&amp;Itemid=8&amp;page=show_problem&amp;problem=503" TargetMode="External"/><Relationship Id="rId21" Type="http://schemas.openxmlformats.org/officeDocument/2006/relationships/hyperlink" Target="https://uva.onlinejudge.org/index.php?option=com_onlinejudge&amp;Itemid=8&amp;page=show_problem&amp;problem=380" TargetMode="External"/><Relationship Id="rId22" Type="http://schemas.openxmlformats.org/officeDocument/2006/relationships/hyperlink" Target="https://uva.onlinejudge.org/index.php?option=onlinejudge&amp;page=show_problem&amp;problem=1742" TargetMode="External"/><Relationship Id="rId23" Type="http://schemas.openxmlformats.org/officeDocument/2006/relationships/hyperlink" Target="http://www.spoj.com/problems/CHMAZE/" TargetMode="External"/><Relationship Id="rId24" Type="http://schemas.openxmlformats.org/officeDocument/2006/relationships/hyperlink" Target="https://uva.onlinejudge.org/index.php?option=onlinejudge&amp;page=show_problem&amp;problem=1041" TargetMode="External"/><Relationship Id="rId25" Type="http://schemas.openxmlformats.org/officeDocument/2006/relationships/hyperlink" Target="https://uva.onlinejudge.org/index.php?option=com_onlinejudge&amp;Itemid=8&amp;page=show_problem&amp;problem=603" TargetMode="External"/><Relationship Id="rId26" Type="http://schemas.openxmlformats.org/officeDocument/2006/relationships/hyperlink" Target="https://uva.onlinejudge.org/index.php?option=com_onlinejudge&amp;Itemid=8&amp;page=show_problem&amp;problem=370" TargetMode="External"/><Relationship Id="rId27" Type="http://schemas.openxmlformats.org/officeDocument/2006/relationships/hyperlink" Target="https://uva.onlinejudge.org/index.php?option=com_onlinejudge&amp;Itemid=8&amp;page=show_problem&amp;problem=668" TargetMode="External"/><Relationship Id="rId28" Type="http://schemas.openxmlformats.org/officeDocument/2006/relationships/hyperlink" Target="https://uva.onlinejudge.org/index.php?option=com_onlinejudge&amp;Itemid=8&amp;page=show_problem&amp;problem=438" TargetMode="External"/><Relationship Id="rId29" Type="http://schemas.openxmlformats.org/officeDocument/2006/relationships/hyperlink" Target="https://uva.onlinejudge.org/index.php?option=com_onlinejudge&amp;Itemid=8&amp;page=show_problem&amp;problem=1139" TargetMode="External"/><Relationship Id="rId50" Type="http://schemas.openxmlformats.org/officeDocument/2006/relationships/hyperlink" Target="https://uva.onlinejudge.org/index.php?option=com_onlinejudge&amp;Itemid=8&amp;page=show_problem&amp;problem=1558" TargetMode="External"/><Relationship Id="rId51" Type="http://schemas.openxmlformats.org/officeDocument/2006/relationships/hyperlink" Target="https://uva.onlinejudge.org/index.php?option=com_onlinejudge&amp;Itemid=8&amp;page=show_problem&amp;problem=556" TargetMode="External"/><Relationship Id="rId52" Type="http://schemas.openxmlformats.org/officeDocument/2006/relationships/hyperlink" Target="https://uva.onlinejudge.org/index.php?option=com_onlinejudge&amp;Itemid=8&amp;page=show_problem&amp;problem=1249" TargetMode="External"/><Relationship Id="rId1" Type="http://schemas.openxmlformats.org/officeDocument/2006/relationships/hyperlink" Target="https://uva.onlinejudge.org/index.php?option=com_onlinejudge&amp;Itemid=8&amp;page=show_problem&amp;problem=977" TargetMode="External"/><Relationship Id="rId2" Type="http://schemas.openxmlformats.org/officeDocument/2006/relationships/hyperlink" Target="https://uva.onlinejudge.org/index.php?option=onlinejudge&amp;page=show_problem&amp;problem=288" TargetMode="External"/><Relationship Id="rId3" Type="http://schemas.openxmlformats.org/officeDocument/2006/relationships/hyperlink" Target="https://uva.onlinejudge.org/index.php?option=com_onlinejudge&amp;Itemid=8&amp;page=show_problem&amp;problem=1680" TargetMode="External"/><Relationship Id="rId4" Type="http://schemas.openxmlformats.org/officeDocument/2006/relationships/hyperlink" Target="http://www.spoj.com/problems/SHOP/" TargetMode="External"/><Relationship Id="rId5" Type="http://schemas.openxmlformats.org/officeDocument/2006/relationships/hyperlink" Target="https://uva.onlinejudge.org/index.php?option=com_onlinejudge&amp;Itemid=8&amp;page=show_problem&amp;problem=3104" TargetMode="External"/><Relationship Id="rId30" Type="http://schemas.openxmlformats.org/officeDocument/2006/relationships/hyperlink" Target="http://www.spoj.com/problems/TOE1/" TargetMode="External"/><Relationship Id="rId31" Type="http://schemas.openxmlformats.org/officeDocument/2006/relationships/hyperlink" Target="https://uva.onlinejudge.org/index.php?option=onlinejudge&amp;page=show_problem&amp;problem=542" TargetMode="External"/><Relationship Id="rId32" Type="http://schemas.openxmlformats.org/officeDocument/2006/relationships/hyperlink" Target="https://uva.onlinejudge.org/index.php?option=onlinejudge&amp;page=show_problem&amp;problem=2498" TargetMode="External"/><Relationship Id="rId9" Type="http://schemas.openxmlformats.org/officeDocument/2006/relationships/hyperlink" Target="https://uva.onlinejudge.org/index.php?option=onlinejudge&amp;page=show_problem&amp;problem=1133" TargetMode="External"/><Relationship Id="rId6" Type="http://schemas.openxmlformats.org/officeDocument/2006/relationships/hyperlink" Target="https://github.com/search?utf8=%E2%9C%93&amp;q=UVA" TargetMode="External"/><Relationship Id="rId7" Type="http://schemas.openxmlformats.org/officeDocument/2006/relationships/hyperlink" Target="https://uva.onlinejudge.org/index.php?option=onlinejudge&amp;page=show_problem&amp;problem=725" TargetMode="External"/><Relationship Id="rId8" Type="http://schemas.openxmlformats.org/officeDocument/2006/relationships/hyperlink" Target="https://www.google.ca/search?client=ubuntu&amp;channel=fs&amp;q=UVA+10079+filetype%3Acpp&amp;ie=utf-8&amp;oe=utf-8&amp;gfe_rd=cr&amp;ei=hQJ6VtKWJ-uM8QfIkbnYCw" TargetMode="External"/><Relationship Id="rId33" Type="http://schemas.openxmlformats.org/officeDocument/2006/relationships/hyperlink" Target="https://uva.onlinejudge.org/index.php?option=com_onlinejudge&amp;Itemid=8&amp;page=show_problem&amp;problem=2853" TargetMode="External"/><Relationship Id="rId34" Type="http://schemas.openxmlformats.org/officeDocument/2006/relationships/hyperlink" Target="https://uva.onlinejudge.org/index.php?option=com_onlinejudge&amp;Itemid=8&amp;page=show_problem&amp;problem=1940" TargetMode="External"/><Relationship Id="rId35" Type="http://schemas.openxmlformats.org/officeDocument/2006/relationships/hyperlink" Target="http://www.spoj.com/problems/PPATH/" TargetMode="External"/><Relationship Id="rId36" Type="http://schemas.openxmlformats.org/officeDocument/2006/relationships/hyperlink" Target="https://uva.onlinejudge.org/index.php?option=onlinejudge&amp;page=show_problem&amp;problem=1054" TargetMode="External"/><Relationship Id="rId10" Type="http://schemas.openxmlformats.org/officeDocument/2006/relationships/hyperlink" Target="https://www.google.ca/search?client=ubuntu&amp;channel=fs&amp;q=UVA+10079+filetype%3Acpp&amp;ie=utf-8&amp;oe=utf-8&amp;gfe_rd=cr&amp;ei=hQJ6VtKWJ-uM8QfIkbnYCw" TargetMode="External"/><Relationship Id="rId11" Type="http://schemas.openxmlformats.org/officeDocument/2006/relationships/hyperlink" Target="https://uva.onlinejudge.org/index.php?option=com_onlinejudge&amp;Itemid=8&amp;page=show_problem&amp;problem=1927" TargetMode="External"/><Relationship Id="rId12" Type="http://schemas.openxmlformats.org/officeDocument/2006/relationships/hyperlink" Target="https://uva.onlinejudge.org/index.php?option=com_onlinejudge&amp;Itemid=8&amp;page=show_problem&amp;problem=944" TargetMode="External"/><Relationship Id="rId13" Type="http://schemas.openxmlformats.org/officeDocument/2006/relationships/hyperlink" Target="https://uva.onlinejudge.org/index.php?option=com_onlinejudge&amp;Itemid=8&amp;page=show_problem&amp;problem=793" TargetMode="External"/><Relationship Id="rId14" Type="http://schemas.openxmlformats.org/officeDocument/2006/relationships/hyperlink" Target="https://uva.onlinejudge.org/index.php?option=onlinejudge&amp;page=show_problem&amp;problem=1271" TargetMode="External"/><Relationship Id="rId15" Type="http://schemas.openxmlformats.org/officeDocument/2006/relationships/hyperlink" Target="https://uva.onlinejudge.org/index.php?option=onlinejudge&amp;page=show_problem&amp;problem=1760" TargetMode="External"/><Relationship Id="rId16" Type="http://schemas.openxmlformats.org/officeDocument/2006/relationships/hyperlink" Target="https://uva.onlinejudge.org/index.php?option=onlinejudge&amp;page=show_problem&amp;problem=2035" TargetMode="External"/><Relationship Id="rId17" Type="http://schemas.openxmlformats.org/officeDocument/2006/relationships/hyperlink" Target="https://uva.onlinejudge.org/index.php?option=com_onlinejudge&amp;Itemid=8&amp;page=show_problem&amp;problem=41" TargetMode="External"/><Relationship Id="rId18" Type="http://schemas.openxmlformats.org/officeDocument/2006/relationships/hyperlink" Target="https://uva.onlinejudge.org/index.php?option=com_onlinejudge&amp;Itemid=8&amp;page=show_problem&amp;problem=1394" TargetMode="External"/><Relationship Id="rId19" Type="http://schemas.openxmlformats.org/officeDocument/2006/relationships/hyperlink" Target="http://www.spoj.com/problems/POUR1/" TargetMode="External"/><Relationship Id="rId37" Type="http://schemas.openxmlformats.org/officeDocument/2006/relationships/hyperlink" Target="http://www.spoj.com/problems/HIGHWAYS/" TargetMode="External"/><Relationship Id="rId38" Type="http://schemas.openxmlformats.org/officeDocument/2006/relationships/hyperlink" Target="https://uva.onlinejudge.org/index.php?option=onlinejudge&amp;page=show_problem&amp;problem=61" TargetMode="External"/><Relationship Id="rId39" Type="http://schemas.openxmlformats.org/officeDocument/2006/relationships/hyperlink" Target="http://www.spoj.com/problems/TOE2/" TargetMode="External"/><Relationship Id="rId40" Type="http://schemas.openxmlformats.org/officeDocument/2006/relationships/hyperlink" Target="https://uva.onlinejudge.org/index.php?option=onlinejudge&amp;page=show_problem&amp;problem=1626" TargetMode="External"/><Relationship Id="rId41" Type="http://schemas.openxmlformats.org/officeDocument/2006/relationships/hyperlink" Target="https://uva.onlinejudge.org/index.php?option=com_onlinejudge&amp;Itemid=8&amp;page=show_problem&amp;problem=703" TargetMode="External"/><Relationship Id="rId42" Type="http://schemas.openxmlformats.org/officeDocument/2006/relationships/hyperlink" Target="https://uva.onlinejudge.org/index.php?option=com_onlinejudge&amp;Itemid=8&amp;page=show_problem&amp;problem=270" TargetMode="External"/><Relationship Id="rId43" Type="http://schemas.openxmlformats.org/officeDocument/2006/relationships/hyperlink" Target="http://www.spoj.com/problems/CDOWN/" TargetMode="External"/><Relationship Id="rId44" Type="http://schemas.openxmlformats.org/officeDocument/2006/relationships/hyperlink" Target="http://www.spoj.com/problems/CLEANRBT/" TargetMode="External"/><Relationship Id="rId45" Type="http://schemas.openxmlformats.org/officeDocument/2006/relationships/hyperlink" Target="https://uva.onlinejudge.org/index.php?option=com_onlinejudge&amp;Itemid=8&amp;page=show_problem&amp;problem=475" TargetMode="External"/></Relationships>
</file>

<file path=xl/worksheets/_rels/sheet7.xml.rels><?xml version="1.0" encoding="UTF-8" standalone="yes"?>
<Relationships xmlns="http://schemas.openxmlformats.org/package/2006/relationships"><Relationship Id="rId46" Type="http://schemas.openxmlformats.org/officeDocument/2006/relationships/hyperlink" Target="https://uva.onlinejudge.org/index.php?option=com_onlinejudge&amp;Itemid=8&amp;page=show_problem&amp;problem=825" TargetMode="External"/><Relationship Id="rId20" Type="http://schemas.openxmlformats.org/officeDocument/2006/relationships/hyperlink" Target="http://www.spoj.com/problems/CHOCOLA/" TargetMode="External"/><Relationship Id="rId21" Type="http://schemas.openxmlformats.org/officeDocument/2006/relationships/hyperlink" Target="https://uva.onlinejudge.org/index.php?option=onlinejudge&amp;page=show_problem&amp;problem=1109" TargetMode="External"/><Relationship Id="rId22" Type="http://schemas.openxmlformats.org/officeDocument/2006/relationships/hyperlink" Target="https://uva.onlinejudge.org/index.php?option=com_onlinejudge&amp;Itemid=8&amp;page=show_problem&amp;problem=1021" TargetMode="External"/><Relationship Id="rId23" Type="http://schemas.openxmlformats.org/officeDocument/2006/relationships/hyperlink" Target="https://uva.onlinejudge.org/index.php?option=com_onlinejudge&amp;Itemid=8&amp;page=show_problem&amp;problem=995" TargetMode="External"/><Relationship Id="rId24" Type="http://schemas.openxmlformats.org/officeDocument/2006/relationships/hyperlink" Target="https://uva.onlinejudge.org/index.php?option=com_onlinejudge&amp;Itemid=8&amp;page=show_problem&amp;problem=1018" TargetMode="External"/><Relationship Id="rId25" Type="http://schemas.openxmlformats.org/officeDocument/2006/relationships/hyperlink" Target="https://uva.onlinejudge.org/index.php?option=onlinejudge&amp;page=show_problem&amp;problem=127" TargetMode="External"/><Relationship Id="rId26" Type="http://schemas.openxmlformats.org/officeDocument/2006/relationships/hyperlink" Target="https://uva.onlinejudge.org/index.php?option=com_onlinejudge&amp;Itemid=8&amp;page=show_problem&amp;problem=1088" TargetMode="External"/><Relationship Id="rId27" Type="http://schemas.openxmlformats.org/officeDocument/2006/relationships/hyperlink" Target="https://uva.onlinejudge.org/index.php?option=onlinejudge&amp;page=show_problem&amp;problem=1160" TargetMode="External"/><Relationship Id="rId28" Type="http://schemas.openxmlformats.org/officeDocument/2006/relationships/hyperlink" Target="https://uva.onlinejudge.org/index.php?option=onlinejudge&amp;Itemid=8&amp;page=show_problem&amp;problem=1080" TargetMode="External"/><Relationship Id="rId29" Type="http://schemas.openxmlformats.org/officeDocument/2006/relationships/hyperlink" Target="https://uva.onlinejudge.org/index.php?option=onlinejudge&amp;page=show_problem&amp;problem=238" TargetMode="External"/><Relationship Id="rId1" Type="http://schemas.openxmlformats.org/officeDocument/2006/relationships/hyperlink" Target="https://uva.onlinejudge.org/index.php?option=com_onlinejudge&amp;Itemid=8&amp;page=show_problem&amp;problem=1820" TargetMode="External"/><Relationship Id="rId2" Type="http://schemas.openxmlformats.org/officeDocument/2006/relationships/hyperlink" Target="http://www.spoj.com/problems/PIR/" TargetMode="External"/><Relationship Id="rId3" Type="http://schemas.openxmlformats.org/officeDocument/2006/relationships/hyperlink" Target="https://uva.onlinejudge.org/index.php?option=onlinejudge&amp;page=show_problem&amp;problem=310" TargetMode="External"/><Relationship Id="rId4" Type="http://schemas.openxmlformats.org/officeDocument/2006/relationships/hyperlink" Target="https://uva.onlinejudge.org/index.php?option=onlinejudge&amp;page=show_problem&amp;problem=1335" TargetMode="External"/><Relationship Id="rId5" Type="http://schemas.openxmlformats.org/officeDocument/2006/relationships/hyperlink" Target="http://www.spoj.com/problems/ABCDEF/" TargetMode="External"/><Relationship Id="rId30" Type="http://schemas.openxmlformats.org/officeDocument/2006/relationships/hyperlink" Target="https://uva.onlinejudge.org/index.php?option=onlinejudge&amp;page=show_problem&amp;problem=2096" TargetMode="External"/><Relationship Id="rId31" Type="http://schemas.openxmlformats.org/officeDocument/2006/relationships/hyperlink" Target="https://uva.onlinejudge.org/index.php?option=onlinejudge&amp;page=show_problem&amp;problem=137" TargetMode="External"/><Relationship Id="rId32" Type="http://schemas.openxmlformats.org/officeDocument/2006/relationships/hyperlink" Target="https://uva.onlinejudge.org/index.php?option=com_onlinejudge&amp;Itemid=8&amp;page=show_problem&amp;problem=64" TargetMode="External"/><Relationship Id="rId9" Type="http://schemas.openxmlformats.org/officeDocument/2006/relationships/hyperlink" Target="http://www.spoj.com/problems/AGGRCOW/" TargetMode="External"/><Relationship Id="rId6" Type="http://schemas.openxmlformats.org/officeDocument/2006/relationships/hyperlink" Target="https://uva.onlinejudge.org/index.php?option=com_onlinejudge&amp;Itemid=8&amp;page=show_problem&amp;problem=322" TargetMode="External"/><Relationship Id="rId7" Type="http://schemas.openxmlformats.org/officeDocument/2006/relationships/hyperlink" Target="https://uva.onlinejudge.org/index.php?option=com_onlinejudge&amp;Itemid=8&amp;page=show_problem&amp;problem=1285" TargetMode="External"/><Relationship Id="rId8" Type="http://schemas.openxmlformats.org/officeDocument/2006/relationships/hyperlink" Target="http://www.spoj.com/problems/PHONELST/" TargetMode="External"/><Relationship Id="rId33" Type="http://schemas.openxmlformats.org/officeDocument/2006/relationships/hyperlink" Target="https://uva.onlinejudge.org/index.php?option=onlinejudge&amp;page=show_problem&amp;problem=1217" TargetMode="External"/><Relationship Id="rId34" Type="http://schemas.openxmlformats.org/officeDocument/2006/relationships/hyperlink" Target="https://uva.onlinejudge.org/index.php?option=com_onlinejudge&amp;Itemid=8&amp;page=show_problem&amp;problem=1917" TargetMode="External"/><Relationship Id="rId35" Type="http://schemas.openxmlformats.org/officeDocument/2006/relationships/hyperlink" Target="https://uva.onlinejudge.org/index.php?option=onlinejudge&amp;page=show_problem&amp;problem=1066" TargetMode="External"/><Relationship Id="rId36" Type="http://schemas.openxmlformats.org/officeDocument/2006/relationships/hyperlink" Target="https://uva.onlinejudge.org/index.php?option=onlinejudge&amp;page=show_problem&amp;problem=1170" TargetMode="External"/><Relationship Id="rId10" Type="http://schemas.openxmlformats.org/officeDocument/2006/relationships/hyperlink" Target="https://uva.onlinejudge.org/index.php?option=com_onlinejudge&amp;Itemid=8&amp;page=show_problem&amp;problem=499" TargetMode="External"/><Relationship Id="rId11" Type="http://schemas.openxmlformats.org/officeDocument/2006/relationships/hyperlink" Target="https://uva.onlinejudge.org/index.php?option=com_onlinejudge&amp;Itemid=8&amp;page=show_problem&amp;problem=1552" TargetMode="External"/><Relationship Id="rId12" Type="http://schemas.openxmlformats.org/officeDocument/2006/relationships/hyperlink" Target="https://uva.onlinejudge.org/index.php?option=onlinejudge&amp;page=show_problem&amp;problem=1658" TargetMode="External"/><Relationship Id="rId13" Type="http://schemas.openxmlformats.org/officeDocument/2006/relationships/hyperlink" Target="https://uva.onlinejudge.org/index.php?option=com_onlinejudge&amp;Itemid=8&amp;page=show_problem&amp;problem=49" TargetMode="External"/><Relationship Id="rId14" Type="http://schemas.openxmlformats.org/officeDocument/2006/relationships/hyperlink" Target="https://uva.onlinejudge.org/index.php?option=com_onlinejudge&amp;Itemid=8&amp;page=show_problem&amp;problem=1541" TargetMode="External"/><Relationship Id="rId15" Type="http://schemas.openxmlformats.org/officeDocument/2006/relationships/hyperlink" Target="http://www.spoj.com/problems/DICT/" TargetMode="External"/><Relationship Id="rId16" Type="http://schemas.openxmlformats.org/officeDocument/2006/relationships/hyperlink" Target="https://uva.onlinejudge.org/index.php?option=onlinejudge&amp;page=show_problem&amp;problem=1183" TargetMode="External"/><Relationship Id="rId17" Type="http://schemas.openxmlformats.org/officeDocument/2006/relationships/hyperlink" Target="https://uva.onlinejudge.org/index.php?option=onlinejudge&amp;page=show_problem&amp;problem=1266" TargetMode="External"/><Relationship Id="rId18" Type="http://schemas.openxmlformats.org/officeDocument/2006/relationships/hyperlink" Target="https://uva.onlinejudge.org/index.php?option=com_onlinejudge&amp;Itemid=8&amp;page=show_problem&amp;problem=691" TargetMode="External"/><Relationship Id="rId19" Type="http://schemas.openxmlformats.org/officeDocument/2006/relationships/hyperlink" Target="https://uva.onlinejudge.org/index.php?option=onlinejudge&amp;page=show_problem&amp;problem=1731" TargetMode="External"/><Relationship Id="rId37" Type="http://schemas.openxmlformats.org/officeDocument/2006/relationships/hyperlink" Target="https://uva.onlinejudge.org/index.php?option=com_onlinejudge&amp;Itemid=8&amp;page=show_problem&amp;problem=230" TargetMode="External"/><Relationship Id="rId38" Type="http://schemas.openxmlformats.org/officeDocument/2006/relationships/hyperlink" Target="https://uva.onlinejudge.org/index.php?option=onlinejudge&amp;page=show_problem&amp;problem=1833" TargetMode="External"/><Relationship Id="rId39" Type="http://schemas.openxmlformats.org/officeDocument/2006/relationships/hyperlink" Target="https://uva.onlinejudge.org/index.php?option=com_onlinejudge&amp;Itemid=8&amp;page=show_problem&amp;problem=3971" TargetMode="External"/><Relationship Id="rId40" Type="http://schemas.openxmlformats.org/officeDocument/2006/relationships/hyperlink" Target="https://uva.onlinejudge.org/index.php?option=com_onlinejudge&amp;Itemid=8&amp;page=show_problem&amp;problem=457" TargetMode="External"/><Relationship Id="rId41" Type="http://schemas.openxmlformats.org/officeDocument/2006/relationships/hyperlink" Target="https://uva.onlinejudge.org/index.php?option=com_onlinejudge&amp;Itemid=8&amp;page=show_problem&amp;problem=1310" TargetMode="External"/><Relationship Id="rId42" Type="http://schemas.openxmlformats.org/officeDocument/2006/relationships/hyperlink" Target="https://uva.onlinejudge.org/index.php?option=com_onlinejudge&amp;Itemid=8&amp;page=show_problem&amp;problem=262" TargetMode="External"/><Relationship Id="rId43" Type="http://schemas.openxmlformats.org/officeDocument/2006/relationships/hyperlink" Target="https://uva.onlinejudge.org/index.php?option=com_onlinejudge&amp;Itemid=8&amp;page=show_problem&amp;problem=314" TargetMode="External"/><Relationship Id="rId44" Type="http://schemas.openxmlformats.org/officeDocument/2006/relationships/hyperlink" Target="http://codeforces.com/problemset/problem/476/C" TargetMode="External"/><Relationship Id="rId45" Type="http://schemas.openxmlformats.org/officeDocument/2006/relationships/hyperlink" Target="http://www.spoj.com/problems/SUBSUMS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poj.com/problems/BOOKS1/" TargetMode="External"/><Relationship Id="rId14" Type="http://schemas.openxmlformats.org/officeDocument/2006/relationships/hyperlink" Target="https://uva.onlinejudge.org/index.php?option=onlinejudge&amp;page=show_problem&amp;problem=122" TargetMode="External"/><Relationship Id="rId15" Type="http://schemas.openxmlformats.org/officeDocument/2006/relationships/hyperlink" Target="https://uva.onlinejudge.org/index.php?option=com_onlinejudge&amp;Itemid=8&amp;page=show_problem&amp;problem=277" TargetMode="External"/><Relationship Id="rId16" Type="http://schemas.openxmlformats.org/officeDocument/2006/relationships/hyperlink" Target="https://uva.onlinejudge.org/index.php?option=com_onlinejudge&amp;Itemid=8&amp;page=show_problem&amp;problem=698" TargetMode="External"/><Relationship Id="rId17" Type="http://schemas.openxmlformats.org/officeDocument/2006/relationships/hyperlink" Target="https://uva.onlinejudge.org/index.php?option=com_onlinejudge&amp;Itemid=8&amp;page=show_problem&amp;problem=52" TargetMode="External"/><Relationship Id="rId18" Type="http://schemas.openxmlformats.org/officeDocument/2006/relationships/hyperlink" Target="http://www.spoj.com/problems/MLASERP/" TargetMode="External"/><Relationship Id="rId19" Type="http://schemas.openxmlformats.org/officeDocument/2006/relationships/hyperlink" Target="https://uva.onlinejudge.org/index.php?option=onlinejudge&amp;page=show_problem&amp;problem=611" TargetMode="External"/><Relationship Id="rId63" Type="http://schemas.openxmlformats.org/officeDocument/2006/relationships/hyperlink" Target="https://uva.onlinejudge.org/index.php?option=com_onlinejudge&amp;Itemid=8&amp;page=show_problem&amp;problem=966" TargetMode="External"/><Relationship Id="rId64" Type="http://schemas.openxmlformats.org/officeDocument/2006/relationships/hyperlink" Target="http://www.spoj.com/problems/SQFREE/" TargetMode="External"/><Relationship Id="rId65" Type="http://schemas.openxmlformats.org/officeDocument/2006/relationships/hyperlink" Target="http://www.spoj.com/problems/ROADS/en/" TargetMode="External"/><Relationship Id="rId66" Type="http://schemas.openxmlformats.org/officeDocument/2006/relationships/hyperlink" Target="https://uva.onlinejudge.org/index.php?option=onlinejudge&amp;page=show_problem&amp;problem=244" TargetMode="External"/><Relationship Id="rId67" Type="http://schemas.openxmlformats.org/officeDocument/2006/relationships/hyperlink" Target="http://www.spoj.com/problems/COCONUTS/" TargetMode="External"/><Relationship Id="rId68" Type="http://schemas.openxmlformats.org/officeDocument/2006/relationships/hyperlink" Target="http://www.spoj.com/problems/CIJEVI/" TargetMode="External"/><Relationship Id="rId69" Type="http://schemas.openxmlformats.org/officeDocument/2006/relationships/hyperlink" Target="https://uva.onlinejudge.org/index.php?option=com_onlinejudge&amp;Itemid=8&amp;page=show_problem&amp;problem=839" TargetMode="External"/><Relationship Id="rId50" Type="http://schemas.openxmlformats.org/officeDocument/2006/relationships/hyperlink" Target="https://uva.onlinejudge.org/index.php?option=com_onlinejudge&amp;Itemid=8&amp;page=show_problem&amp;problem=2224" TargetMode="External"/><Relationship Id="rId51" Type="http://schemas.openxmlformats.org/officeDocument/2006/relationships/hyperlink" Target="https://uva.onlinejudge.org/index.php?option=com_onlinejudge&amp;Itemid=8&amp;page=show_problem&amp;problem=645" TargetMode="External"/><Relationship Id="rId52" Type="http://schemas.openxmlformats.org/officeDocument/2006/relationships/hyperlink" Target="https://uva.onlinejudge.org/index.php?option=com_onlinejudge&amp;Itemid=8&amp;page=show_problem&amp;problem=43" TargetMode="External"/><Relationship Id="rId53" Type="http://schemas.openxmlformats.org/officeDocument/2006/relationships/hyperlink" Target="https://uva.onlinejudge.org/index.php?option=com_onlinejudge&amp;Itemid=8&amp;page=show_problem&amp;problem=62" TargetMode="External"/><Relationship Id="rId54" Type="http://schemas.openxmlformats.org/officeDocument/2006/relationships/hyperlink" Target="http://www.spoj.com/problems/PARITY/" TargetMode="External"/><Relationship Id="rId55" Type="http://schemas.openxmlformats.org/officeDocument/2006/relationships/hyperlink" Target="https://icpcarchive.ecs.baylor.edu/index.php?option=com_onlinejudge&amp;Itemid=8&amp;page=show_problem&amp;problem=3803" TargetMode="External"/><Relationship Id="rId56" Type="http://schemas.openxmlformats.org/officeDocument/2006/relationships/hyperlink" Target="https://uva.onlinejudge.org/index.php?option=com_onlinejudge&amp;Itemid=8&amp;page=show_problem&amp;problem=2929" TargetMode="External"/><Relationship Id="rId57" Type="http://schemas.openxmlformats.org/officeDocument/2006/relationships/hyperlink" Target="https://uva.onlinejudge.org/index.php?option=onlinejudge&amp;Itemid=8&amp;page=show_problem&amp;problem=2768" TargetMode="External"/><Relationship Id="rId58" Type="http://schemas.openxmlformats.org/officeDocument/2006/relationships/hyperlink" Target="https://uva.onlinejudge.org/index.php?option=com_onlinejudge&amp;Itemid=8&amp;page=show_problem&amp;problem=2184" TargetMode="External"/><Relationship Id="rId59" Type="http://schemas.openxmlformats.org/officeDocument/2006/relationships/hyperlink" Target="http://www.spoj.com/problems/SOLIT/" TargetMode="External"/><Relationship Id="rId40" Type="http://schemas.openxmlformats.org/officeDocument/2006/relationships/hyperlink" Target="https://uva.onlinejudge.org/index.php?option=onlinejudge&amp;page=show_problem&amp;problem=548" TargetMode="External"/><Relationship Id="rId41" Type="http://schemas.openxmlformats.org/officeDocument/2006/relationships/hyperlink" Target="https://uva.onlinejudge.org/index.php?option=com_onlinejudge&amp;Itemid=8&amp;page=show_problem&amp;problem=89" TargetMode="External"/><Relationship Id="rId42" Type="http://schemas.openxmlformats.org/officeDocument/2006/relationships/hyperlink" Target="https://uva.onlinejudge.org/index.php?option=com_onlinejudge&amp;Itemid=8&amp;page=show_problem&amp;problem=2175" TargetMode="External"/><Relationship Id="rId43" Type="http://schemas.openxmlformats.org/officeDocument/2006/relationships/hyperlink" Target="https://uva.onlinejudge.org/index.php?option=onlinejudge&amp;page=show_problem&amp;problem=2499" TargetMode="External"/><Relationship Id="rId44" Type="http://schemas.openxmlformats.org/officeDocument/2006/relationships/hyperlink" Target="http://www.spoj.com/problems/MORSE/" TargetMode="External"/><Relationship Id="rId45" Type="http://schemas.openxmlformats.org/officeDocument/2006/relationships/hyperlink" Target="http://www.spoj.com/problems/PRHYME/" TargetMode="External"/><Relationship Id="rId46" Type="http://schemas.openxmlformats.org/officeDocument/2006/relationships/hyperlink" Target="https://uva.onlinejudge.org/index.php?option=com_onlinejudge&amp;Itemid=8&amp;page=show_problem&amp;problem=1070" TargetMode="External"/><Relationship Id="rId47" Type="http://schemas.openxmlformats.org/officeDocument/2006/relationships/hyperlink" Target="https://uva.onlinejudge.org/index.php?option=com_onlinejudge&amp;Itemid=8&amp;page=show_problem&amp;problem=1899" TargetMode="External"/><Relationship Id="rId48" Type="http://schemas.openxmlformats.org/officeDocument/2006/relationships/hyperlink" Target="http://www.spoj.com/problems/NGM2/" TargetMode="External"/><Relationship Id="rId49" Type="http://schemas.openxmlformats.org/officeDocument/2006/relationships/hyperlink" Target="https://uva.onlinejudge.org/index.php?option=onlinejudge&amp;page=show_problem&amp;problem=1745" TargetMode="External"/><Relationship Id="rId1" Type="http://schemas.openxmlformats.org/officeDocument/2006/relationships/hyperlink" Target="http://www.spoj.com/problems/TETRA/" TargetMode="External"/><Relationship Id="rId2" Type="http://schemas.openxmlformats.org/officeDocument/2006/relationships/hyperlink" Target="http://www.spoj.com/problems/QUEST4/" TargetMode="External"/><Relationship Id="rId3" Type="http://schemas.openxmlformats.org/officeDocument/2006/relationships/hyperlink" Target="https://uva.onlinejudge.org/index.php?option=com_onlinejudge&amp;Itemid=8&amp;page=show_problem&amp;problem=1498" TargetMode="External"/><Relationship Id="rId4" Type="http://schemas.openxmlformats.org/officeDocument/2006/relationships/hyperlink" Target="https://uva.onlinejudge.org/index.php?option=onlinejudge&amp;page=show_problem&amp;problem=53" TargetMode="External"/><Relationship Id="rId5" Type="http://schemas.openxmlformats.org/officeDocument/2006/relationships/hyperlink" Target="http://www.spoj.com/problems/MSKYCODE/en/" TargetMode="External"/><Relationship Id="rId6" Type="http://schemas.openxmlformats.org/officeDocument/2006/relationships/hyperlink" Target="https://uva.onlinejudge.org/index.php?option=com_onlinejudge&amp;Itemid=8&amp;page=show_problem&amp;problem=1033" TargetMode="External"/><Relationship Id="rId7" Type="http://schemas.openxmlformats.org/officeDocument/2006/relationships/hyperlink" Target="http://www.spoj.com/problems/DICTSUB/" TargetMode="External"/><Relationship Id="rId8" Type="http://schemas.openxmlformats.org/officeDocument/2006/relationships/hyperlink" Target="http://www.spoj.com/problems/PT07X/" TargetMode="External"/><Relationship Id="rId9" Type="http://schemas.openxmlformats.org/officeDocument/2006/relationships/hyperlink" Target="http://www.spoj.com/problems/ICPCS/" TargetMode="External"/><Relationship Id="rId30" Type="http://schemas.openxmlformats.org/officeDocument/2006/relationships/hyperlink" Target="https://uva.onlinejudge.org/index.php?option=onlinejudge&amp;page=show_problem&amp;problem=63" TargetMode="External"/><Relationship Id="rId31" Type="http://schemas.openxmlformats.org/officeDocument/2006/relationships/hyperlink" Target="https://uva.onlinejudge.org/index.php?option=onlinejudge&amp;page=show_problem&amp;problem=1400" TargetMode="External"/><Relationship Id="rId32" Type="http://schemas.openxmlformats.org/officeDocument/2006/relationships/hyperlink" Target="https://uva.onlinejudge.org/index.php?option=onlinejudge&amp;page=show_problem&amp;problem=1928" TargetMode="External"/><Relationship Id="rId33" Type="http://schemas.openxmlformats.org/officeDocument/2006/relationships/hyperlink" Target="https://uva.onlinejudge.org/index.php?option=com_onlinejudge&amp;Itemid=8&amp;page=show_problem&amp;problem=40" TargetMode="External"/><Relationship Id="rId34" Type="http://schemas.openxmlformats.org/officeDocument/2006/relationships/hyperlink" Target="https://uva.onlinejudge.org/index.php?option=com_onlinejudge&amp;Itemid=8&amp;page=show_problem&amp;problem=2318" TargetMode="External"/><Relationship Id="rId35" Type="http://schemas.openxmlformats.org/officeDocument/2006/relationships/hyperlink" Target="https://uva.onlinejudge.org/index.php?option=onlinejudge&amp;page=show_problem&amp;problem=2501" TargetMode="External"/><Relationship Id="rId36" Type="http://schemas.openxmlformats.org/officeDocument/2006/relationships/hyperlink" Target="https://uva.onlinejudge.org/index.php?option=onlinejudge&amp;page=show_problem&amp;problem=1119" TargetMode="External"/><Relationship Id="rId37" Type="http://schemas.openxmlformats.org/officeDocument/2006/relationships/hyperlink" Target="https://uva.onlinejudge.org/index.php?option=com_onlinejudge&amp;Itemid=8&amp;page=show_problem&amp;problem=195" TargetMode="External"/><Relationship Id="rId38" Type="http://schemas.openxmlformats.org/officeDocument/2006/relationships/hyperlink" Target="http://codeforces.com/problemset/problem/294/C" TargetMode="External"/><Relationship Id="rId39" Type="http://schemas.openxmlformats.org/officeDocument/2006/relationships/hyperlink" Target="http://www.spoj.com/problems/MELE3/" TargetMode="External"/><Relationship Id="rId70" Type="http://schemas.openxmlformats.org/officeDocument/2006/relationships/hyperlink" Target="http://www.spoj.com/problems/CHASE1/" TargetMode="External"/><Relationship Id="rId71" Type="http://schemas.openxmlformats.org/officeDocument/2006/relationships/hyperlink" Target="https://uva.onlinejudge.org/index.php?option=com_onlinejudge&amp;Itemid=8&amp;page=show_problem&amp;problem=1930" TargetMode="External"/><Relationship Id="rId72" Type="http://schemas.openxmlformats.org/officeDocument/2006/relationships/hyperlink" Target="https://uva.onlinejudge.org/index.php?option=com_onlinejudge&amp;Itemid=8&amp;page=show_problem&amp;problem=1475" TargetMode="External"/><Relationship Id="rId20" Type="http://schemas.openxmlformats.org/officeDocument/2006/relationships/hyperlink" Target="https://uva.onlinejudge.org/index.php?option=onlinejudge&amp;page=show_problem&amp;problem=1425" TargetMode="External"/><Relationship Id="rId21" Type="http://schemas.openxmlformats.org/officeDocument/2006/relationships/hyperlink" Target="https://uva.onlinejudge.org/index.php?option=com_onlinejudge&amp;Itemid=8&amp;page=show_problem&amp;problem=470" TargetMode="External"/><Relationship Id="rId22" Type="http://schemas.openxmlformats.org/officeDocument/2006/relationships/hyperlink" Target="https://uva.onlinejudge.org/index.php?option=com_onlinejudge&amp;Itemid=8&amp;page=show_problem&amp;problem=124" TargetMode="External"/><Relationship Id="rId23" Type="http://schemas.openxmlformats.org/officeDocument/2006/relationships/hyperlink" Target="https://uva.onlinejudge.org/index.php?option=onlinejudge&amp;page=show_problem&amp;problem=1757" TargetMode="External"/><Relationship Id="rId24" Type="http://schemas.openxmlformats.org/officeDocument/2006/relationships/hyperlink" Target="http://www.spoj.com/problems/CATM/" TargetMode="External"/><Relationship Id="rId25" Type="http://schemas.openxmlformats.org/officeDocument/2006/relationships/hyperlink" Target="https://uva.onlinejudge.org/index.php?option=onlinejudge&amp;page=show_problem&amp;problem=1403" TargetMode="External"/><Relationship Id="rId26" Type="http://schemas.openxmlformats.org/officeDocument/2006/relationships/hyperlink" Target="https://uva.onlinejudge.org/index.php?option=onlinejudge&amp;page=show_problem&amp;problem=379" TargetMode="External"/><Relationship Id="rId27" Type="http://schemas.openxmlformats.org/officeDocument/2006/relationships/hyperlink" Target="https://uva.onlinejudge.org/index.php?option=com_onlinejudge&amp;Itemid=8&amp;page=show_problem&amp;problem=1647" TargetMode="External"/><Relationship Id="rId28" Type="http://schemas.openxmlformats.org/officeDocument/2006/relationships/hyperlink" Target="http://www.spoj.com/problems/MSE07E/" TargetMode="External"/><Relationship Id="rId29" Type="http://schemas.openxmlformats.org/officeDocument/2006/relationships/hyperlink" Target="https://uva.onlinejudge.org/index.php?option=onlinejudge&amp;page=show_problem&amp;problem=2399" TargetMode="External"/><Relationship Id="rId73" Type="http://schemas.openxmlformats.org/officeDocument/2006/relationships/hyperlink" Target="http://www.spoj.com/problems/DISJPATH/" TargetMode="External"/><Relationship Id="rId74" Type="http://schemas.openxmlformats.org/officeDocument/2006/relationships/hyperlink" Target="http://www.spoj.com/problems/QUEEN/" TargetMode="External"/><Relationship Id="rId75" Type="http://schemas.openxmlformats.org/officeDocument/2006/relationships/hyperlink" Target="https://goo.gl/" TargetMode="External"/><Relationship Id="rId60" Type="http://schemas.openxmlformats.org/officeDocument/2006/relationships/hyperlink" Target="https://uva.onlinejudge.org/index.php?option=com_onlinejudge&amp;Itemid=8&amp;page=show_problem&amp;problem=779" TargetMode="External"/><Relationship Id="rId61" Type="http://schemas.openxmlformats.org/officeDocument/2006/relationships/hyperlink" Target="https://uva.onlinejudge.org/index.php?option=com_onlinejudge&amp;Itemid=8&amp;page=show_problem&amp;problem=476" TargetMode="External"/><Relationship Id="rId62" Type="http://schemas.openxmlformats.org/officeDocument/2006/relationships/hyperlink" Target="https://uva.onlinejudge.org/index.php?option=onlinejudge&amp;page=show_problem&amp;problem=1382" TargetMode="External"/><Relationship Id="rId10" Type="http://schemas.openxmlformats.org/officeDocument/2006/relationships/hyperlink" Target="http://www.spoj.com/problems/CERC07K/" TargetMode="External"/><Relationship Id="rId11" Type="http://schemas.openxmlformats.org/officeDocument/2006/relationships/hyperlink" Target="http://www.spoj.com/problems/ANARC08A/" TargetMode="External"/><Relationship Id="rId12" Type="http://schemas.openxmlformats.org/officeDocument/2006/relationships/hyperlink" Target="http://www.spoj.com/problems/SUMFOU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1"/>
  <sheetViews>
    <sheetView workbookViewId="0">
      <selection activeCell="B20" sqref="B20:H20"/>
    </sheetView>
  </sheetViews>
  <sheetFormatPr baseColWidth="10" defaultColWidth="27.1640625" defaultRowHeight="28" customHeight="1" x14ac:dyDescent="0.15"/>
  <cols>
    <col min="1" max="16384" width="27.1640625" style="71"/>
  </cols>
  <sheetData>
    <row r="1" spans="1:26" ht="28" customHeight="1" x14ac:dyDescent="0.15">
      <c r="A1" s="90" t="s">
        <v>3</v>
      </c>
      <c r="B1" s="90" t="s">
        <v>6</v>
      </c>
      <c r="C1" s="89"/>
      <c r="D1" s="89"/>
      <c r="E1" s="89"/>
      <c r="F1" s="89"/>
      <c r="G1" s="89"/>
      <c r="H1" s="89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28" customHeight="1" x14ac:dyDescent="0.15">
      <c r="A2" s="89"/>
      <c r="B2" s="91" t="str">
        <f>HYPERLINK("https://www.youtube.com/watch?v=DZ6YTtILCE8","Video explaining this sheet (Arabic)")</f>
        <v>Video explaining this sheet (Arabic)</v>
      </c>
      <c r="C2" s="89"/>
      <c r="D2" s="89"/>
      <c r="E2" s="89"/>
      <c r="F2" s="89"/>
      <c r="G2" s="89"/>
      <c r="H2" s="89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28" customHeight="1" x14ac:dyDescent="0.15">
      <c r="A3" s="89"/>
      <c r="B3" s="70" t="s">
        <v>15</v>
      </c>
      <c r="C3" s="94" t="s">
        <v>16</v>
      </c>
      <c r="D3" s="89"/>
      <c r="E3" s="72" t="str">
        <f>HYPERLINK("https://ask.fm/mostafasaad87","Ask")</f>
        <v>Ask</v>
      </c>
      <c r="F3" s="92" t="str">
        <f>HYPERLINK("https://sites.google.com/site/mostafasibrahim/","Site / More Contacts")</f>
        <v>Site / More Contacts</v>
      </c>
      <c r="G3" s="89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28" customHeight="1" x14ac:dyDescent="0.15">
      <c r="A4" s="89"/>
      <c r="B4" s="88" t="s">
        <v>17</v>
      </c>
      <c r="C4" s="89"/>
      <c r="D4" s="89"/>
      <c r="E4" s="89"/>
      <c r="F4" s="89"/>
      <c r="G4" s="89"/>
      <c r="H4" s="89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28" customHeight="1" x14ac:dyDescent="0.1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28" customHeight="1" x14ac:dyDescent="0.15">
      <c r="A6" s="69" t="s">
        <v>18</v>
      </c>
      <c r="B6" s="88" t="s">
        <v>19</v>
      </c>
      <c r="C6" s="89"/>
      <c r="D6" s="89"/>
      <c r="E6" s="89"/>
      <c r="F6" s="89"/>
      <c r="G6" s="89"/>
      <c r="H6" s="89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28" customHeight="1" x14ac:dyDescent="0.15">
      <c r="A7" s="70" t="s">
        <v>20</v>
      </c>
      <c r="B7" s="90" t="s">
        <v>21</v>
      </c>
      <c r="C7" s="89"/>
      <c r="D7" s="89"/>
      <c r="E7" s="89"/>
      <c r="F7" s="89"/>
      <c r="G7" s="89"/>
      <c r="H7" s="89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28" customHeight="1" x14ac:dyDescent="0.15">
      <c r="A8" s="88" t="s">
        <v>22</v>
      </c>
      <c r="B8" s="88" t="s">
        <v>23</v>
      </c>
      <c r="C8" s="89"/>
      <c r="D8" s="73" t="str">
        <f>HYPERLINK("https://www.youtube.com/playlist?list=PLPt2dINI2MIZPFq6HyUB1Uhxdh1UDnZMS","C++ Programming")</f>
        <v>C++ Programming</v>
      </c>
      <c r="E8" s="69" t="s">
        <v>24</v>
      </c>
      <c r="F8" s="69" t="s">
        <v>25</v>
      </c>
      <c r="G8" s="69" t="s">
        <v>26</v>
      </c>
      <c r="H8" s="69" t="s">
        <v>27</v>
      </c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28" customHeight="1" x14ac:dyDescent="0.15">
      <c r="A9" s="89"/>
      <c r="B9" s="95" t="s">
        <v>28</v>
      </c>
      <c r="C9" s="89"/>
      <c r="D9" s="89"/>
      <c r="E9" s="89"/>
      <c r="F9" s="74" t="str">
        <f>HYPERLINK("https://www.youtube.com/playlist?list=PLPt2dINI2MIaNcU070HIAO8JWYBcafuyG","See")</f>
        <v>See</v>
      </c>
      <c r="G9" s="75"/>
      <c r="H9" s="75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spans="1:26" ht="28" customHeight="1" x14ac:dyDescent="0.15">
      <c r="A10" s="70" t="s">
        <v>37</v>
      </c>
      <c r="B10" s="88" t="s">
        <v>38</v>
      </c>
      <c r="C10" s="89"/>
      <c r="D10" s="89"/>
      <c r="E10" s="89"/>
      <c r="F10" s="89"/>
      <c r="G10" s="89"/>
      <c r="H10" s="89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spans="1:26" ht="28" customHeight="1" x14ac:dyDescent="0.1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28" customHeight="1" x14ac:dyDescent="0.15">
      <c r="A12" s="69" t="s">
        <v>40</v>
      </c>
      <c r="B12" s="88" t="s">
        <v>41</v>
      </c>
      <c r="C12" s="89"/>
      <c r="D12" s="89"/>
      <c r="E12" s="89"/>
      <c r="F12" s="89"/>
      <c r="G12" s="89"/>
      <c r="H12" s="89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spans="1:26" ht="28" customHeight="1" x14ac:dyDescent="0.15">
      <c r="A13" s="70" t="s">
        <v>42</v>
      </c>
      <c r="B13" s="90" t="s">
        <v>43</v>
      </c>
      <c r="C13" s="89"/>
      <c r="D13" s="89"/>
      <c r="E13" s="89"/>
      <c r="F13" s="89"/>
      <c r="G13" s="89"/>
      <c r="H13" s="8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spans="1:26" ht="28" customHeight="1" x14ac:dyDescent="0.15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28" customHeight="1" x14ac:dyDescent="0.15">
      <c r="A15" s="88" t="s">
        <v>44</v>
      </c>
      <c r="B15" s="88" t="s">
        <v>48</v>
      </c>
      <c r="C15" s="89"/>
      <c r="D15" s="89"/>
      <c r="E15" s="89"/>
      <c r="F15" s="89"/>
      <c r="G15" s="89"/>
      <c r="H15" s="89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spans="1:26" ht="28" customHeight="1" x14ac:dyDescent="0.15">
      <c r="A16" s="89"/>
      <c r="B16" s="90" t="s">
        <v>50</v>
      </c>
      <c r="C16" s="89"/>
      <c r="D16" s="89"/>
      <c r="E16" s="89"/>
      <c r="F16" s="89"/>
      <c r="G16" s="89"/>
      <c r="H16" s="8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spans="1:26" ht="28" customHeight="1" x14ac:dyDescent="0.15">
      <c r="A17" s="89"/>
      <c r="B17" s="88" t="s">
        <v>52</v>
      </c>
      <c r="C17" s="89"/>
      <c r="D17" s="89"/>
      <c r="E17" s="89"/>
      <c r="F17" s="89"/>
      <c r="G17" s="89"/>
      <c r="H17" s="89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spans="1:26" ht="28" customHeight="1" x14ac:dyDescent="0.15">
      <c r="A18" s="89"/>
      <c r="B18" s="90" t="s">
        <v>54</v>
      </c>
      <c r="C18" s="89"/>
      <c r="D18" s="89"/>
      <c r="E18" s="89"/>
      <c r="F18" s="89"/>
      <c r="G18" s="89"/>
      <c r="H18" s="89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spans="1:26" ht="28" customHeight="1" x14ac:dyDescent="0.15">
      <c r="A19" s="89"/>
      <c r="B19" s="88" t="s">
        <v>57</v>
      </c>
      <c r="C19" s="89"/>
      <c r="D19" s="89"/>
      <c r="E19" s="89"/>
      <c r="F19" s="89"/>
      <c r="G19" s="89"/>
      <c r="H19" s="89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spans="1:26" ht="28" customHeight="1" x14ac:dyDescent="0.15">
      <c r="A20" s="89"/>
      <c r="B20" s="90" t="s">
        <v>59</v>
      </c>
      <c r="C20" s="89"/>
      <c r="D20" s="89"/>
      <c r="E20" s="89"/>
      <c r="F20" s="89"/>
      <c r="G20" s="89"/>
      <c r="H20" s="89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spans="1:26" ht="28" customHeight="1" x14ac:dyDescent="0.15">
      <c r="A21" s="89"/>
      <c r="B21" s="88" t="s">
        <v>61</v>
      </c>
      <c r="C21" s="89"/>
      <c r="D21" s="89"/>
      <c r="E21" s="89"/>
      <c r="F21" s="89"/>
      <c r="G21" s="89"/>
      <c r="H21" s="89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spans="1:26" ht="28" customHeight="1" x14ac:dyDescent="0.15">
      <c r="A22" s="89"/>
      <c r="B22" s="90" t="s">
        <v>62</v>
      </c>
      <c r="C22" s="89"/>
      <c r="D22" s="89"/>
      <c r="E22" s="89"/>
      <c r="F22" s="89"/>
      <c r="G22" s="89"/>
      <c r="H22" s="89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spans="1:26" ht="28" customHeight="1" x14ac:dyDescent="0.15">
      <c r="A23" s="89"/>
      <c r="B23" s="88" t="s">
        <v>66</v>
      </c>
      <c r="C23" s="89"/>
      <c r="D23" s="89"/>
      <c r="E23" s="89"/>
      <c r="F23" s="89"/>
      <c r="G23" s="89"/>
      <c r="H23" s="89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spans="1:26" ht="28" customHeight="1" x14ac:dyDescent="0.15">
      <c r="A24" s="89"/>
      <c r="B24" s="76" t="str">
        <f>HYPERLINK("https://uva.onlinejudge.org/index.php?option=com_content&amp;task=view&amp;id=16&amp;Itemid=31","Put problem Status")</f>
        <v>Put problem Status</v>
      </c>
      <c r="C24" s="77" t="s">
        <v>70</v>
      </c>
      <c r="D24" s="75" t="s">
        <v>73</v>
      </c>
      <c r="E24" s="94" t="s">
        <v>74</v>
      </c>
      <c r="F24" s="89"/>
      <c r="G24" s="89"/>
      <c r="H24" s="89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spans="1:26" ht="28" customHeight="1" x14ac:dyDescent="0.15">
      <c r="A25" s="89"/>
      <c r="B25" s="88" t="s">
        <v>76</v>
      </c>
      <c r="C25" s="89"/>
      <c r="D25" s="89"/>
      <c r="E25" s="89"/>
      <c r="F25" s="89"/>
      <c r="G25" s="89"/>
      <c r="H25" s="89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spans="1:26" ht="28" customHeight="1" x14ac:dyDescent="0.15">
      <c r="A26" s="89"/>
      <c r="B26" s="90" t="s">
        <v>78</v>
      </c>
      <c r="C26" s="89"/>
      <c r="D26" s="89"/>
      <c r="E26" s="89"/>
      <c r="F26" s="89"/>
      <c r="G26" s="89"/>
      <c r="H26" s="89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spans="1:26" ht="28" customHeight="1" x14ac:dyDescent="0.15">
      <c r="A27" s="89"/>
      <c r="B27" s="88" t="s">
        <v>79</v>
      </c>
      <c r="C27" s="89"/>
      <c r="D27" s="89"/>
      <c r="E27" s="89"/>
      <c r="F27" s="89"/>
      <c r="G27" s="89"/>
      <c r="H27" s="89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spans="1:26" ht="28" customHeight="1" x14ac:dyDescent="0.1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1:26" ht="28" customHeight="1" x14ac:dyDescent="0.15">
      <c r="A29" s="69" t="s">
        <v>81</v>
      </c>
      <c r="B29" s="88" t="s">
        <v>82</v>
      </c>
      <c r="C29" s="89"/>
      <c r="D29" s="89"/>
      <c r="E29" s="89"/>
      <c r="F29" s="89"/>
      <c r="G29" s="89"/>
      <c r="H29" s="89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1:26" ht="28" customHeight="1" x14ac:dyDescent="0.15">
      <c r="A30" s="70" t="s">
        <v>83</v>
      </c>
      <c r="B30" s="90" t="s">
        <v>84</v>
      </c>
      <c r="C30" s="89"/>
      <c r="D30" s="89"/>
      <c r="E30" s="89"/>
      <c r="F30" s="89"/>
      <c r="G30" s="89"/>
      <c r="H30" s="89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spans="1:26" ht="28" customHeight="1" x14ac:dyDescent="0.15">
      <c r="A31" s="69" t="s">
        <v>86</v>
      </c>
      <c r="B31" s="88" t="s">
        <v>87</v>
      </c>
      <c r="C31" s="89"/>
      <c r="D31" s="89"/>
      <c r="E31" s="89"/>
      <c r="F31" s="89"/>
      <c r="G31" s="89"/>
      <c r="H31" s="89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spans="1:26" ht="28" customHeight="1" x14ac:dyDescent="0.15">
      <c r="A32" s="70" t="s">
        <v>88</v>
      </c>
      <c r="B32" s="90" t="s">
        <v>89</v>
      </c>
      <c r="C32" s="89"/>
      <c r="D32" s="89"/>
      <c r="E32" s="89"/>
      <c r="F32" s="89"/>
      <c r="G32" s="89"/>
      <c r="H32" s="89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spans="1:26" ht="28" customHeight="1" x14ac:dyDescent="0.15">
      <c r="A33" s="69" t="s">
        <v>91</v>
      </c>
      <c r="B33" s="88" t="s">
        <v>93</v>
      </c>
      <c r="C33" s="89"/>
      <c r="D33" s="89"/>
      <c r="E33" s="89"/>
      <c r="F33" s="89"/>
      <c r="G33" s="89"/>
      <c r="H33" s="89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spans="1:26" ht="28" customHeight="1" x14ac:dyDescent="0.1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spans="1:26" ht="28" customHeight="1" x14ac:dyDescent="0.15">
      <c r="A35" s="88" t="s">
        <v>97</v>
      </c>
      <c r="B35" s="78" t="str">
        <f>HYPERLINK("http://codeforces.com/problemset/problem/136/A","CF136-D2-A")</f>
        <v>CF136-D2-A</v>
      </c>
      <c r="C35" s="88" t="s">
        <v>100</v>
      </c>
      <c r="D35" s="89"/>
      <c r="E35" s="89"/>
      <c r="F35" s="89"/>
      <c r="G35" s="89"/>
      <c r="H35" s="89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spans="1:26" ht="28" customHeight="1" x14ac:dyDescent="0.15">
      <c r="A36" s="89"/>
      <c r="B36" s="70" t="s">
        <v>102</v>
      </c>
      <c r="C36" s="90" t="s">
        <v>104</v>
      </c>
      <c r="D36" s="89"/>
      <c r="E36" s="89"/>
      <c r="F36" s="89"/>
      <c r="G36" s="89"/>
      <c r="H36" s="89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spans="1:26" ht="28" customHeight="1" x14ac:dyDescent="0.1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spans="1:26" ht="28" customHeight="1" x14ac:dyDescent="0.15">
      <c r="A38" s="88" t="s">
        <v>109</v>
      </c>
      <c r="B38" s="90" t="s">
        <v>111</v>
      </c>
      <c r="C38" s="89"/>
      <c r="D38" s="89"/>
      <c r="E38" s="89"/>
      <c r="F38" s="89"/>
      <c r="G38" s="89"/>
      <c r="H38" s="89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spans="1:26" ht="28" customHeight="1" x14ac:dyDescent="0.15">
      <c r="A39" s="89"/>
      <c r="B39" s="88" t="s">
        <v>113</v>
      </c>
      <c r="C39" s="89"/>
      <c r="D39" s="89"/>
      <c r="E39" s="89"/>
      <c r="F39" s="89"/>
      <c r="G39" s="89"/>
      <c r="H39" s="89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spans="1:26" ht="28" customHeight="1" x14ac:dyDescent="0.15">
      <c r="A40" s="89"/>
      <c r="B40" s="90" t="s">
        <v>115</v>
      </c>
      <c r="C40" s="89"/>
      <c r="D40" s="89"/>
      <c r="E40" s="89"/>
      <c r="F40" s="89"/>
      <c r="G40" s="89"/>
      <c r="H40" s="89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spans="1:26" ht="28" customHeight="1" x14ac:dyDescent="0.1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28" customHeight="1" x14ac:dyDescent="0.15">
      <c r="A42" s="88" t="s">
        <v>117</v>
      </c>
      <c r="B42" s="91" t="str">
        <f>HYPERLINK("https://docs.google.com/spreadsheets/d/1-A0sitOUOmHr_E7zoj5KQjrFGlZfWKU_mQ7AN4ztyOc/edit?usp=sharing","V1: My initial trial")</f>
        <v>V1: My initial trial</v>
      </c>
      <c r="C42" s="89"/>
      <c r="D42" s="89"/>
      <c r="E42" s="89"/>
      <c r="F42" s="89"/>
      <c r="G42" s="89"/>
      <c r="H42" s="89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spans="1:26" ht="28" customHeight="1" x14ac:dyDescent="0.15">
      <c r="A43" s="89"/>
      <c r="B43" s="92" t="str">
        <f>HYPERLINK("https://docs.google.com/spreadsheets/d/18u-0hLEMc8d8ti1NoYM5mfLT-hLqmfkZ7VxEo1PT71M/edit?usp=sharing","V2: Vidoes updates. Sheet P2A: Little problems replaced + reordering. P2B, P2C, P2D merged in P2B. P3A and P3B: new knowledge sheets")</f>
        <v>V2: Vidoes updates. Sheet P2A: Little problems replaced + reordering. P2B, P2C, P2D merged in P2B. P3A and P3B: new knowledge sheets</v>
      </c>
      <c r="C43" s="89"/>
      <c r="D43" s="89"/>
      <c r="E43" s="89"/>
      <c r="F43" s="89"/>
      <c r="G43" s="89"/>
      <c r="H43" s="89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spans="1:26" ht="28" customHeight="1" x14ac:dyDescent="0.15">
      <c r="A44" s="89"/>
      <c r="B44" s="88" t="s">
        <v>123</v>
      </c>
      <c r="C44" s="89"/>
      <c r="D44" s="89"/>
      <c r="E44" s="89"/>
      <c r="F44" s="89"/>
      <c r="G44" s="89"/>
      <c r="H44" s="89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spans="1:26" ht="28" customHeight="1" x14ac:dyDescent="0.1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spans="1:26" ht="28" customHeight="1" x14ac:dyDescent="0.1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26" ht="28" customHeight="1" x14ac:dyDescent="0.15">
      <c r="A47" s="70"/>
      <c r="B47" s="93" t="s">
        <v>128</v>
      </c>
      <c r="C47" s="89"/>
      <c r="D47" s="89"/>
      <c r="E47" s="89"/>
      <c r="F47" s="89"/>
      <c r="G47" s="70" t="s">
        <v>131</v>
      </c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spans="1:26" ht="28" customHeight="1" x14ac:dyDescent="0.15">
      <c r="A48" s="70"/>
      <c r="B48" s="70"/>
      <c r="C48" s="70"/>
      <c r="D48" s="70" t="s">
        <v>134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28" customHeight="1" x14ac:dyDescent="0.15">
      <c r="A49" s="70"/>
      <c r="B49" s="70"/>
      <c r="C49" s="70"/>
      <c r="D49" s="70" t="s">
        <v>136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28" customHeight="1" x14ac:dyDescent="0.15">
      <c r="A50" s="70"/>
      <c r="B50" s="70"/>
      <c r="C50" s="70"/>
      <c r="D50" s="70" t="s">
        <v>139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spans="1:26" ht="28" customHeight="1" x14ac:dyDescent="0.15">
      <c r="A51" s="70"/>
      <c r="B51" s="70"/>
      <c r="C51" s="70"/>
      <c r="D51" s="70" t="s">
        <v>141</v>
      </c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spans="1:26" ht="28" customHeight="1" x14ac:dyDescent="0.15">
      <c r="A52" s="70"/>
      <c r="B52" s="70"/>
      <c r="C52" s="70"/>
      <c r="D52" s="70" t="s">
        <v>143</v>
      </c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spans="1:26" ht="28" customHeight="1" x14ac:dyDescent="0.15">
      <c r="A53" s="70"/>
      <c r="B53" s="70"/>
      <c r="C53" s="70"/>
      <c r="D53" s="70" t="s">
        <v>145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spans="1:26" ht="28" customHeight="1" x14ac:dyDescent="0.15">
      <c r="A54" s="70"/>
      <c r="B54" s="70"/>
      <c r="C54" s="70"/>
      <c r="D54" s="70" t="s">
        <v>147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spans="1:26" ht="28" customHeight="1" x14ac:dyDescent="0.15">
      <c r="A55" s="70"/>
      <c r="B55" s="70"/>
      <c r="C55" s="70"/>
      <c r="D55" s="70" t="s">
        <v>149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spans="1:26" ht="28" customHeight="1" x14ac:dyDescent="0.15">
      <c r="A56" s="70"/>
      <c r="B56" s="70"/>
      <c r="C56" s="70"/>
      <c r="D56" s="70" t="s">
        <v>150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spans="1:26" ht="28" customHeight="1" x14ac:dyDescent="0.1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spans="1:26" ht="28" customHeight="1" x14ac:dyDescent="0.1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spans="1:26" ht="28" customHeight="1" x14ac:dyDescent="0.1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spans="1:26" ht="28" customHeight="1" x14ac:dyDescent="0.1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spans="1:26" ht="28" customHeight="1" x14ac:dyDescent="0.1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spans="1:26" ht="28" customHeight="1" x14ac:dyDescent="0.1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spans="1:26" ht="28" customHeight="1" x14ac:dyDescent="0.1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spans="1:26" ht="28" customHeight="1" x14ac:dyDescent="0.1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spans="1:26" ht="28" customHeight="1" x14ac:dyDescent="0.1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spans="1:26" ht="28" customHeight="1" x14ac:dyDescent="0.1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spans="1:26" ht="28" customHeight="1" x14ac:dyDescent="0.1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spans="1:26" ht="28" customHeight="1" x14ac:dyDescent="0.1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spans="1:26" ht="28" customHeight="1" x14ac:dyDescent="0.1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spans="1:26" ht="28" customHeight="1" x14ac:dyDescent="0.1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spans="1:26" ht="28" customHeight="1" x14ac:dyDescent="0.1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spans="1:26" ht="28" customHeight="1" x14ac:dyDescent="0.1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spans="1:26" ht="28" customHeight="1" x14ac:dyDescent="0.1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spans="1:26" ht="28" customHeight="1" x14ac:dyDescent="0.1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spans="1:26" ht="28" customHeight="1" x14ac:dyDescent="0.1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spans="1:26" ht="28" customHeight="1" x14ac:dyDescent="0.1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spans="1:26" ht="28" customHeight="1" x14ac:dyDescent="0.1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spans="1:26" ht="28" customHeight="1" x14ac:dyDescent="0.1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spans="1:26" ht="28" customHeight="1" x14ac:dyDescent="0.1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spans="1:26" ht="28" customHeight="1" x14ac:dyDescent="0.1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spans="1:26" ht="28" customHeight="1" x14ac:dyDescent="0.1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spans="1:26" ht="28" customHeight="1" x14ac:dyDescent="0.1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spans="1:26" ht="28" customHeight="1" x14ac:dyDescent="0.1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spans="1:26" ht="28" customHeight="1" x14ac:dyDescent="0.1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spans="1:26" ht="28" customHeight="1" x14ac:dyDescent="0.1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spans="1:26" ht="28" customHeight="1" x14ac:dyDescent="0.1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spans="1:26" ht="28" customHeight="1" x14ac:dyDescent="0.1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spans="1:26" ht="28" customHeight="1" x14ac:dyDescent="0.1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spans="1:26" ht="28" customHeight="1" x14ac:dyDescent="0.1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spans="1:26" ht="28" customHeight="1" x14ac:dyDescent="0.1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spans="1:26" ht="28" customHeight="1" x14ac:dyDescent="0.1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spans="1:26" ht="28" customHeight="1" x14ac:dyDescent="0.1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spans="1:26" ht="28" customHeight="1" x14ac:dyDescent="0.1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spans="1:26" ht="28" customHeight="1" x14ac:dyDescent="0.1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spans="1:26" ht="28" customHeight="1" x14ac:dyDescent="0.1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spans="1:26" ht="28" customHeight="1" x14ac:dyDescent="0.1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spans="1:26" ht="28" customHeight="1" x14ac:dyDescent="0.1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spans="1:26" ht="28" customHeight="1" x14ac:dyDescent="0.1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spans="1:26" ht="28" customHeight="1" x14ac:dyDescent="0.1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spans="1:26" ht="28" customHeight="1" x14ac:dyDescent="0.1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spans="1:26" ht="28" customHeight="1" x14ac:dyDescent="0.1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spans="1:26" ht="28" customHeight="1" x14ac:dyDescent="0.1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spans="1:26" ht="28" customHeight="1" x14ac:dyDescent="0.1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spans="1:26" ht="28" customHeight="1" x14ac:dyDescent="0.1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spans="1:26" ht="28" customHeight="1" x14ac:dyDescent="0.1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spans="1:26" ht="28" customHeight="1" x14ac:dyDescent="0.1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spans="1:26" ht="28" customHeight="1" x14ac:dyDescent="0.1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spans="1:26" ht="28" customHeight="1" x14ac:dyDescent="0.1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spans="1:26" ht="28" customHeight="1" x14ac:dyDescent="0.1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spans="1:26" ht="28" customHeight="1" x14ac:dyDescent="0.1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spans="1:26" ht="28" customHeight="1" x14ac:dyDescent="0.1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spans="1:26" ht="28" customHeight="1" x14ac:dyDescent="0.1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spans="1:26" ht="28" customHeight="1" x14ac:dyDescent="0.1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spans="1:26" ht="28" customHeight="1" x14ac:dyDescent="0.1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spans="1:26" ht="28" customHeight="1" x14ac:dyDescent="0.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spans="1:26" ht="28" customHeight="1" x14ac:dyDescent="0.1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spans="1:26" ht="28" customHeight="1" x14ac:dyDescent="0.1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spans="1:26" ht="28" customHeight="1" x14ac:dyDescent="0.1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spans="1:26" ht="28" customHeight="1" x14ac:dyDescent="0.1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spans="1:26" ht="28" customHeight="1" x14ac:dyDescent="0.1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spans="1:26" ht="28" customHeight="1" x14ac:dyDescent="0.1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spans="1:26" ht="28" customHeight="1" x14ac:dyDescent="0.1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spans="1:26" ht="28" customHeight="1" x14ac:dyDescent="0.1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spans="1:26" ht="28" customHeight="1" x14ac:dyDescent="0.1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spans="1:26" ht="28" customHeight="1" x14ac:dyDescent="0.1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spans="1:26" ht="28" customHeight="1" x14ac:dyDescent="0.1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spans="1:26" ht="28" customHeight="1" x14ac:dyDescent="0.1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spans="1:26" ht="28" customHeight="1" x14ac:dyDescent="0.1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spans="1:26" ht="28" customHeight="1" x14ac:dyDescent="0.1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spans="1:26" ht="28" customHeight="1" x14ac:dyDescent="0.1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spans="1:26" ht="28" customHeight="1" x14ac:dyDescent="0.1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spans="1:26" ht="28" customHeight="1" x14ac:dyDescent="0.15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spans="1:26" ht="28" customHeight="1" x14ac:dyDescent="0.15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spans="1:26" ht="28" customHeight="1" x14ac:dyDescent="0.15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spans="1:26" ht="28" customHeight="1" x14ac:dyDescent="0.1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spans="1:26" ht="28" customHeight="1" x14ac:dyDescent="0.15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spans="1:26" ht="28" customHeight="1" x14ac:dyDescent="0.15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spans="1:26" ht="28" customHeight="1" x14ac:dyDescent="0.15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spans="1:26" ht="28" customHeight="1" x14ac:dyDescent="0.15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spans="1:26" ht="28" customHeight="1" x14ac:dyDescent="0.15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spans="1:26" ht="28" customHeight="1" x14ac:dyDescent="0.15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spans="1:26" ht="28" customHeight="1" x14ac:dyDescent="0.15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spans="1:26" ht="28" customHeight="1" x14ac:dyDescent="0.15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spans="1:26" ht="28" customHeight="1" x14ac:dyDescent="0.15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spans="1:26" ht="28" customHeight="1" x14ac:dyDescent="0.1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spans="1:26" ht="28" customHeight="1" x14ac:dyDescent="0.15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spans="1:26" ht="28" customHeight="1" x14ac:dyDescent="0.15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spans="1:26" ht="28" customHeight="1" x14ac:dyDescent="0.15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spans="1:26" ht="28" customHeight="1" x14ac:dyDescent="0.15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spans="1:26" ht="28" customHeight="1" x14ac:dyDescent="0.15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spans="1:26" ht="28" customHeight="1" x14ac:dyDescent="0.1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spans="1:26" ht="28" customHeight="1" x14ac:dyDescent="0.1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spans="1:26" ht="28" customHeight="1" x14ac:dyDescent="0.1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spans="1:26" ht="28" customHeight="1" x14ac:dyDescent="0.15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spans="1:26" ht="28" customHeight="1" x14ac:dyDescent="0.1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spans="1:26" ht="28" customHeight="1" x14ac:dyDescent="0.15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spans="1:26" ht="28" customHeight="1" x14ac:dyDescent="0.15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spans="1:26" ht="28" customHeight="1" x14ac:dyDescent="0.15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spans="1:26" ht="28" customHeight="1" x14ac:dyDescent="0.15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spans="1:26" ht="28" customHeight="1" x14ac:dyDescent="0.15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spans="1:26" ht="28" customHeight="1" x14ac:dyDescent="0.15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spans="1:26" ht="28" customHeight="1" x14ac:dyDescent="0.15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spans="1:26" ht="28" customHeight="1" x14ac:dyDescent="0.15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spans="1:26" ht="28" customHeight="1" x14ac:dyDescent="0.15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spans="1:26" ht="28" customHeight="1" x14ac:dyDescent="0.1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spans="1:26" ht="28" customHeight="1" x14ac:dyDescent="0.15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spans="1:26" ht="28" customHeight="1" x14ac:dyDescent="0.15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spans="1:26" ht="28" customHeight="1" x14ac:dyDescent="0.15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spans="1:26" ht="28" customHeight="1" x14ac:dyDescent="0.1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spans="1:26" ht="28" customHeight="1" x14ac:dyDescent="0.1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spans="1:26" ht="28" customHeight="1" x14ac:dyDescent="0.1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spans="1:26" ht="28" customHeight="1" x14ac:dyDescent="0.1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spans="1:26" ht="28" customHeight="1" x14ac:dyDescent="0.1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spans="1:26" ht="28" customHeight="1" x14ac:dyDescent="0.15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spans="1:26" ht="28" customHeight="1" x14ac:dyDescent="0.1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spans="1:26" ht="28" customHeight="1" x14ac:dyDescent="0.15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spans="1:26" ht="28" customHeight="1" x14ac:dyDescent="0.15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spans="1:26" ht="28" customHeight="1" x14ac:dyDescent="0.15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spans="1:26" ht="28" customHeight="1" x14ac:dyDescent="0.15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spans="1:26" ht="28" customHeight="1" x14ac:dyDescent="0.15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spans="1:26" ht="28" customHeight="1" x14ac:dyDescent="0.15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spans="1:26" ht="28" customHeight="1" x14ac:dyDescent="0.15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spans="1:26" ht="28" customHeight="1" x14ac:dyDescent="0.15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spans="1:26" ht="28" customHeight="1" x14ac:dyDescent="0.15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spans="1:26" ht="28" customHeight="1" x14ac:dyDescent="0.1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spans="1:26" ht="28" customHeight="1" x14ac:dyDescent="0.15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spans="1:26" ht="28" customHeight="1" x14ac:dyDescent="0.15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spans="1:26" ht="28" customHeight="1" x14ac:dyDescent="0.15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spans="1:26" ht="28" customHeight="1" x14ac:dyDescent="0.15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spans="1:26" ht="28" customHeight="1" x14ac:dyDescent="0.1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spans="1:26" ht="28" customHeight="1" x14ac:dyDescent="0.15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spans="1:26" ht="28" customHeight="1" x14ac:dyDescent="0.15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spans="1:26" ht="28" customHeight="1" x14ac:dyDescent="0.15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spans="1:26" ht="28" customHeight="1" x14ac:dyDescent="0.15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spans="1:26" ht="28" customHeight="1" x14ac:dyDescent="0.1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spans="1:26" ht="28" customHeight="1" x14ac:dyDescent="0.1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spans="1:26" ht="28" customHeight="1" x14ac:dyDescent="0.1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spans="1:26" ht="28" customHeight="1" x14ac:dyDescent="0.15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spans="1:26" ht="28" customHeight="1" x14ac:dyDescent="0.15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spans="1:26" ht="28" customHeight="1" x14ac:dyDescent="0.15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spans="1:26" ht="28" customHeight="1" x14ac:dyDescent="0.1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spans="1:26" ht="28" customHeight="1" x14ac:dyDescent="0.15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spans="1:26" ht="28" customHeight="1" x14ac:dyDescent="0.15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spans="1:26" ht="28" customHeight="1" x14ac:dyDescent="0.15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spans="1:26" ht="28" customHeight="1" x14ac:dyDescent="0.1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spans="1:26" ht="28" customHeight="1" x14ac:dyDescent="0.15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spans="1:26" ht="28" customHeight="1" x14ac:dyDescent="0.15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spans="1:26" ht="28" customHeight="1" x14ac:dyDescent="0.15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spans="1:26" ht="28" customHeight="1" x14ac:dyDescent="0.15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spans="1:26" ht="28" customHeight="1" x14ac:dyDescent="0.15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spans="1:26" ht="28" customHeight="1" x14ac:dyDescent="0.15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spans="1:26" ht="28" customHeight="1" x14ac:dyDescent="0.15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spans="1:26" ht="28" customHeight="1" x14ac:dyDescent="0.15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spans="1:26" ht="28" customHeight="1" x14ac:dyDescent="0.15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spans="1:26" ht="28" customHeight="1" x14ac:dyDescent="0.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spans="1:26" ht="28" customHeight="1" x14ac:dyDescent="0.15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spans="1:26" ht="28" customHeight="1" x14ac:dyDescent="0.15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spans="1:26" ht="28" customHeight="1" x14ac:dyDescent="0.15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spans="1:26" ht="28" customHeight="1" x14ac:dyDescent="0.15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spans="1:26" ht="28" customHeight="1" x14ac:dyDescent="0.15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spans="1:26" ht="28" customHeight="1" x14ac:dyDescent="0.15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spans="1:26" ht="28" customHeight="1" x14ac:dyDescent="0.15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spans="1:26" ht="28" customHeight="1" x14ac:dyDescent="0.15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spans="1:26" ht="28" customHeight="1" x14ac:dyDescent="0.15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spans="1:26" ht="28" customHeight="1" x14ac:dyDescent="0.1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spans="1:26" ht="28" customHeight="1" x14ac:dyDescent="0.15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spans="1:26" ht="28" customHeight="1" x14ac:dyDescent="0.15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spans="1:26" ht="28" customHeight="1" x14ac:dyDescent="0.15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spans="1:26" ht="28" customHeight="1" x14ac:dyDescent="0.15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spans="1:26" ht="28" customHeight="1" x14ac:dyDescent="0.15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spans="1:26" ht="28" customHeight="1" x14ac:dyDescent="0.15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spans="1:26" ht="28" customHeight="1" x14ac:dyDescent="0.15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spans="1:26" ht="28" customHeight="1" x14ac:dyDescent="0.15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spans="1:26" ht="28" customHeight="1" x14ac:dyDescent="0.15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spans="1:26" ht="28" customHeight="1" x14ac:dyDescent="0.1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spans="1:26" ht="28" customHeight="1" x14ac:dyDescent="0.15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spans="1:26" ht="28" customHeight="1" x14ac:dyDescent="0.15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spans="1:26" ht="28" customHeight="1" x14ac:dyDescent="0.15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spans="1:26" ht="28" customHeight="1" x14ac:dyDescent="0.15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spans="1:26" ht="28" customHeight="1" x14ac:dyDescent="0.15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spans="1:26" ht="28" customHeight="1" x14ac:dyDescent="0.15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spans="1:26" ht="28" customHeight="1" x14ac:dyDescent="0.15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spans="1:26" ht="28" customHeight="1" x14ac:dyDescent="0.15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spans="1:26" ht="28" customHeight="1" x14ac:dyDescent="0.15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spans="1:26" ht="28" customHeight="1" x14ac:dyDescent="0.1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spans="1:26" ht="28" customHeight="1" x14ac:dyDescent="0.15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spans="1:26" ht="28" customHeight="1" x14ac:dyDescent="0.15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spans="1:26" ht="28" customHeight="1" x14ac:dyDescent="0.15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spans="1:26" ht="28" customHeight="1" x14ac:dyDescent="0.15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spans="1:26" ht="28" customHeight="1" x14ac:dyDescent="0.15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spans="1:26" ht="28" customHeight="1" x14ac:dyDescent="0.15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spans="1:26" ht="28" customHeight="1" x14ac:dyDescent="0.15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spans="1:26" ht="28" customHeight="1" x14ac:dyDescent="0.15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spans="1:26" ht="28" customHeight="1" x14ac:dyDescent="0.15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spans="1:26" ht="28" customHeight="1" x14ac:dyDescent="0.1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spans="1:26" ht="28" customHeight="1" x14ac:dyDescent="0.15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spans="1:26" ht="28" customHeight="1" x14ac:dyDescent="0.15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spans="1:26" ht="28" customHeight="1" x14ac:dyDescent="0.15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spans="1:26" ht="28" customHeight="1" x14ac:dyDescent="0.15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spans="1:26" ht="28" customHeight="1" x14ac:dyDescent="0.15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spans="1:26" ht="28" customHeight="1" x14ac:dyDescent="0.15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spans="1:26" ht="28" customHeight="1" x14ac:dyDescent="0.15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spans="1:26" ht="28" customHeight="1" x14ac:dyDescent="0.15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spans="1:26" ht="28" customHeight="1" x14ac:dyDescent="0.15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spans="1:26" ht="28" customHeight="1" x14ac:dyDescent="0.1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spans="1:26" ht="28" customHeight="1" x14ac:dyDescent="0.15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spans="1:26" ht="28" customHeight="1" x14ac:dyDescent="0.15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spans="1:26" ht="28" customHeight="1" x14ac:dyDescent="0.15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spans="1:26" ht="28" customHeight="1" x14ac:dyDescent="0.15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spans="1:26" ht="28" customHeight="1" x14ac:dyDescent="0.15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spans="1:26" ht="28" customHeight="1" x14ac:dyDescent="0.15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spans="1:26" ht="28" customHeight="1" x14ac:dyDescent="0.15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spans="1:26" ht="28" customHeight="1" x14ac:dyDescent="0.15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spans="1:26" ht="28" customHeight="1" x14ac:dyDescent="0.15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spans="1:26" ht="28" customHeight="1" x14ac:dyDescent="0.1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spans="1:26" ht="28" customHeight="1" x14ac:dyDescent="0.15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spans="1:26" ht="28" customHeight="1" x14ac:dyDescent="0.15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spans="1:26" ht="28" customHeight="1" x14ac:dyDescent="0.15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spans="1:26" ht="28" customHeight="1" x14ac:dyDescent="0.15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spans="1:26" ht="28" customHeight="1" x14ac:dyDescent="0.15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spans="1:26" ht="28" customHeight="1" x14ac:dyDescent="0.15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spans="1:26" ht="28" customHeight="1" x14ac:dyDescent="0.15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spans="1:26" ht="28" customHeight="1" x14ac:dyDescent="0.15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spans="1:26" ht="28" customHeight="1" x14ac:dyDescent="0.15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spans="1:26" ht="28" customHeight="1" x14ac:dyDescent="0.1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spans="1:26" ht="28" customHeight="1" x14ac:dyDescent="0.15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spans="1:26" ht="28" customHeight="1" x14ac:dyDescent="0.15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spans="1:26" ht="28" customHeight="1" x14ac:dyDescent="0.15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spans="1:26" ht="28" customHeight="1" x14ac:dyDescent="0.15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spans="1:26" ht="28" customHeight="1" x14ac:dyDescent="0.15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spans="1:26" ht="28" customHeight="1" x14ac:dyDescent="0.15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spans="1:26" ht="28" customHeight="1" x14ac:dyDescent="0.15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spans="1:26" ht="28" customHeight="1" x14ac:dyDescent="0.15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spans="1:26" ht="28" customHeight="1" x14ac:dyDescent="0.15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spans="1:26" ht="28" customHeight="1" x14ac:dyDescent="0.1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spans="1:26" ht="28" customHeight="1" x14ac:dyDescent="0.15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spans="1:26" ht="28" customHeight="1" x14ac:dyDescent="0.15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spans="1:26" ht="28" customHeight="1" x14ac:dyDescent="0.15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spans="1:26" ht="28" customHeight="1" x14ac:dyDescent="0.15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spans="1:26" ht="28" customHeight="1" x14ac:dyDescent="0.15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spans="1:26" ht="28" customHeight="1" x14ac:dyDescent="0.15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spans="1:26" ht="28" customHeight="1" x14ac:dyDescent="0.15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spans="1:26" ht="28" customHeight="1" x14ac:dyDescent="0.15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spans="1:26" ht="28" customHeight="1" x14ac:dyDescent="0.15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spans="1:26" ht="28" customHeight="1" x14ac:dyDescent="0.1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spans="1:26" ht="28" customHeight="1" x14ac:dyDescent="0.15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spans="1:26" ht="28" customHeight="1" x14ac:dyDescent="0.15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spans="1:26" ht="28" customHeight="1" x14ac:dyDescent="0.15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spans="1:26" ht="28" customHeight="1" x14ac:dyDescent="0.15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spans="1:26" ht="28" customHeight="1" x14ac:dyDescent="0.15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spans="1:26" ht="28" customHeight="1" x14ac:dyDescent="0.15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spans="1:26" ht="28" customHeight="1" x14ac:dyDescent="0.15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spans="1:26" ht="28" customHeight="1" x14ac:dyDescent="0.15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spans="1:26" ht="28" customHeight="1" x14ac:dyDescent="0.15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spans="1:26" ht="28" customHeight="1" x14ac:dyDescent="0.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spans="1:26" ht="28" customHeight="1" x14ac:dyDescent="0.15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spans="1:26" ht="28" customHeight="1" x14ac:dyDescent="0.15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spans="1:26" ht="28" customHeight="1" x14ac:dyDescent="0.15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spans="1:26" ht="28" customHeight="1" x14ac:dyDescent="0.15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spans="1:26" ht="28" customHeight="1" x14ac:dyDescent="0.15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spans="1:26" ht="28" customHeight="1" x14ac:dyDescent="0.15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spans="1:26" ht="28" customHeight="1" x14ac:dyDescent="0.15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spans="1:26" ht="28" customHeight="1" x14ac:dyDescent="0.15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spans="1:26" ht="28" customHeight="1" x14ac:dyDescent="0.15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spans="1:26" ht="28" customHeight="1" x14ac:dyDescent="0.1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spans="1:26" ht="28" customHeight="1" x14ac:dyDescent="0.15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spans="1:26" ht="28" customHeight="1" x14ac:dyDescent="0.15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spans="1:26" ht="28" customHeight="1" x14ac:dyDescent="0.15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spans="1:26" ht="28" customHeight="1" x14ac:dyDescent="0.15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spans="1:26" ht="28" customHeight="1" x14ac:dyDescent="0.15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spans="1:26" ht="28" customHeight="1" x14ac:dyDescent="0.15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spans="1:26" ht="28" customHeight="1" x14ac:dyDescent="0.15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spans="1:26" ht="28" customHeight="1" x14ac:dyDescent="0.15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spans="1:26" ht="28" customHeight="1" x14ac:dyDescent="0.15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spans="1:26" ht="28" customHeight="1" x14ac:dyDescent="0.1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spans="1:26" ht="28" customHeight="1" x14ac:dyDescent="0.15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spans="1:26" ht="28" customHeight="1" x14ac:dyDescent="0.15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spans="1:26" ht="28" customHeight="1" x14ac:dyDescent="0.15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spans="1:26" ht="28" customHeight="1" x14ac:dyDescent="0.15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spans="1:26" ht="28" customHeight="1" x14ac:dyDescent="0.15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spans="1:26" ht="28" customHeight="1" x14ac:dyDescent="0.15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spans="1:26" ht="28" customHeight="1" x14ac:dyDescent="0.15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spans="1:26" ht="28" customHeight="1" x14ac:dyDescent="0.15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spans="1:26" ht="28" customHeight="1" x14ac:dyDescent="0.15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spans="1:26" ht="28" customHeight="1" x14ac:dyDescent="0.1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spans="1:26" ht="28" customHeight="1" x14ac:dyDescent="0.15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spans="1:26" ht="28" customHeight="1" x14ac:dyDescent="0.15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spans="1:26" ht="28" customHeight="1" x14ac:dyDescent="0.15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spans="1:26" ht="28" customHeight="1" x14ac:dyDescent="0.15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spans="1:26" ht="28" customHeight="1" x14ac:dyDescent="0.15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spans="1:26" ht="28" customHeight="1" x14ac:dyDescent="0.15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spans="1:26" ht="28" customHeight="1" x14ac:dyDescent="0.15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spans="1:26" ht="28" customHeight="1" x14ac:dyDescent="0.15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spans="1:26" ht="28" customHeight="1" x14ac:dyDescent="0.15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spans="1:26" ht="28" customHeight="1" x14ac:dyDescent="0.1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spans="1:26" ht="28" customHeight="1" x14ac:dyDescent="0.15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spans="1:26" ht="28" customHeight="1" x14ac:dyDescent="0.15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spans="1:26" ht="28" customHeight="1" x14ac:dyDescent="0.15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spans="1:26" ht="28" customHeight="1" x14ac:dyDescent="0.15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spans="1:26" ht="28" customHeight="1" x14ac:dyDescent="0.15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spans="1:26" ht="28" customHeight="1" x14ac:dyDescent="0.15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spans="1:26" ht="28" customHeight="1" x14ac:dyDescent="0.15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spans="1:26" ht="28" customHeight="1" x14ac:dyDescent="0.15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spans="1:26" ht="28" customHeight="1" x14ac:dyDescent="0.15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spans="1:26" ht="28" customHeight="1" x14ac:dyDescent="0.1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spans="1:26" ht="28" customHeight="1" x14ac:dyDescent="0.15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spans="1:26" ht="28" customHeight="1" x14ac:dyDescent="0.15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spans="1:26" ht="28" customHeight="1" x14ac:dyDescent="0.15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spans="1:26" ht="28" customHeight="1" x14ac:dyDescent="0.15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spans="1:26" ht="28" customHeight="1" x14ac:dyDescent="0.15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spans="1:26" ht="28" customHeight="1" x14ac:dyDescent="0.15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spans="1:26" ht="28" customHeight="1" x14ac:dyDescent="0.15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spans="1:26" ht="28" customHeight="1" x14ac:dyDescent="0.15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spans="1:26" ht="28" customHeight="1" x14ac:dyDescent="0.15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spans="1:26" ht="28" customHeight="1" x14ac:dyDescent="0.1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spans="1:26" ht="28" customHeight="1" x14ac:dyDescent="0.15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spans="1:26" ht="28" customHeight="1" x14ac:dyDescent="0.15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spans="1:26" ht="28" customHeight="1" x14ac:dyDescent="0.15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spans="1:26" ht="28" customHeight="1" x14ac:dyDescent="0.15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spans="1:26" ht="28" customHeight="1" x14ac:dyDescent="0.15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spans="1:26" ht="28" customHeight="1" x14ac:dyDescent="0.15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spans="1:26" ht="28" customHeight="1" x14ac:dyDescent="0.15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spans="1:26" ht="28" customHeight="1" x14ac:dyDescent="0.15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spans="1:26" ht="28" customHeight="1" x14ac:dyDescent="0.15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spans="1:26" ht="28" customHeight="1" x14ac:dyDescent="0.1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spans="1:26" ht="28" customHeight="1" x14ac:dyDescent="0.15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spans="1:26" ht="28" customHeight="1" x14ac:dyDescent="0.15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spans="1:26" ht="28" customHeight="1" x14ac:dyDescent="0.15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spans="1:26" ht="28" customHeight="1" x14ac:dyDescent="0.15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spans="1:26" ht="28" customHeight="1" x14ac:dyDescent="0.15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spans="1:26" ht="28" customHeight="1" x14ac:dyDescent="0.15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spans="1:26" ht="28" customHeight="1" x14ac:dyDescent="0.15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spans="1:26" ht="28" customHeight="1" x14ac:dyDescent="0.15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spans="1:26" ht="28" customHeight="1" x14ac:dyDescent="0.15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spans="1:26" ht="28" customHeight="1" x14ac:dyDescent="0.1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spans="1:26" ht="28" customHeight="1" x14ac:dyDescent="0.15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spans="1:26" ht="28" customHeight="1" x14ac:dyDescent="0.15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spans="1:26" ht="28" customHeight="1" x14ac:dyDescent="0.15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spans="1:26" ht="28" customHeight="1" x14ac:dyDescent="0.15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spans="1:26" ht="28" customHeight="1" x14ac:dyDescent="0.15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spans="1:26" ht="28" customHeight="1" x14ac:dyDescent="0.15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spans="1:26" ht="28" customHeight="1" x14ac:dyDescent="0.15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spans="1:26" ht="28" customHeight="1" x14ac:dyDescent="0.15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spans="1:26" ht="28" customHeight="1" x14ac:dyDescent="0.15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spans="1:26" ht="28" customHeight="1" x14ac:dyDescent="0.1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spans="1:26" ht="28" customHeight="1" x14ac:dyDescent="0.15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spans="1:26" ht="28" customHeight="1" x14ac:dyDescent="0.15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spans="1:26" ht="28" customHeight="1" x14ac:dyDescent="0.15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spans="1:26" ht="28" customHeight="1" x14ac:dyDescent="0.15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spans="1:26" ht="28" customHeight="1" x14ac:dyDescent="0.15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spans="1:26" ht="28" customHeight="1" x14ac:dyDescent="0.15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spans="1:26" ht="28" customHeight="1" x14ac:dyDescent="0.15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spans="1:26" ht="28" customHeight="1" x14ac:dyDescent="0.15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spans="1:26" ht="28" customHeight="1" x14ac:dyDescent="0.15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spans="1:26" ht="28" customHeight="1" x14ac:dyDescent="0.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spans="1:26" ht="28" customHeight="1" x14ac:dyDescent="0.15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spans="1:26" ht="28" customHeight="1" x14ac:dyDescent="0.15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spans="1:26" ht="28" customHeight="1" x14ac:dyDescent="0.15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spans="1:26" ht="28" customHeight="1" x14ac:dyDescent="0.15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spans="1:26" ht="28" customHeight="1" x14ac:dyDescent="0.15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spans="1:26" ht="28" customHeight="1" x14ac:dyDescent="0.15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spans="1:26" ht="28" customHeight="1" x14ac:dyDescent="0.15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spans="1:26" ht="28" customHeight="1" x14ac:dyDescent="0.15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spans="1:26" ht="28" customHeight="1" x14ac:dyDescent="0.15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spans="1:26" ht="28" customHeight="1" x14ac:dyDescent="0.1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spans="1:26" ht="28" customHeight="1" x14ac:dyDescent="0.15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spans="1:26" ht="28" customHeight="1" x14ac:dyDescent="0.15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spans="1:26" ht="28" customHeight="1" x14ac:dyDescent="0.15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spans="1:26" ht="28" customHeight="1" x14ac:dyDescent="0.15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spans="1:26" ht="28" customHeight="1" x14ac:dyDescent="0.15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spans="1:26" ht="28" customHeight="1" x14ac:dyDescent="0.15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spans="1:26" ht="28" customHeight="1" x14ac:dyDescent="0.15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spans="1:26" ht="28" customHeight="1" x14ac:dyDescent="0.15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spans="1:26" ht="28" customHeight="1" x14ac:dyDescent="0.15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spans="1:26" ht="28" customHeight="1" x14ac:dyDescent="0.1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spans="1:26" ht="28" customHeight="1" x14ac:dyDescent="0.15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spans="1:26" ht="28" customHeight="1" x14ac:dyDescent="0.15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spans="1:26" ht="28" customHeight="1" x14ac:dyDescent="0.15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spans="1:26" ht="28" customHeight="1" x14ac:dyDescent="0.15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spans="1:26" ht="28" customHeight="1" x14ac:dyDescent="0.15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spans="1:26" ht="28" customHeight="1" x14ac:dyDescent="0.15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spans="1:26" ht="28" customHeight="1" x14ac:dyDescent="0.15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spans="1:26" ht="28" customHeight="1" x14ac:dyDescent="0.15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spans="1:26" ht="28" customHeight="1" x14ac:dyDescent="0.15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spans="1:26" ht="28" customHeight="1" x14ac:dyDescent="0.1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spans="1:26" ht="28" customHeight="1" x14ac:dyDescent="0.15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spans="1:26" ht="28" customHeight="1" x14ac:dyDescent="0.15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spans="1:26" ht="28" customHeight="1" x14ac:dyDescent="0.15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spans="1:26" ht="28" customHeight="1" x14ac:dyDescent="0.15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spans="1:26" ht="28" customHeight="1" x14ac:dyDescent="0.15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spans="1:26" ht="28" customHeight="1" x14ac:dyDescent="0.15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spans="1:26" ht="28" customHeight="1" x14ac:dyDescent="0.15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spans="1:26" ht="28" customHeight="1" x14ac:dyDescent="0.15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spans="1:26" ht="28" customHeight="1" x14ac:dyDescent="0.15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spans="1:26" ht="28" customHeight="1" x14ac:dyDescent="0.1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spans="1:26" ht="28" customHeight="1" x14ac:dyDescent="0.15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spans="1:26" ht="28" customHeight="1" x14ac:dyDescent="0.15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spans="1:26" ht="28" customHeight="1" x14ac:dyDescent="0.15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spans="1:26" ht="28" customHeight="1" x14ac:dyDescent="0.15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spans="1:26" ht="28" customHeight="1" x14ac:dyDescent="0.15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spans="1:26" ht="28" customHeight="1" x14ac:dyDescent="0.15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spans="1:26" ht="28" customHeight="1" x14ac:dyDescent="0.15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spans="1:26" ht="28" customHeight="1" x14ac:dyDescent="0.15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spans="1:26" ht="28" customHeight="1" x14ac:dyDescent="0.15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spans="1:26" ht="28" customHeight="1" x14ac:dyDescent="0.1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spans="1:26" ht="28" customHeight="1" x14ac:dyDescent="0.15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spans="1:26" ht="28" customHeight="1" x14ac:dyDescent="0.15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spans="1:26" ht="28" customHeight="1" x14ac:dyDescent="0.15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spans="1:26" ht="28" customHeight="1" x14ac:dyDescent="0.15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spans="1:26" ht="28" customHeight="1" x14ac:dyDescent="0.15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spans="1:26" ht="28" customHeight="1" x14ac:dyDescent="0.15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spans="1:26" ht="28" customHeight="1" x14ac:dyDescent="0.15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spans="1:26" ht="28" customHeight="1" x14ac:dyDescent="0.15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spans="1:26" ht="28" customHeight="1" x14ac:dyDescent="0.15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spans="1:26" ht="28" customHeight="1" x14ac:dyDescent="0.1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spans="1:26" ht="28" customHeight="1" x14ac:dyDescent="0.15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spans="1:26" ht="28" customHeight="1" x14ac:dyDescent="0.15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spans="1:26" ht="28" customHeight="1" x14ac:dyDescent="0.15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spans="1:26" ht="28" customHeight="1" x14ac:dyDescent="0.15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spans="1:26" ht="28" customHeight="1" x14ac:dyDescent="0.15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spans="1:26" ht="28" customHeight="1" x14ac:dyDescent="0.15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spans="1:26" ht="28" customHeight="1" x14ac:dyDescent="0.15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spans="1:26" ht="28" customHeight="1" x14ac:dyDescent="0.15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spans="1:26" ht="28" customHeight="1" x14ac:dyDescent="0.15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spans="1:26" ht="28" customHeight="1" x14ac:dyDescent="0.1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spans="1:26" ht="28" customHeight="1" x14ac:dyDescent="0.15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spans="1:26" ht="28" customHeight="1" x14ac:dyDescent="0.15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spans="1:26" ht="28" customHeight="1" x14ac:dyDescent="0.15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spans="1:26" ht="28" customHeight="1" x14ac:dyDescent="0.15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spans="1:26" ht="28" customHeight="1" x14ac:dyDescent="0.15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spans="1:26" ht="28" customHeight="1" x14ac:dyDescent="0.15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spans="1:26" ht="28" customHeight="1" x14ac:dyDescent="0.15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spans="1:26" ht="28" customHeight="1" x14ac:dyDescent="0.15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spans="1:26" ht="28" customHeight="1" x14ac:dyDescent="0.15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spans="1:26" ht="28" customHeight="1" x14ac:dyDescent="0.1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spans="1:26" ht="28" customHeight="1" x14ac:dyDescent="0.15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spans="1:26" ht="28" customHeight="1" x14ac:dyDescent="0.15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spans="1:26" ht="28" customHeight="1" x14ac:dyDescent="0.15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spans="1:26" ht="28" customHeight="1" x14ac:dyDescent="0.15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spans="1:26" ht="28" customHeight="1" x14ac:dyDescent="0.15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spans="1:26" ht="28" customHeight="1" x14ac:dyDescent="0.15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spans="1:26" ht="28" customHeight="1" x14ac:dyDescent="0.15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spans="1:26" ht="28" customHeight="1" x14ac:dyDescent="0.15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spans="1:26" ht="28" customHeight="1" x14ac:dyDescent="0.15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spans="1:26" ht="28" customHeight="1" x14ac:dyDescent="0.1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spans="1:26" ht="28" customHeight="1" x14ac:dyDescent="0.15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spans="1:26" ht="28" customHeight="1" x14ac:dyDescent="0.15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spans="1:26" ht="28" customHeight="1" x14ac:dyDescent="0.15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spans="1:26" ht="28" customHeight="1" x14ac:dyDescent="0.15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spans="1:26" ht="28" customHeight="1" x14ac:dyDescent="0.15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spans="1:26" ht="28" customHeight="1" x14ac:dyDescent="0.15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spans="1:26" ht="28" customHeight="1" x14ac:dyDescent="0.15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spans="1:26" ht="28" customHeight="1" x14ac:dyDescent="0.15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spans="1:26" ht="28" customHeight="1" x14ac:dyDescent="0.15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spans="1:26" ht="28" customHeight="1" x14ac:dyDescent="0.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spans="1:26" ht="28" customHeight="1" x14ac:dyDescent="0.15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spans="1:26" ht="28" customHeight="1" x14ac:dyDescent="0.15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spans="1:26" ht="28" customHeight="1" x14ac:dyDescent="0.15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spans="1:26" ht="28" customHeight="1" x14ac:dyDescent="0.15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spans="1:26" ht="28" customHeight="1" x14ac:dyDescent="0.15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spans="1:26" ht="28" customHeight="1" x14ac:dyDescent="0.15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spans="1:26" ht="28" customHeight="1" x14ac:dyDescent="0.15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spans="1:26" ht="28" customHeight="1" x14ac:dyDescent="0.15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spans="1:26" ht="28" customHeight="1" x14ac:dyDescent="0.15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spans="1:26" ht="28" customHeight="1" x14ac:dyDescent="0.1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spans="1:26" ht="28" customHeight="1" x14ac:dyDescent="0.15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spans="1:26" ht="28" customHeight="1" x14ac:dyDescent="0.15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spans="1:26" ht="28" customHeight="1" x14ac:dyDescent="0.15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spans="1:26" ht="28" customHeight="1" x14ac:dyDescent="0.15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spans="1:26" ht="28" customHeight="1" x14ac:dyDescent="0.15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spans="1:26" ht="28" customHeight="1" x14ac:dyDescent="0.15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spans="1:26" ht="28" customHeight="1" x14ac:dyDescent="0.15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spans="1:26" ht="28" customHeight="1" x14ac:dyDescent="0.15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spans="1:26" ht="28" customHeight="1" x14ac:dyDescent="0.15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spans="1:26" ht="28" customHeight="1" x14ac:dyDescent="0.1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spans="1:26" ht="28" customHeight="1" x14ac:dyDescent="0.15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spans="1:26" ht="28" customHeight="1" x14ac:dyDescent="0.15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spans="1:26" ht="28" customHeight="1" x14ac:dyDescent="0.15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spans="1:26" ht="28" customHeight="1" x14ac:dyDescent="0.15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spans="1:26" ht="28" customHeight="1" x14ac:dyDescent="0.15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spans="1:26" ht="28" customHeight="1" x14ac:dyDescent="0.15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spans="1:26" ht="28" customHeight="1" x14ac:dyDescent="0.15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spans="1:26" ht="28" customHeight="1" x14ac:dyDescent="0.15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spans="1:26" ht="28" customHeight="1" x14ac:dyDescent="0.15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spans="1:26" ht="28" customHeight="1" x14ac:dyDescent="0.1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spans="1:26" ht="28" customHeight="1" x14ac:dyDescent="0.15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spans="1:26" ht="28" customHeight="1" x14ac:dyDescent="0.15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spans="1:26" ht="28" customHeight="1" x14ac:dyDescent="0.15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spans="1:26" ht="28" customHeight="1" x14ac:dyDescent="0.15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spans="1:26" ht="28" customHeight="1" x14ac:dyDescent="0.15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spans="1:26" ht="28" customHeight="1" x14ac:dyDescent="0.15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spans="1:26" ht="28" customHeight="1" x14ac:dyDescent="0.15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spans="1:26" ht="28" customHeight="1" x14ac:dyDescent="0.15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spans="1:26" ht="28" customHeight="1" x14ac:dyDescent="0.15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spans="1:26" ht="28" customHeight="1" x14ac:dyDescent="0.1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spans="1:26" ht="28" customHeight="1" x14ac:dyDescent="0.15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spans="1:26" ht="28" customHeight="1" x14ac:dyDescent="0.15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spans="1:26" ht="28" customHeight="1" x14ac:dyDescent="0.15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spans="1:26" ht="28" customHeight="1" x14ac:dyDescent="0.15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spans="1:26" ht="28" customHeight="1" x14ac:dyDescent="0.15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spans="1:26" ht="28" customHeight="1" x14ac:dyDescent="0.15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spans="1:26" ht="28" customHeight="1" x14ac:dyDescent="0.15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spans="1:26" ht="28" customHeight="1" x14ac:dyDescent="0.15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spans="1:26" ht="28" customHeight="1" x14ac:dyDescent="0.15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spans="1:26" ht="28" customHeight="1" x14ac:dyDescent="0.1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spans="1:26" ht="28" customHeight="1" x14ac:dyDescent="0.15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spans="1:26" ht="28" customHeight="1" x14ac:dyDescent="0.15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spans="1:26" ht="28" customHeight="1" x14ac:dyDescent="0.15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spans="1:26" ht="28" customHeight="1" x14ac:dyDescent="0.15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spans="1:26" ht="28" customHeight="1" x14ac:dyDescent="0.15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spans="1:26" ht="28" customHeight="1" x14ac:dyDescent="0.15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spans="1:26" ht="28" customHeight="1" x14ac:dyDescent="0.15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spans="1:26" ht="28" customHeight="1" x14ac:dyDescent="0.15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spans="1:26" ht="28" customHeight="1" x14ac:dyDescent="0.15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spans="1:26" ht="28" customHeight="1" x14ac:dyDescent="0.1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spans="1:26" ht="28" customHeight="1" x14ac:dyDescent="0.15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spans="1:26" ht="28" customHeight="1" x14ac:dyDescent="0.15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spans="1:26" ht="28" customHeight="1" x14ac:dyDescent="0.15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spans="1:26" ht="28" customHeight="1" x14ac:dyDescent="0.15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spans="1:26" ht="28" customHeight="1" x14ac:dyDescent="0.15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spans="1:26" ht="28" customHeight="1" x14ac:dyDescent="0.15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spans="1:26" ht="28" customHeight="1" x14ac:dyDescent="0.15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spans="1:26" ht="28" customHeight="1" x14ac:dyDescent="0.15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spans="1:26" ht="28" customHeight="1" x14ac:dyDescent="0.15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spans="1:26" ht="28" customHeight="1" x14ac:dyDescent="0.1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spans="1:26" ht="28" customHeight="1" x14ac:dyDescent="0.15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spans="1:26" ht="28" customHeight="1" x14ac:dyDescent="0.15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spans="1:26" ht="28" customHeight="1" x14ac:dyDescent="0.15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spans="1:26" ht="28" customHeight="1" x14ac:dyDescent="0.15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spans="1:26" ht="28" customHeight="1" x14ac:dyDescent="0.15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spans="1:26" ht="28" customHeight="1" x14ac:dyDescent="0.15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spans="1:26" ht="28" customHeight="1" x14ac:dyDescent="0.15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spans="1:26" ht="28" customHeight="1" x14ac:dyDescent="0.15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spans="1:26" ht="28" customHeight="1" x14ac:dyDescent="0.15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spans="1:26" ht="28" customHeight="1" x14ac:dyDescent="0.1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spans="1:26" ht="28" customHeight="1" x14ac:dyDescent="0.15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spans="1:26" ht="28" customHeight="1" x14ac:dyDescent="0.15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spans="1:26" ht="28" customHeight="1" x14ac:dyDescent="0.15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spans="1:26" ht="28" customHeight="1" x14ac:dyDescent="0.15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spans="1:26" ht="28" customHeight="1" x14ac:dyDescent="0.15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spans="1:26" ht="28" customHeight="1" x14ac:dyDescent="0.15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spans="1:26" ht="28" customHeight="1" x14ac:dyDescent="0.15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spans="1:26" ht="28" customHeight="1" x14ac:dyDescent="0.15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spans="1:26" ht="28" customHeight="1" x14ac:dyDescent="0.15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spans="1:26" ht="28" customHeight="1" x14ac:dyDescent="0.1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spans="1:26" ht="28" customHeight="1" x14ac:dyDescent="0.15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spans="1:26" ht="28" customHeight="1" x14ac:dyDescent="0.15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spans="1:26" ht="28" customHeight="1" x14ac:dyDescent="0.15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spans="1:26" ht="28" customHeight="1" x14ac:dyDescent="0.15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spans="1:26" ht="28" customHeight="1" x14ac:dyDescent="0.15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spans="1:26" ht="28" customHeight="1" x14ac:dyDescent="0.15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spans="1:26" ht="28" customHeight="1" x14ac:dyDescent="0.15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spans="1:26" ht="28" customHeight="1" x14ac:dyDescent="0.15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spans="1:26" ht="28" customHeight="1" x14ac:dyDescent="0.15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spans="1:26" ht="28" customHeight="1" x14ac:dyDescent="0.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spans="1:26" ht="28" customHeight="1" x14ac:dyDescent="0.15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spans="1:26" ht="28" customHeight="1" x14ac:dyDescent="0.15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spans="1:26" ht="28" customHeight="1" x14ac:dyDescent="0.15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spans="1:26" ht="28" customHeight="1" x14ac:dyDescent="0.15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spans="1:26" ht="28" customHeight="1" x14ac:dyDescent="0.15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spans="1:26" ht="28" customHeight="1" x14ac:dyDescent="0.15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spans="1:26" ht="28" customHeight="1" x14ac:dyDescent="0.15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spans="1:26" ht="28" customHeight="1" x14ac:dyDescent="0.15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spans="1:26" ht="28" customHeight="1" x14ac:dyDescent="0.15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spans="1:26" ht="28" customHeight="1" x14ac:dyDescent="0.1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spans="1:26" ht="28" customHeight="1" x14ac:dyDescent="0.15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spans="1:26" ht="28" customHeight="1" x14ac:dyDescent="0.15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spans="1:26" ht="28" customHeight="1" x14ac:dyDescent="0.15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spans="1:26" ht="28" customHeight="1" x14ac:dyDescent="0.15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spans="1:26" ht="28" customHeight="1" x14ac:dyDescent="0.15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spans="1:26" ht="28" customHeight="1" x14ac:dyDescent="0.15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spans="1:26" ht="28" customHeight="1" x14ac:dyDescent="0.15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spans="1:26" ht="28" customHeight="1" x14ac:dyDescent="0.15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spans="1:26" ht="28" customHeight="1" x14ac:dyDescent="0.15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spans="1:26" ht="28" customHeight="1" x14ac:dyDescent="0.1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spans="1:26" ht="28" customHeight="1" x14ac:dyDescent="0.15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spans="1:26" ht="28" customHeight="1" x14ac:dyDescent="0.15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spans="1:26" ht="28" customHeight="1" x14ac:dyDescent="0.15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spans="1:26" ht="28" customHeight="1" x14ac:dyDescent="0.15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spans="1:26" ht="28" customHeight="1" x14ac:dyDescent="0.15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spans="1:26" ht="28" customHeight="1" x14ac:dyDescent="0.15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spans="1:26" ht="28" customHeight="1" x14ac:dyDescent="0.15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spans="1:26" ht="28" customHeight="1" x14ac:dyDescent="0.15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spans="1:26" ht="28" customHeight="1" x14ac:dyDescent="0.15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spans="1:26" ht="28" customHeight="1" x14ac:dyDescent="0.1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spans="1:26" ht="28" customHeight="1" x14ac:dyDescent="0.15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spans="1:26" ht="28" customHeight="1" x14ac:dyDescent="0.15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spans="1:26" ht="28" customHeight="1" x14ac:dyDescent="0.15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spans="1:26" ht="28" customHeight="1" x14ac:dyDescent="0.15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spans="1:26" ht="28" customHeight="1" x14ac:dyDescent="0.15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spans="1:26" ht="28" customHeight="1" x14ac:dyDescent="0.15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spans="1:26" ht="28" customHeight="1" x14ac:dyDescent="0.15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spans="1:26" ht="28" customHeight="1" x14ac:dyDescent="0.15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spans="1:26" ht="28" customHeight="1" x14ac:dyDescent="0.15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spans="1:26" ht="28" customHeight="1" x14ac:dyDescent="0.1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spans="1:26" ht="28" customHeight="1" x14ac:dyDescent="0.15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spans="1:26" ht="28" customHeight="1" x14ac:dyDescent="0.15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spans="1:26" ht="28" customHeight="1" x14ac:dyDescent="0.15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spans="1:26" ht="28" customHeight="1" x14ac:dyDescent="0.15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spans="1:26" ht="28" customHeight="1" x14ac:dyDescent="0.15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spans="1:26" ht="28" customHeight="1" x14ac:dyDescent="0.15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spans="1:26" ht="28" customHeight="1" x14ac:dyDescent="0.15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spans="1:26" ht="28" customHeight="1" x14ac:dyDescent="0.15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spans="1:26" ht="28" customHeight="1" x14ac:dyDescent="0.15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spans="1:26" ht="28" customHeight="1" x14ac:dyDescent="0.1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spans="1:26" ht="28" customHeight="1" x14ac:dyDescent="0.15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spans="1:26" ht="28" customHeight="1" x14ac:dyDescent="0.15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spans="1:26" ht="28" customHeight="1" x14ac:dyDescent="0.15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spans="1:26" ht="28" customHeight="1" x14ac:dyDescent="0.15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spans="1:26" ht="28" customHeight="1" x14ac:dyDescent="0.15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spans="1:26" ht="28" customHeight="1" x14ac:dyDescent="0.15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spans="1:26" ht="28" customHeight="1" x14ac:dyDescent="0.15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spans="1:26" ht="28" customHeight="1" x14ac:dyDescent="0.15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spans="1:26" ht="28" customHeight="1" x14ac:dyDescent="0.15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spans="1:26" ht="28" customHeight="1" x14ac:dyDescent="0.1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spans="1:26" ht="28" customHeight="1" x14ac:dyDescent="0.15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spans="1:26" ht="28" customHeight="1" x14ac:dyDescent="0.15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spans="1:26" ht="28" customHeight="1" x14ac:dyDescent="0.15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spans="1:26" ht="28" customHeight="1" x14ac:dyDescent="0.15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spans="1:26" ht="28" customHeight="1" x14ac:dyDescent="0.15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spans="1:26" ht="28" customHeight="1" x14ac:dyDescent="0.15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spans="1:26" ht="28" customHeight="1" x14ac:dyDescent="0.15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spans="1:26" ht="28" customHeight="1" x14ac:dyDescent="0.15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spans="1:26" ht="28" customHeight="1" x14ac:dyDescent="0.15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spans="1:26" ht="28" customHeight="1" x14ac:dyDescent="0.1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spans="1:26" ht="28" customHeight="1" x14ac:dyDescent="0.15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spans="1:26" ht="28" customHeight="1" x14ac:dyDescent="0.15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spans="1:26" ht="28" customHeight="1" x14ac:dyDescent="0.15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spans="1:26" ht="28" customHeight="1" x14ac:dyDescent="0.15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spans="1:26" ht="28" customHeight="1" x14ac:dyDescent="0.15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spans="1:26" ht="28" customHeight="1" x14ac:dyDescent="0.15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spans="1:26" ht="28" customHeight="1" x14ac:dyDescent="0.15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spans="1:26" ht="28" customHeight="1" x14ac:dyDescent="0.15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spans="1:26" ht="28" customHeight="1" x14ac:dyDescent="0.15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spans="1:26" ht="28" customHeight="1" x14ac:dyDescent="0.1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spans="1:26" ht="28" customHeight="1" x14ac:dyDescent="0.15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spans="1:26" ht="28" customHeight="1" x14ac:dyDescent="0.15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spans="1:26" ht="28" customHeight="1" x14ac:dyDescent="0.15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spans="1:26" ht="28" customHeight="1" x14ac:dyDescent="0.15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spans="1:26" ht="28" customHeight="1" x14ac:dyDescent="0.15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spans="1:26" ht="28" customHeight="1" x14ac:dyDescent="0.15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spans="1:26" ht="28" customHeight="1" x14ac:dyDescent="0.15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spans="1:26" ht="28" customHeight="1" x14ac:dyDescent="0.15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spans="1:26" ht="28" customHeight="1" x14ac:dyDescent="0.15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spans="1:26" ht="28" customHeight="1" x14ac:dyDescent="0.1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spans="1:26" ht="28" customHeight="1" x14ac:dyDescent="0.15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spans="1:26" ht="28" customHeight="1" x14ac:dyDescent="0.15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spans="1:26" ht="28" customHeight="1" x14ac:dyDescent="0.15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spans="1:26" ht="28" customHeight="1" x14ac:dyDescent="0.15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spans="1:26" ht="28" customHeight="1" x14ac:dyDescent="0.15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spans="1:26" ht="28" customHeight="1" x14ac:dyDescent="0.15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spans="1:26" ht="28" customHeight="1" x14ac:dyDescent="0.15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spans="1:26" ht="28" customHeight="1" x14ac:dyDescent="0.15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spans="1:26" ht="28" customHeight="1" x14ac:dyDescent="0.15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spans="1:26" ht="28" customHeight="1" x14ac:dyDescent="0.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spans="1:26" ht="28" customHeight="1" x14ac:dyDescent="0.15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spans="1:26" ht="28" customHeight="1" x14ac:dyDescent="0.15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spans="1:26" ht="28" customHeight="1" x14ac:dyDescent="0.15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spans="1:26" ht="28" customHeight="1" x14ac:dyDescent="0.15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spans="1:26" ht="28" customHeight="1" x14ac:dyDescent="0.15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spans="1:26" ht="28" customHeight="1" x14ac:dyDescent="0.15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spans="1:26" ht="28" customHeight="1" x14ac:dyDescent="0.15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spans="1:26" ht="28" customHeight="1" x14ac:dyDescent="0.15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spans="1:26" ht="28" customHeight="1" x14ac:dyDescent="0.15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spans="1:26" ht="28" customHeight="1" x14ac:dyDescent="0.1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spans="1:26" ht="28" customHeight="1" x14ac:dyDescent="0.15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spans="1:26" ht="28" customHeight="1" x14ac:dyDescent="0.15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spans="1:26" ht="28" customHeight="1" x14ac:dyDescent="0.15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spans="1:26" ht="28" customHeight="1" x14ac:dyDescent="0.15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spans="1:26" ht="28" customHeight="1" x14ac:dyDescent="0.15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spans="1:26" ht="28" customHeight="1" x14ac:dyDescent="0.15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spans="1:26" ht="28" customHeight="1" x14ac:dyDescent="0.15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spans="1:26" ht="28" customHeight="1" x14ac:dyDescent="0.15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spans="1:26" ht="28" customHeight="1" x14ac:dyDescent="0.15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spans="1:26" ht="28" customHeight="1" x14ac:dyDescent="0.1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spans="1:26" ht="28" customHeight="1" x14ac:dyDescent="0.15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spans="1:26" ht="28" customHeight="1" x14ac:dyDescent="0.15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spans="1:26" ht="28" customHeight="1" x14ac:dyDescent="0.15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spans="1:26" ht="28" customHeight="1" x14ac:dyDescent="0.15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spans="1:26" ht="28" customHeight="1" x14ac:dyDescent="0.15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spans="1:26" ht="28" customHeight="1" x14ac:dyDescent="0.15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spans="1:26" ht="28" customHeight="1" x14ac:dyDescent="0.15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spans="1:26" ht="28" customHeight="1" x14ac:dyDescent="0.15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spans="1:26" ht="28" customHeight="1" x14ac:dyDescent="0.15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spans="1:26" ht="28" customHeight="1" x14ac:dyDescent="0.1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spans="1:26" ht="28" customHeight="1" x14ac:dyDescent="0.15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spans="1:26" ht="28" customHeight="1" x14ac:dyDescent="0.15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spans="1:26" ht="28" customHeight="1" x14ac:dyDescent="0.15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spans="1:26" ht="28" customHeight="1" x14ac:dyDescent="0.15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spans="1:26" ht="28" customHeight="1" x14ac:dyDescent="0.15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spans="1:26" ht="28" customHeight="1" x14ac:dyDescent="0.15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spans="1:26" ht="28" customHeight="1" x14ac:dyDescent="0.15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spans="1:26" ht="28" customHeight="1" x14ac:dyDescent="0.15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spans="1:26" ht="28" customHeight="1" x14ac:dyDescent="0.15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spans="1:26" ht="28" customHeight="1" x14ac:dyDescent="0.1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spans="1:26" ht="28" customHeight="1" x14ac:dyDescent="0.15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spans="1:26" ht="28" customHeight="1" x14ac:dyDescent="0.15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spans="1:26" ht="28" customHeight="1" x14ac:dyDescent="0.15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spans="1:26" ht="28" customHeight="1" x14ac:dyDescent="0.15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spans="1:26" ht="28" customHeight="1" x14ac:dyDescent="0.15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spans="1:26" ht="28" customHeight="1" x14ac:dyDescent="0.15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spans="1:26" ht="28" customHeight="1" x14ac:dyDescent="0.15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spans="1:26" ht="28" customHeight="1" x14ac:dyDescent="0.15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spans="1:26" ht="28" customHeight="1" x14ac:dyDescent="0.15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spans="1:26" ht="28" customHeight="1" x14ac:dyDescent="0.1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spans="1:26" ht="28" customHeight="1" x14ac:dyDescent="0.15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spans="1:26" ht="28" customHeight="1" x14ac:dyDescent="0.15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spans="1:26" ht="28" customHeight="1" x14ac:dyDescent="0.15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spans="1:26" ht="28" customHeight="1" x14ac:dyDescent="0.15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spans="1:26" ht="28" customHeight="1" x14ac:dyDescent="0.15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spans="1:26" ht="28" customHeight="1" x14ac:dyDescent="0.15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spans="1:26" ht="28" customHeight="1" x14ac:dyDescent="0.15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spans="1:26" ht="28" customHeight="1" x14ac:dyDescent="0.15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spans="1:26" ht="28" customHeight="1" x14ac:dyDescent="0.15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spans="1:26" ht="28" customHeight="1" x14ac:dyDescent="0.1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spans="1:26" ht="28" customHeight="1" x14ac:dyDescent="0.15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spans="1:26" ht="28" customHeight="1" x14ac:dyDescent="0.15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spans="1:26" ht="28" customHeight="1" x14ac:dyDescent="0.15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spans="1:26" ht="28" customHeight="1" x14ac:dyDescent="0.15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spans="1:26" ht="28" customHeight="1" x14ac:dyDescent="0.15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spans="1:26" ht="28" customHeight="1" x14ac:dyDescent="0.15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spans="1:26" ht="28" customHeight="1" x14ac:dyDescent="0.15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spans="1:26" ht="28" customHeight="1" x14ac:dyDescent="0.15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spans="1:26" ht="28" customHeight="1" x14ac:dyDescent="0.15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spans="1:26" ht="28" customHeight="1" x14ac:dyDescent="0.1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spans="1:26" ht="28" customHeight="1" x14ac:dyDescent="0.15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spans="1:26" ht="28" customHeight="1" x14ac:dyDescent="0.15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spans="1:26" ht="28" customHeight="1" x14ac:dyDescent="0.15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spans="1:26" ht="28" customHeight="1" x14ac:dyDescent="0.15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spans="1:26" ht="28" customHeight="1" x14ac:dyDescent="0.15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spans="1:26" ht="28" customHeight="1" x14ac:dyDescent="0.15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spans="1:26" ht="28" customHeight="1" x14ac:dyDescent="0.15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spans="1:26" ht="28" customHeight="1" x14ac:dyDescent="0.15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spans="1:26" ht="28" customHeight="1" x14ac:dyDescent="0.15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spans="1:26" ht="28" customHeight="1" x14ac:dyDescent="0.1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spans="1:26" ht="28" customHeight="1" x14ac:dyDescent="0.15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spans="1:26" ht="28" customHeight="1" x14ac:dyDescent="0.15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spans="1:26" ht="28" customHeight="1" x14ac:dyDescent="0.15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spans="1:26" ht="28" customHeight="1" x14ac:dyDescent="0.15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spans="1:26" ht="28" customHeight="1" x14ac:dyDescent="0.15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spans="1:26" ht="28" customHeight="1" x14ac:dyDescent="0.15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spans="1:26" ht="28" customHeight="1" x14ac:dyDescent="0.15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spans="1:26" ht="28" customHeight="1" x14ac:dyDescent="0.15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spans="1:26" ht="28" customHeight="1" x14ac:dyDescent="0.15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spans="1:26" ht="28" customHeight="1" x14ac:dyDescent="0.1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spans="1:26" ht="28" customHeight="1" x14ac:dyDescent="0.15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spans="1:26" ht="28" customHeight="1" x14ac:dyDescent="0.15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spans="1:26" ht="28" customHeight="1" x14ac:dyDescent="0.15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spans="1:26" ht="28" customHeight="1" x14ac:dyDescent="0.15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spans="1:26" ht="28" customHeight="1" x14ac:dyDescent="0.15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spans="1:26" ht="28" customHeight="1" x14ac:dyDescent="0.15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spans="1:26" ht="28" customHeight="1" x14ac:dyDescent="0.15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spans="1:26" ht="28" customHeight="1" x14ac:dyDescent="0.15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spans="1:26" ht="28" customHeight="1" x14ac:dyDescent="0.15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spans="1:26" ht="28" customHeight="1" x14ac:dyDescent="0.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spans="1:26" ht="28" customHeight="1" x14ac:dyDescent="0.15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spans="1:26" ht="28" customHeight="1" x14ac:dyDescent="0.15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spans="1:26" ht="28" customHeight="1" x14ac:dyDescent="0.15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spans="1:26" ht="28" customHeight="1" x14ac:dyDescent="0.15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spans="1:26" ht="28" customHeight="1" x14ac:dyDescent="0.15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spans="1:26" ht="28" customHeight="1" x14ac:dyDescent="0.15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spans="1:26" ht="28" customHeight="1" x14ac:dyDescent="0.15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spans="1:26" ht="28" customHeight="1" x14ac:dyDescent="0.15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spans="1:26" ht="28" customHeight="1" x14ac:dyDescent="0.15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spans="1:26" ht="28" customHeight="1" x14ac:dyDescent="0.1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spans="1:26" ht="28" customHeight="1" x14ac:dyDescent="0.15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spans="1:26" ht="28" customHeight="1" x14ac:dyDescent="0.15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spans="1:26" ht="28" customHeight="1" x14ac:dyDescent="0.15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spans="1:26" ht="28" customHeight="1" x14ac:dyDescent="0.15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spans="1:26" ht="28" customHeight="1" x14ac:dyDescent="0.15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spans="1:26" ht="28" customHeight="1" x14ac:dyDescent="0.15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spans="1:26" ht="28" customHeight="1" x14ac:dyDescent="0.15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spans="1:26" ht="28" customHeight="1" x14ac:dyDescent="0.15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spans="1:26" ht="28" customHeight="1" x14ac:dyDescent="0.15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spans="1:26" ht="28" customHeight="1" x14ac:dyDescent="0.1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spans="1:26" ht="28" customHeight="1" x14ac:dyDescent="0.15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spans="1:26" ht="28" customHeight="1" x14ac:dyDescent="0.15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spans="1:26" ht="28" customHeight="1" x14ac:dyDescent="0.15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spans="1:26" ht="28" customHeight="1" x14ac:dyDescent="0.15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spans="1:26" ht="28" customHeight="1" x14ac:dyDescent="0.15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spans="1:26" ht="28" customHeight="1" x14ac:dyDescent="0.15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spans="1:26" ht="28" customHeight="1" x14ac:dyDescent="0.15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spans="1:26" ht="28" customHeight="1" x14ac:dyDescent="0.15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spans="1:26" ht="28" customHeight="1" x14ac:dyDescent="0.15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spans="1:26" ht="28" customHeight="1" x14ac:dyDescent="0.1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spans="1:26" ht="28" customHeight="1" x14ac:dyDescent="0.15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spans="1:26" ht="28" customHeight="1" x14ac:dyDescent="0.15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spans="1:26" ht="28" customHeight="1" x14ac:dyDescent="0.15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spans="1:26" ht="28" customHeight="1" x14ac:dyDescent="0.15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spans="1:26" ht="28" customHeight="1" x14ac:dyDescent="0.15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spans="1:26" ht="28" customHeight="1" x14ac:dyDescent="0.15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spans="1:26" ht="28" customHeight="1" x14ac:dyDescent="0.15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spans="1:26" ht="28" customHeight="1" x14ac:dyDescent="0.15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spans="1:26" ht="28" customHeight="1" x14ac:dyDescent="0.15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spans="1:26" ht="28" customHeight="1" x14ac:dyDescent="0.1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spans="1:26" ht="28" customHeight="1" x14ac:dyDescent="0.15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spans="1:26" ht="28" customHeight="1" x14ac:dyDescent="0.15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spans="1:26" ht="28" customHeight="1" x14ac:dyDescent="0.15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spans="1:26" ht="28" customHeight="1" x14ac:dyDescent="0.15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spans="1:26" ht="28" customHeight="1" x14ac:dyDescent="0.15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spans="1:26" ht="28" customHeight="1" x14ac:dyDescent="0.15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spans="1:26" ht="28" customHeight="1" x14ac:dyDescent="0.15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spans="1:26" ht="28" customHeight="1" x14ac:dyDescent="0.15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spans="1:26" ht="28" customHeight="1" x14ac:dyDescent="0.15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spans="1:26" ht="28" customHeight="1" x14ac:dyDescent="0.1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spans="1:26" ht="28" customHeight="1" x14ac:dyDescent="0.15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spans="1:26" ht="28" customHeight="1" x14ac:dyDescent="0.15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spans="1:26" ht="28" customHeight="1" x14ac:dyDescent="0.15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spans="1:26" ht="28" customHeight="1" x14ac:dyDescent="0.15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spans="1:26" ht="28" customHeight="1" x14ac:dyDescent="0.15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spans="1:26" ht="28" customHeight="1" x14ac:dyDescent="0.15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spans="1:26" ht="28" customHeight="1" x14ac:dyDescent="0.15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spans="1:26" ht="28" customHeight="1" x14ac:dyDescent="0.15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spans="1:26" ht="28" customHeight="1" x14ac:dyDescent="0.15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spans="1:26" ht="28" customHeight="1" x14ac:dyDescent="0.1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spans="1:26" ht="28" customHeight="1" x14ac:dyDescent="0.15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spans="1:26" ht="28" customHeight="1" x14ac:dyDescent="0.15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spans="1:26" ht="28" customHeight="1" x14ac:dyDescent="0.15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spans="1:26" ht="28" customHeight="1" x14ac:dyDescent="0.15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spans="1:26" ht="28" customHeight="1" x14ac:dyDescent="0.15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spans="1:26" ht="28" customHeight="1" x14ac:dyDescent="0.15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spans="1:26" ht="28" customHeight="1" x14ac:dyDescent="0.15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spans="1:26" ht="28" customHeight="1" x14ac:dyDescent="0.15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spans="1:26" ht="28" customHeight="1" x14ac:dyDescent="0.15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spans="1:26" ht="28" customHeight="1" x14ac:dyDescent="0.1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spans="1:26" ht="28" customHeight="1" x14ac:dyDescent="0.15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spans="1:26" ht="28" customHeight="1" x14ac:dyDescent="0.15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spans="1:26" ht="28" customHeight="1" x14ac:dyDescent="0.15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spans="1:26" ht="28" customHeight="1" x14ac:dyDescent="0.15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spans="1:26" ht="28" customHeight="1" x14ac:dyDescent="0.15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spans="1:26" ht="28" customHeight="1" x14ac:dyDescent="0.15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spans="1:26" ht="28" customHeight="1" x14ac:dyDescent="0.15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spans="1:26" ht="28" customHeight="1" x14ac:dyDescent="0.15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spans="1:26" ht="28" customHeight="1" x14ac:dyDescent="0.15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spans="1:26" ht="28" customHeight="1" x14ac:dyDescent="0.1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spans="1:26" ht="28" customHeight="1" x14ac:dyDescent="0.15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spans="1:26" ht="28" customHeight="1" x14ac:dyDescent="0.15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spans="1:26" ht="28" customHeight="1" x14ac:dyDescent="0.15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spans="1:26" ht="28" customHeight="1" x14ac:dyDescent="0.15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spans="1:26" ht="28" customHeight="1" x14ac:dyDescent="0.15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spans="1:26" ht="28" customHeight="1" x14ac:dyDescent="0.15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spans="1:26" ht="28" customHeight="1" x14ac:dyDescent="0.15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spans="1:26" ht="28" customHeight="1" x14ac:dyDescent="0.15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spans="1:26" ht="28" customHeight="1" x14ac:dyDescent="0.15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spans="1:26" ht="28" customHeight="1" x14ac:dyDescent="0.1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spans="1:26" ht="28" customHeight="1" x14ac:dyDescent="0.15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spans="1:26" ht="28" customHeight="1" x14ac:dyDescent="0.15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spans="1:26" ht="28" customHeight="1" x14ac:dyDescent="0.15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spans="1:26" ht="28" customHeight="1" x14ac:dyDescent="0.15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spans="1:26" ht="28" customHeight="1" x14ac:dyDescent="0.15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spans="1:26" ht="28" customHeight="1" x14ac:dyDescent="0.15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spans="1:26" ht="28" customHeight="1" x14ac:dyDescent="0.15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spans="1:26" ht="28" customHeight="1" x14ac:dyDescent="0.15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spans="1:26" ht="28" customHeight="1" x14ac:dyDescent="0.15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spans="1:26" ht="28" customHeight="1" x14ac:dyDescent="0.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spans="1:26" ht="28" customHeight="1" x14ac:dyDescent="0.15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spans="1:26" ht="28" customHeight="1" x14ac:dyDescent="0.15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spans="1:26" ht="28" customHeight="1" x14ac:dyDescent="0.15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spans="1:26" ht="28" customHeight="1" x14ac:dyDescent="0.15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spans="1:26" ht="28" customHeight="1" x14ac:dyDescent="0.15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spans="1:26" ht="28" customHeight="1" x14ac:dyDescent="0.15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spans="1:26" ht="28" customHeight="1" x14ac:dyDescent="0.15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spans="1:26" ht="28" customHeight="1" x14ac:dyDescent="0.15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spans="1:26" ht="28" customHeight="1" x14ac:dyDescent="0.15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spans="1:26" ht="28" customHeight="1" x14ac:dyDescent="0.1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spans="1:26" ht="28" customHeight="1" x14ac:dyDescent="0.15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spans="1:26" ht="28" customHeight="1" x14ac:dyDescent="0.15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spans="1:26" ht="28" customHeight="1" x14ac:dyDescent="0.15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spans="1:26" ht="28" customHeight="1" x14ac:dyDescent="0.15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spans="1:26" ht="28" customHeight="1" x14ac:dyDescent="0.15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spans="1:26" ht="28" customHeight="1" x14ac:dyDescent="0.15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spans="1:26" ht="28" customHeight="1" x14ac:dyDescent="0.15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spans="1:26" ht="28" customHeight="1" x14ac:dyDescent="0.15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spans="1:26" ht="28" customHeight="1" x14ac:dyDescent="0.15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spans="1:26" ht="28" customHeight="1" x14ac:dyDescent="0.1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spans="1:26" ht="28" customHeight="1" x14ac:dyDescent="0.15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spans="1:26" ht="28" customHeight="1" x14ac:dyDescent="0.15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spans="1:26" ht="28" customHeight="1" x14ac:dyDescent="0.15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spans="1:26" ht="28" customHeight="1" x14ac:dyDescent="0.15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spans="1:26" ht="28" customHeight="1" x14ac:dyDescent="0.15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spans="1:26" ht="28" customHeight="1" x14ac:dyDescent="0.15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spans="1:26" ht="28" customHeight="1" x14ac:dyDescent="0.15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spans="1:26" ht="28" customHeight="1" x14ac:dyDescent="0.15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spans="1:26" ht="28" customHeight="1" x14ac:dyDescent="0.15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spans="1:26" ht="28" customHeight="1" x14ac:dyDescent="0.1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spans="1:26" ht="28" customHeight="1" x14ac:dyDescent="0.15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spans="1:26" ht="28" customHeight="1" x14ac:dyDescent="0.15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spans="1:26" ht="28" customHeight="1" x14ac:dyDescent="0.15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spans="1:26" ht="28" customHeight="1" x14ac:dyDescent="0.15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spans="1:26" ht="28" customHeight="1" x14ac:dyDescent="0.15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spans="1:26" ht="28" customHeight="1" x14ac:dyDescent="0.15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spans="1:26" ht="28" customHeight="1" x14ac:dyDescent="0.15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spans="1:26" ht="28" customHeight="1" x14ac:dyDescent="0.15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spans="1:26" ht="28" customHeight="1" x14ac:dyDescent="0.15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spans="1:26" ht="28" customHeight="1" x14ac:dyDescent="0.1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spans="1:26" ht="28" customHeight="1" x14ac:dyDescent="0.15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spans="1:26" ht="28" customHeight="1" x14ac:dyDescent="0.15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spans="1:26" ht="28" customHeight="1" x14ac:dyDescent="0.15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spans="1:26" ht="28" customHeight="1" x14ac:dyDescent="0.15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spans="1:26" ht="28" customHeight="1" x14ac:dyDescent="0.15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spans="1:26" ht="28" customHeight="1" x14ac:dyDescent="0.15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spans="1:26" ht="28" customHeight="1" x14ac:dyDescent="0.15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spans="1:26" ht="28" customHeight="1" x14ac:dyDescent="0.15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spans="1:26" ht="28" customHeight="1" x14ac:dyDescent="0.15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spans="1:26" ht="28" customHeight="1" x14ac:dyDescent="0.1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spans="1:26" ht="28" customHeight="1" x14ac:dyDescent="0.15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spans="1:26" ht="28" customHeight="1" x14ac:dyDescent="0.15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spans="1:26" ht="28" customHeight="1" x14ac:dyDescent="0.15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spans="1:26" ht="28" customHeight="1" x14ac:dyDescent="0.15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spans="1:26" ht="28" customHeight="1" x14ac:dyDescent="0.15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spans="1:26" ht="28" customHeight="1" x14ac:dyDescent="0.15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spans="1:26" ht="28" customHeight="1" x14ac:dyDescent="0.15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spans="1:26" ht="28" customHeight="1" x14ac:dyDescent="0.15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spans="1:26" ht="28" customHeight="1" x14ac:dyDescent="0.15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spans="1:26" ht="28" customHeight="1" x14ac:dyDescent="0.1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spans="1:26" ht="28" customHeight="1" x14ac:dyDescent="0.15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spans="1:26" ht="28" customHeight="1" x14ac:dyDescent="0.15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spans="1:26" ht="28" customHeight="1" x14ac:dyDescent="0.15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spans="1:26" ht="28" customHeight="1" x14ac:dyDescent="0.15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spans="1:26" ht="28" customHeight="1" x14ac:dyDescent="0.15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spans="1:26" ht="28" customHeight="1" x14ac:dyDescent="0.15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spans="1:26" ht="28" customHeight="1" x14ac:dyDescent="0.15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spans="1:26" ht="28" customHeight="1" x14ac:dyDescent="0.15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spans="1:26" ht="28" customHeight="1" x14ac:dyDescent="0.15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spans="1:26" ht="28" customHeight="1" x14ac:dyDescent="0.1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spans="1:26" ht="28" customHeight="1" x14ac:dyDescent="0.15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spans="1:26" ht="28" customHeight="1" x14ac:dyDescent="0.15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spans="1:26" ht="28" customHeight="1" x14ac:dyDescent="0.15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spans="1:26" ht="28" customHeight="1" x14ac:dyDescent="0.15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spans="1:26" ht="28" customHeight="1" x14ac:dyDescent="0.15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spans="1:26" ht="28" customHeight="1" x14ac:dyDescent="0.15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spans="1:26" ht="28" customHeight="1" x14ac:dyDescent="0.15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spans="1:26" ht="28" customHeight="1" x14ac:dyDescent="0.15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spans="1:26" ht="28" customHeight="1" x14ac:dyDescent="0.15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spans="1:26" ht="28" customHeight="1" x14ac:dyDescent="0.1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spans="1:26" ht="28" customHeight="1" x14ac:dyDescent="0.15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spans="1:26" ht="28" customHeight="1" x14ac:dyDescent="0.15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spans="1:26" ht="28" customHeight="1" x14ac:dyDescent="0.15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  <row r="999" spans="1:26" ht="28" customHeight="1" x14ac:dyDescent="0.15">
      <c r="A999" s="70"/>
      <c r="B999" s="70"/>
      <c r="C999" s="70"/>
      <c r="D999" s="70"/>
      <c r="E999" s="70"/>
      <c r="F999" s="70"/>
      <c r="G999" s="70"/>
      <c r="H999" s="70"/>
      <c r="I999" s="70"/>
      <c r="J999" s="70"/>
      <c r="K999" s="70"/>
      <c r="L999" s="70"/>
      <c r="M999" s="70"/>
      <c r="N999" s="70"/>
      <c r="O999" s="70"/>
      <c r="P999" s="70"/>
      <c r="Q999" s="70"/>
      <c r="R999" s="70"/>
      <c r="S999" s="70"/>
      <c r="T999" s="70"/>
      <c r="U999" s="70"/>
      <c r="V999" s="70"/>
      <c r="W999" s="70"/>
      <c r="X999" s="70"/>
      <c r="Y999" s="70"/>
      <c r="Z999" s="70"/>
    </row>
    <row r="1000" spans="1:26" ht="28" customHeight="1" x14ac:dyDescent="0.15">
      <c r="A1000" s="70"/>
      <c r="B1000" s="70"/>
      <c r="C1000" s="70"/>
      <c r="D1000" s="70"/>
      <c r="E1000" s="70"/>
      <c r="F1000" s="70"/>
      <c r="G1000" s="70"/>
      <c r="H1000" s="70"/>
      <c r="I1000" s="70"/>
      <c r="J1000" s="70"/>
      <c r="K1000" s="70"/>
      <c r="L1000" s="70"/>
      <c r="M1000" s="70"/>
      <c r="N1000" s="70"/>
      <c r="O1000" s="70"/>
      <c r="P1000" s="70"/>
      <c r="Q1000" s="70"/>
      <c r="R1000" s="70"/>
      <c r="S1000" s="70"/>
      <c r="T1000" s="70"/>
      <c r="U1000" s="70"/>
      <c r="V1000" s="70"/>
      <c r="W1000" s="70"/>
      <c r="X1000" s="70"/>
      <c r="Y1000" s="70"/>
      <c r="Z1000" s="70"/>
    </row>
    <row r="1001" spans="1:26" ht="28" customHeight="1" x14ac:dyDescent="0.15">
      <c r="A1001" s="70"/>
      <c r="B1001" s="70"/>
      <c r="C1001" s="70"/>
      <c r="D1001" s="70"/>
      <c r="E1001" s="70"/>
      <c r="F1001" s="70"/>
      <c r="G1001" s="70"/>
      <c r="H1001" s="70"/>
      <c r="I1001" s="70"/>
      <c r="J1001" s="70"/>
      <c r="K1001" s="70"/>
      <c r="L1001" s="70"/>
      <c r="M1001" s="70"/>
      <c r="N1001" s="70"/>
      <c r="O1001" s="70"/>
      <c r="P1001" s="70"/>
      <c r="Q1001" s="70"/>
      <c r="R1001" s="70"/>
      <c r="S1001" s="70"/>
      <c r="T1001" s="70"/>
      <c r="U1001" s="70"/>
      <c r="V1001" s="70"/>
      <c r="W1001" s="70"/>
      <c r="X1001" s="70"/>
      <c r="Y1001" s="70"/>
      <c r="Z1001" s="70"/>
    </row>
    <row r="1002" spans="1:26" ht="28" customHeight="1" x14ac:dyDescent="0.15">
      <c r="A1002" s="70"/>
      <c r="B1002" s="70"/>
      <c r="C1002" s="70"/>
      <c r="D1002" s="70"/>
      <c r="E1002" s="70"/>
      <c r="F1002" s="70"/>
      <c r="G1002" s="70"/>
      <c r="H1002" s="70"/>
      <c r="I1002" s="70"/>
      <c r="J1002" s="70"/>
      <c r="K1002" s="70"/>
      <c r="L1002" s="70"/>
      <c r="M1002" s="70"/>
      <c r="N1002" s="70"/>
      <c r="O1002" s="70"/>
      <c r="P1002" s="70"/>
      <c r="Q1002" s="70"/>
      <c r="R1002" s="70"/>
      <c r="S1002" s="70"/>
      <c r="T1002" s="70"/>
      <c r="U1002" s="70"/>
      <c r="V1002" s="70"/>
      <c r="W1002" s="70"/>
      <c r="X1002" s="70"/>
      <c r="Y1002" s="70"/>
      <c r="Z1002" s="70"/>
    </row>
    <row r="1003" spans="1:26" ht="28" customHeight="1" x14ac:dyDescent="0.15">
      <c r="A1003" s="70"/>
      <c r="B1003" s="70"/>
      <c r="C1003" s="70"/>
      <c r="D1003" s="70"/>
      <c r="E1003" s="70"/>
      <c r="F1003" s="70"/>
      <c r="G1003" s="70"/>
      <c r="H1003" s="70"/>
      <c r="I1003" s="70"/>
      <c r="J1003" s="70"/>
      <c r="K1003" s="70"/>
      <c r="L1003" s="70"/>
      <c r="M1003" s="70"/>
      <c r="N1003" s="70"/>
      <c r="O1003" s="70"/>
      <c r="P1003" s="70"/>
      <c r="Q1003" s="70"/>
      <c r="R1003" s="70"/>
      <c r="S1003" s="70"/>
      <c r="T1003" s="70"/>
      <c r="U1003" s="70"/>
      <c r="V1003" s="70"/>
      <c r="W1003" s="70"/>
      <c r="X1003" s="70"/>
      <c r="Y1003" s="70"/>
      <c r="Z1003" s="70"/>
    </row>
    <row r="1004" spans="1:26" ht="28" customHeight="1" x14ac:dyDescent="0.15">
      <c r="A1004" s="70"/>
      <c r="B1004" s="70"/>
      <c r="C1004" s="70"/>
      <c r="D1004" s="70"/>
      <c r="E1004" s="70"/>
      <c r="F1004" s="70"/>
      <c r="G1004" s="70"/>
      <c r="H1004" s="70"/>
      <c r="I1004" s="70"/>
      <c r="J1004" s="70"/>
      <c r="K1004" s="70"/>
      <c r="L1004" s="70"/>
      <c r="M1004" s="70"/>
      <c r="N1004" s="70"/>
      <c r="O1004" s="70"/>
      <c r="P1004" s="70"/>
      <c r="Q1004" s="70"/>
      <c r="R1004" s="70"/>
      <c r="S1004" s="70"/>
      <c r="T1004" s="70"/>
      <c r="U1004" s="70"/>
      <c r="V1004" s="70"/>
      <c r="W1004" s="70"/>
      <c r="X1004" s="70"/>
      <c r="Y1004" s="70"/>
      <c r="Z1004" s="70"/>
    </row>
    <row r="1005" spans="1:26" ht="28" customHeight="1" x14ac:dyDescent="0.15">
      <c r="A1005" s="70"/>
      <c r="B1005" s="70"/>
      <c r="C1005" s="70"/>
      <c r="D1005" s="70"/>
      <c r="E1005" s="70"/>
      <c r="F1005" s="70"/>
      <c r="G1005" s="70"/>
      <c r="H1005" s="70"/>
      <c r="I1005" s="70"/>
      <c r="J1005" s="70"/>
      <c r="K1005" s="70"/>
      <c r="L1005" s="70"/>
      <c r="M1005" s="70"/>
      <c r="N1005" s="70"/>
      <c r="O1005" s="70"/>
      <c r="P1005" s="70"/>
      <c r="Q1005" s="70"/>
      <c r="R1005" s="70"/>
      <c r="S1005" s="70"/>
      <c r="T1005" s="70"/>
      <c r="U1005" s="70"/>
      <c r="V1005" s="70"/>
      <c r="W1005" s="70"/>
      <c r="X1005" s="70"/>
      <c r="Y1005" s="70"/>
      <c r="Z1005" s="70"/>
    </row>
    <row r="1006" spans="1:26" ht="28" customHeight="1" x14ac:dyDescent="0.15">
      <c r="A1006" s="70"/>
      <c r="B1006" s="70"/>
      <c r="C1006" s="70"/>
      <c r="D1006" s="70"/>
      <c r="E1006" s="70"/>
      <c r="F1006" s="70"/>
      <c r="G1006" s="70"/>
      <c r="H1006" s="70"/>
      <c r="I1006" s="70"/>
      <c r="J1006" s="70"/>
      <c r="K1006" s="70"/>
      <c r="L1006" s="70"/>
      <c r="M1006" s="70"/>
      <c r="N1006" s="70"/>
      <c r="O1006" s="70"/>
      <c r="P1006" s="70"/>
      <c r="Q1006" s="70"/>
      <c r="R1006" s="70"/>
      <c r="S1006" s="70"/>
      <c r="T1006" s="70"/>
      <c r="U1006" s="70"/>
      <c r="V1006" s="70"/>
      <c r="W1006" s="70"/>
      <c r="X1006" s="70"/>
      <c r="Y1006" s="70"/>
      <c r="Z1006" s="70"/>
    </row>
    <row r="1007" spans="1:26" ht="28" customHeight="1" x14ac:dyDescent="0.15">
      <c r="A1007" s="70"/>
      <c r="B1007" s="70"/>
      <c r="C1007" s="70"/>
      <c r="D1007" s="70"/>
      <c r="E1007" s="70"/>
      <c r="F1007" s="70"/>
      <c r="G1007" s="70"/>
      <c r="H1007" s="70"/>
      <c r="I1007" s="70"/>
      <c r="J1007" s="70"/>
      <c r="K1007" s="70"/>
      <c r="L1007" s="70"/>
      <c r="M1007" s="70"/>
      <c r="N1007" s="70"/>
      <c r="O1007" s="70"/>
      <c r="P1007" s="70"/>
      <c r="Q1007" s="70"/>
      <c r="R1007" s="70"/>
      <c r="S1007" s="70"/>
      <c r="T1007" s="70"/>
      <c r="U1007" s="70"/>
      <c r="V1007" s="70"/>
      <c r="W1007" s="70"/>
      <c r="X1007" s="70"/>
      <c r="Y1007" s="70"/>
      <c r="Z1007" s="70"/>
    </row>
    <row r="1008" spans="1:26" ht="28" customHeight="1" x14ac:dyDescent="0.15">
      <c r="A1008" s="70"/>
      <c r="B1008" s="70"/>
      <c r="C1008" s="70"/>
      <c r="D1008" s="70"/>
      <c r="E1008" s="70"/>
      <c r="F1008" s="70"/>
      <c r="G1008" s="70"/>
      <c r="H1008" s="70"/>
      <c r="I1008" s="70"/>
      <c r="J1008" s="70"/>
      <c r="K1008" s="70"/>
      <c r="L1008" s="70"/>
      <c r="M1008" s="70"/>
      <c r="N1008" s="70"/>
      <c r="O1008" s="70"/>
      <c r="P1008" s="70"/>
      <c r="Q1008" s="70"/>
      <c r="R1008" s="70"/>
      <c r="S1008" s="70"/>
      <c r="T1008" s="70"/>
      <c r="U1008" s="70"/>
      <c r="V1008" s="70"/>
      <c r="W1008" s="70"/>
      <c r="X1008" s="70"/>
      <c r="Y1008" s="70"/>
      <c r="Z1008" s="70"/>
    </row>
    <row r="1009" spans="1:26" ht="28" customHeight="1" x14ac:dyDescent="0.15">
      <c r="A1009" s="70"/>
      <c r="B1009" s="70"/>
      <c r="C1009" s="70"/>
      <c r="D1009" s="70"/>
      <c r="E1009" s="70"/>
      <c r="F1009" s="70"/>
      <c r="G1009" s="70"/>
      <c r="H1009" s="70"/>
      <c r="I1009" s="70"/>
      <c r="J1009" s="70"/>
      <c r="K1009" s="70"/>
      <c r="L1009" s="70"/>
      <c r="M1009" s="70"/>
      <c r="N1009" s="70"/>
      <c r="O1009" s="70"/>
      <c r="P1009" s="70"/>
      <c r="Q1009" s="70"/>
      <c r="R1009" s="70"/>
      <c r="S1009" s="70"/>
      <c r="T1009" s="70"/>
      <c r="U1009" s="70"/>
      <c r="V1009" s="70"/>
      <c r="W1009" s="70"/>
      <c r="X1009" s="70"/>
      <c r="Y1009" s="70"/>
      <c r="Z1009" s="70"/>
    </row>
    <row r="1010" spans="1:26" ht="28" customHeight="1" x14ac:dyDescent="0.15">
      <c r="A1010" s="70"/>
      <c r="B1010" s="70"/>
      <c r="C1010" s="70"/>
      <c r="D1010" s="70"/>
      <c r="E1010" s="70"/>
      <c r="F1010" s="70"/>
      <c r="G1010" s="70"/>
      <c r="H1010" s="70"/>
      <c r="I1010" s="70"/>
      <c r="J1010" s="70"/>
      <c r="K1010" s="70"/>
      <c r="L1010" s="70"/>
      <c r="M1010" s="70"/>
      <c r="N1010" s="70"/>
      <c r="O1010" s="70"/>
      <c r="P1010" s="70"/>
      <c r="Q1010" s="70"/>
      <c r="R1010" s="70"/>
      <c r="S1010" s="70"/>
      <c r="T1010" s="70"/>
      <c r="U1010" s="70"/>
      <c r="V1010" s="70"/>
      <c r="W1010" s="70"/>
      <c r="X1010" s="70"/>
      <c r="Y1010" s="70"/>
      <c r="Z1010" s="70"/>
    </row>
    <row r="1011" spans="1:26" ht="28" customHeight="1" x14ac:dyDescent="0.15">
      <c r="A1011" s="70"/>
      <c r="B1011" s="70"/>
      <c r="C1011" s="70"/>
      <c r="D1011" s="70"/>
      <c r="E1011" s="70"/>
      <c r="F1011" s="70"/>
      <c r="G1011" s="70"/>
      <c r="H1011" s="70"/>
      <c r="I1011" s="70"/>
      <c r="J1011" s="70"/>
      <c r="K1011" s="70"/>
      <c r="L1011" s="70"/>
      <c r="M1011" s="70"/>
      <c r="N1011" s="70"/>
      <c r="O1011" s="70"/>
      <c r="P1011" s="70"/>
      <c r="Q1011" s="70"/>
      <c r="R1011" s="70"/>
      <c r="S1011" s="70"/>
      <c r="T1011" s="70"/>
      <c r="U1011" s="70"/>
      <c r="V1011" s="70"/>
      <c r="W1011" s="70"/>
      <c r="X1011" s="70"/>
      <c r="Y1011" s="70"/>
      <c r="Z1011" s="70"/>
    </row>
    <row r="1012" spans="1:26" ht="28" customHeight="1" x14ac:dyDescent="0.15">
      <c r="A1012" s="70"/>
      <c r="B1012" s="70"/>
      <c r="C1012" s="70"/>
      <c r="D1012" s="70"/>
      <c r="E1012" s="70"/>
      <c r="F1012" s="70"/>
      <c r="G1012" s="70"/>
      <c r="H1012" s="70"/>
      <c r="I1012" s="70"/>
      <c r="J1012" s="70"/>
      <c r="K1012" s="70"/>
      <c r="L1012" s="70"/>
      <c r="M1012" s="70"/>
      <c r="N1012" s="70"/>
      <c r="O1012" s="70"/>
      <c r="P1012" s="70"/>
      <c r="Q1012" s="70"/>
      <c r="R1012" s="70"/>
      <c r="S1012" s="70"/>
      <c r="T1012" s="70"/>
      <c r="U1012" s="70"/>
      <c r="V1012" s="70"/>
      <c r="W1012" s="70"/>
      <c r="X1012" s="70"/>
      <c r="Y1012" s="70"/>
      <c r="Z1012" s="70"/>
    </row>
    <row r="1013" spans="1:26" ht="28" customHeight="1" x14ac:dyDescent="0.15">
      <c r="A1013" s="70"/>
      <c r="B1013" s="70"/>
      <c r="C1013" s="70"/>
      <c r="D1013" s="70"/>
      <c r="E1013" s="70"/>
      <c r="F1013" s="70"/>
      <c r="G1013" s="70"/>
      <c r="H1013" s="70"/>
      <c r="I1013" s="70"/>
      <c r="J1013" s="70"/>
      <c r="K1013" s="70"/>
      <c r="L1013" s="70"/>
      <c r="M1013" s="70"/>
      <c r="N1013" s="70"/>
      <c r="O1013" s="70"/>
      <c r="P1013" s="70"/>
      <c r="Q1013" s="70"/>
      <c r="R1013" s="70"/>
      <c r="S1013" s="70"/>
      <c r="T1013" s="70"/>
      <c r="U1013" s="70"/>
      <c r="V1013" s="70"/>
      <c r="W1013" s="70"/>
      <c r="X1013" s="70"/>
      <c r="Y1013" s="70"/>
      <c r="Z1013" s="70"/>
    </row>
    <row r="1014" spans="1:26" ht="28" customHeight="1" x14ac:dyDescent="0.15">
      <c r="A1014" s="70"/>
      <c r="B1014" s="70"/>
      <c r="C1014" s="70"/>
      <c r="D1014" s="70"/>
      <c r="E1014" s="70"/>
      <c r="F1014" s="70"/>
      <c r="G1014" s="70"/>
      <c r="H1014" s="70"/>
      <c r="I1014" s="70"/>
      <c r="J1014" s="70"/>
      <c r="K1014" s="70"/>
      <c r="L1014" s="70"/>
      <c r="M1014" s="70"/>
      <c r="N1014" s="70"/>
      <c r="O1014" s="70"/>
      <c r="P1014" s="70"/>
      <c r="Q1014" s="70"/>
      <c r="R1014" s="70"/>
      <c r="S1014" s="70"/>
      <c r="T1014" s="70"/>
      <c r="U1014" s="70"/>
      <c r="V1014" s="70"/>
      <c r="W1014" s="70"/>
      <c r="X1014" s="70"/>
      <c r="Y1014" s="70"/>
      <c r="Z1014" s="70"/>
    </row>
    <row r="1015" spans="1:26" ht="28" customHeight="1" x14ac:dyDescent="0.15">
      <c r="A1015" s="70"/>
      <c r="B1015" s="70"/>
      <c r="C1015" s="70"/>
      <c r="D1015" s="70"/>
      <c r="E1015" s="70"/>
      <c r="F1015" s="70"/>
      <c r="G1015" s="70"/>
      <c r="H1015" s="70"/>
      <c r="I1015" s="70"/>
      <c r="J1015" s="70"/>
      <c r="K1015" s="70"/>
      <c r="L1015" s="70"/>
      <c r="M1015" s="70"/>
      <c r="N1015" s="70"/>
      <c r="O1015" s="70"/>
      <c r="P1015" s="70"/>
      <c r="Q1015" s="70"/>
      <c r="R1015" s="70"/>
      <c r="S1015" s="70"/>
      <c r="T1015" s="70"/>
      <c r="U1015" s="70"/>
      <c r="V1015" s="70"/>
      <c r="W1015" s="70"/>
      <c r="X1015" s="70"/>
      <c r="Y1015" s="70"/>
      <c r="Z1015" s="70"/>
    </row>
    <row r="1016" spans="1:26" ht="28" customHeight="1" x14ac:dyDescent="0.15">
      <c r="A1016" s="70"/>
      <c r="B1016" s="70"/>
      <c r="C1016" s="70"/>
      <c r="D1016" s="70"/>
      <c r="E1016" s="70"/>
      <c r="F1016" s="70"/>
      <c r="G1016" s="70"/>
      <c r="H1016" s="70"/>
      <c r="I1016" s="70"/>
      <c r="J1016" s="70"/>
      <c r="K1016" s="70"/>
      <c r="L1016" s="70"/>
      <c r="M1016" s="70"/>
      <c r="N1016" s="70"/>
      <c r="O1016" s="70"/>
      <c r="P1016" s="70"/>
      <c r="Q1016" s="70"/>
      <c r="R1016" s="70"/>
      <c r="S1016" s="70"/>
      <c r="T1016" s="70"/>
      <c r="U1016" s="70"/>
      <c r="V1016" s="70"/>
      <c r="W1016" s="70"/>
      <c r="X1016" s="70"/>
      <c r="Y1016" s="70"/>
      <c r="Z1016" s="70"/>
    </row>
    <row r="1017" spans="1:26" ht="28" customHeight="1" x14ac:dyDescent="0.15">
      <c r="A1017" s="70"/>
      <c r="B1017" s="70"/>
      <c r="C1017" s="70"/>
      <c r="D1017" s="70"/>
      <c r="E1017" s="70"/>
      <c r="F1017" s="70"/>
      <c r="G1017" s="70"/>
      <c r="H1017" s="70"/>
      <c r="I1017" s="70"/>
      <c r="J1017" s="70"/>
      <c r="K1017" s="70"/>
      <c r="L1017" s="70"/>
      <c r="M1017" s="70"/>
      <c r="N1017" s="70"/>
      <c r="O1017" s="70"/>
      <c r="P1017" s="70"/>
      <c r="Q1017" s="70"/>
      <c r="R1017" s="70"/>
      <c r="S1017" s="70"/>
      <c r="T1017" s="70"/>
      <c r="U1017" s="70"/>
      <c r="V1017" s="70"/>
      <c r="W1017" s="70"/>
      <c r="X1017" s="70"/>
      <c r="Y1017" s="70"/>
      <c r="Z1017" s="70"/>
    </row>
    <row r="1018" spans="1:26" ht="28" customHeight="1" x14ac:dyDescent="0.15">
      <c r="A1018" s="70"/>
      <c r="B1018" s="70"/>
      <c r="C1018" s="70"/>
      <c r="D1018" s="70"/>
      <c r="E1018" s="70"/>
      <c r="F1018" s="70"/>
      <c r="G1018" s="70"/>
      <c r="H1018" s="70"/>
      <c r="I1018" s="70"/>
      <c r="J1018" s="70"/>
      <c r="K1018" s="70"/>
      <c r="L1018" s="70"/>
      <c r="M1018" s="70"/>
      <c r="N1018" s="70"/>
      <c r="O1018" s="70"/>
      <c r="P1018" s="70"/>
      <c r="Q1018" s="70"/>
      <c r="R1018" s="70"/>
      <c r="S1018" s="70"/>
      <c r="T1018" s="70"/>
      <c r="U1018" s="70"/>
      <c r="V1018" s="70"/>
      <c r="W1018" s="70"/>
      <c r="X1018" s="70"/>
      <c r="Y1018" s="70"/>
      <c r="Z1018" s="70"/>
    </row>
    <row r="1019" spans="1:26" ht="28" customHeight="1" x14ac:dyDescent="0.15">
      <c r="A1019" s="70"/>
      <c r="B1019" s="70"/>
      <c r="C1019" s="70"/>
      <c r="D1019" s="70"/>
      <c r="E1019" s="70"/>
      <c r="F1019" s="70"/>
      <c r="G1019" s="70"/>
      <c r="H1019" s="70"/>
      <c r="I1019" s="70"/>
      <c r="J1019" s="70"/>
      <c r="K1019" s="70"/>
      <c r="L1019" s="70"/>
      <c r="M1019" s="70"/>
      <c r="N1019" s="70"/>
      <c r="O1019" s="70"/>
      <c r="P1019" s="70"/>
      <c r="Q1019" s="70"/>
      <c r="R1019" s="70"/>
      <c r="S1019" s="70"/>
      <c r="T1019" s="70"/>
      <c r="U1019" s="70"/>
      <c r="V1019" s="70"/>
      <c r="W1019" s="70"/>
      <c r="X1019" s="70"/>
      <c r="Y1019" s="70"/>
      <c r="Z1019" s="70"/>
    </row>
    <row r="1020" spans="1:26" ht="28" customHeight="1" x14ac:dyDescent="0.15">
      <c r="A1020" s="70"/>
      <c r="B1020" s="70"/>
      <c r="C1020" s="70"/>
      <c r="D1020" s="70"/>
      <c r="E1020" s="70"/>
      <c r="F1020" s="70"/>
      <c r="G1020" s="70"/>
      <c r="H1020" s="70"/>
      <c r="I1020" s="70"/>
      <c r="J1020" s="70"/>
      <c r="K1020" s="70"/>
      <c r="L1020" s="70"/>
      <c r="M1020" s="70"/>
      <c r="N1020" s="70"/>
      <c r="O1020" s="70"/>
      <c r="P1020" s="70"/>
      <c r="Q1020" s="70"/>
      <c r="R1020" s="70"/>
      <c r="S1020" s="70"/>
      <c r="T1020" s="70"/>
      <c r="U1020" s="70"/>
      <c r="V1020" s="70"/>
      <c r="W1020" s="70"/>
      <c r="X1020" s="70"/>
      <c r="Y1020" s="70"/>
      <c r="Z1020" s="70"/>
    </row>
    <row r="1021" spans="1:26" ht="28" customHeight="1" x14ac:dyDescent="0.15">
      <c r="A1021" s="70"/>
      <c r="B1021" s="70"/>
      <c r="C1021" s="70"/>
      <c r="D1021" s="70"/>
      <c r="E1021" s="70"/>
      <c r="F1021" s="70"/>
      <c r="G1021" s="70"/>
      <c r="H1021" s="70"/>
      <c r="I1021" s="70"/>
      <c r="J1021" s="70"/>
      <c r="K1021" s="70"/>
      <c r="L1021" s="70"/>
      <c r="M1021" s="70"/>
      <c r="N1021" s="70"/>
      <c r="O1021" s="70"/>
      <c r="P1021" s="70"/>
      <c r="Q1021" s="70"/>
      <c r="R1021" s="70"/>
      <c r="S1021" s="70"/>
      <c r="T1021" s="70"/>
      <c r="U1021" s="70"/>
      <c r="V1021" s="70"/>
      <c r="W1021" s="70"/>
      <c r="X1021" s="70"/>
      <c r="Y1021" s="70"/>
      <c r="Z1021" s="70"/>
    </row>
  </sheetData>
  <mergeCells count="45">
    <mergeCell ref="A8:A9"/>
    <mergeCell ref="B8:C8"/>
    <mergeCell ref="B9:E9"/>
    <mergeCell ref="B10:H10"/>
    <mergeCell ref="B7:H7"/>
    <mergeCell ref="B6:H6"/>
    <mergeCell ref="A1:A4"/>
    <mergeCell ref="B2:H2"/>
    <mergeCell ref="F3:G3"/>
    <mergeCell ref="C3:D3"/>
    <mergeCell ref="B4:H4"/>
    <mergeCell ref="B1:H1"/>
    <mergeCell ref="B30:H30"/>
    <mergeCell ref="B12:H12"/>
    <mergeCell ref="B13:H13"/>
    <mergeCell ref="B15:H15"/>
    <mergeCell ref="B16:H16"/>
    <mergeCell ref="B19:H19"/>
    <mergeCell ref="B26:H26"/>
    <mergeCell ref="B29:H29"/>
    <mergeCell ref="B27:H27"/>
    <mergeCell ref="E24:H24"/>
    <mergeCell ref="B25:H25"/>
    <mergeCell ref="B44:H44"/>
    <mergeCell ref="B47:F47"/>
    <mergeCell ref="B38:H38"/>
    <mergeCell ref="A35:A36"/>
    <mergeCell ref="C35:H35"/>
    <mergeCell ref="C36:H36"/>
    <mergeCell ref="A15:A27"/>
    <mergeCell ref="A38:A40"/>
    <mergeCell ref="A42:A44"/>
    <mergeCell ref="B22:H22"/>
    <mergeCell ref="B23:H23"/>
    <mergeCell ref="B31:H31"/>
    <mergeCell ref="B40:H40"/>
    <mergeCell ref="B17:H17"/>
    <mergeCell ref="B18:H18"/>
    <mergeCell ref="B21:H21"/>
    <mergeCell ref="B20:H20"/>
    <mergeCell ref="B32:H32"/>
    <mergeCell ref="B33:H33"/>
    <mergeCell ref="B39:H39"/>
    <mergeCell ref="B42:H42"/>
    <mergeCell ref="B43:H43"/>
  </mergeCells>
  <hyperlinks>
    <hyperlink ref="B2" r:id="rId1" display="https://www.youtube.com/watch?v=DZ6YTtILCE8"/>
    <hyperlink ref="E3" r:id="rId2" display="https://ask.fm/mostafasaad87"/>
    <hyperlink ref="F3" r:id="rId3" display="https://sites.google.com/site/mostafasibrahim/"/>
    <hyperlink ref="D8" r:id="rId4" display="https://www.youtube.com/playlist?list=PLPt2dINI2MIZPFq6HyUB1Uhxdh1UDnZMS"/>
    <hyperlink ref="F9" r:id="rId5" display="https://www.youtube.com/playlist?list=PLPt2dINI2MIaNcU070HIAO8JWYBcafuyG"/>
    <hyperlink ref="B24" r:id="rId6" display="https://uva.onlinejudge.org/index.php?option=com_content&amp;task=view&amp;id=16&amp;Itemid=31"/>
    <hyperlink ref="B35" r:id="rId7" display="http://codeforces.com/problemset/problem/136/A"/>
    <hyperlink ref="B42" r:id="rId8" display="https://docs.google.com/spreadsheets/d/1-A0sitOUOmHr_E7zoj5KQjrFGlZfWKU_mQ7AN4ztyOc/edit?usp=sharing"/>
    <hyperlink ref="B43" r:id="rId9" display="https://docs.google.com/spreadsheets/d/18u-0hLEMc8d8ti1NoYM5mfLT-hLqmfkZ7VxEo1PT71M/edit?usp=sharing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2" sqref="J12"/>
    </sheetView>
  </sheetViews>
  <sheetFormatPr baseColWidth="10" defaultColWidth="24.5" defaultRowHeight="20" customHeight="1" x14ac:dyDescent="0.15"/>
  <cols>
    <col min="3" max="3" width="7.33203125" style="87" customWidth="1"/>
  </cols>
  <sheetData>
    <row r="1" spans="1:10" ht="20" customHeight="1" x14ac:dyDescent="0.15">
      <c r="A1" s="1" t="s">
        <v>0</v>
      </c>
      <c r="B1" s="1" t="s">
        <v>1</v>
      </c>
      <c r="C1" s="79" t="s">
        <v>2</v>
      </c>
      <c r="D1" s="3" t="s">
        <v>5</v>
      </c>
      <c r="E1" s="3" t="s">
        <v>7</v>
      </c>
      <c r="F1" s="2" t="s">
        <v>8</v>
      </c>
      <c r="G1" s="3" t="s">
        <v>9</v>
      </c>
      <c r="H1" s="3" t="s">
        <v>10</v>
      </c>
      <c r="I1" s="2" t="s">
        <v>11</v>
      </c>
      <c r="J1" s="4" t="s">
        <v>12</v>
      </c>
    </row>
    <row r="2" spans="1:10" ht="20" customHeight="1" x14ac:dyDescent="0.15">
      <c r="A2" s="5"/>
      <c r="B2" s="5" t="s">
        <v>14</v>
      </c>
      <c r="C2" s="80">
        <f>COUNTIF(C4:C9935, "AC")</f>
        <v>1</v>
      </c>
      <c r="D2" s="9" t="e">
        <f ca="1">SUMPRODUCT(D4:D9935,INT(EQ(C4:C9935, "AC")))/MAX(1, C2)</f>
        <v>#NAME?</v>
      </c>
      <c r="E2" s="9" t="e">
        <f ca="1">SUMPRODUCT(E4:E9935,INT(EQ(C4:C9935, "AC")))/MAX(1, C2)</f>
        <v>#NAME?</v>
      </c>
      <c r="F2" s="9" t="e">
        <f ca="1">SUMPRODUCT(F4:F9935,INT(EQ(C4:C9935, "AC")))/MAX(1, C2)</f>
        <v>#NAME?</v>
      </c>
      <c r="G2" s="9" t="e">
        <f ca="1">SUMPRODUCT(G4:G9935,INT(EQ(C4:C9935, "AC")))/MAX(1, C2)</f>
        <v>#NAME?</v>
      </c>
      <c r="H2" s="9" t="e">
        <f ca="1">SUMPRODUCT(H4:H9935,INT(EQ(C4:C9935, "AC")))/MAX(1, C2)</f>
        <v>#NAME?</v>
      </c>
      <c r="I2" s="9" t="e">
        <f ca="1">SUMPRODUCT(I4:I9935,INT(EQ(C4:C9935, "AC")))/MAX(1, C2)</f>
        <v>#NAME?</v>
      </c>
      <c r="J2" s="11">
        <f>COUNTIFS(C5:C9937, "&lt;&gt;AC", C5:C9937, "&lt;&gt;")</f>
        <v>5</v>
      </c>
    </row>
    <row r="3" spans="1:10" ht="20" customHeight="1" x14ac:dyDescent="0.15">
      <c r="A3" s="5"/>
      <c r="B3" s="5"/>
      <c r="C3" s="85"/>
      <c r="D3" s="5"/>
      <c r="E3" s="5"/>
      <c r="F3" s="5"/>
      <c r="G3" s="5"/>
      <c r="H3" s="12">
        <f t="shared" ref="H3:H133" si="0">SUM(E3:G3)</f>
        <v>0</v>
      </c>
      <c r="I3" s="5"/>
      <c r="J3" s="13" t="str">
        <f>HYPERLINK("https://www.youtube.com/watch?v=fd0Ebfa_mJ0","Watch - Approaching Problem Statement ")</f>
        <v xml:space="preserve">Watch - Approaching Problem Statement </v>
      </c>
    </row>
    <row r="4" spans="1:10" ht="20" customHeight="1" x14ac:dyDescent="0.15">
      <c r="A4" s="5"/>
      <c r="B4" s="5"/>
      <c r="C4" s="85"/>
      <c r="D4" s="5"/>
      <c r="E4" s="5"/>
      <c r="F4" s="5"/>
      <c r="G4" s="5"/>
      <c r="H4" s="12">
        <f t="shared" si="0"/>
        <v>0</v>
      </c>
      <c r="I4" s="5"/>
      <c r="J4" s="14" t="str">
        <f>HYPERLINK("https://www.youtube.com/watch?v=olcmPKZNqnM","Watch - Thinking - On papers Not on PC ")</f>
        <v xml:space="preserve">Watch - Thinking - On papers Not on PC </v>
      </c>
    </row>
    <row r="5" spans="1:10" ht="20" customHeight="1" x14ac:dyDescent="0.15">
      <c r="A5" s="6" t="s">
        <v>30</v>
      </c>
      <c r="B5" s="10" t="str">
        <f>HYPERLINK("http://codeforces.com/problemset/problem/4/A","CF4-D2-A")</f>
        <v>CF4-D2-A</v>
      </c>
      <c r="C5" s="79" t="s">
        <v>31</v>
      </c>
      <c r="D5" s="12">
        <v>2</v>
      </c>
      <c r="E5" s="12">
        <v>3</v>
      </c>
      <c r="F5" s="12">
        <v>4</v>
      </c>
      <c r="G5" s="12">
        <v>5</v>
      </c>
      <c r="H5" s="12">
        <f t="shared" si="0"/>
        <v>12</v>
      </c>
      <c r="I5" s="12">
        <v>2</v>
      </c>
      <c r="J5" s="7"/>
    </row>
    <row r="6" spans="1:10" ht="20" customHeight="1" x14ac:dyDescent="0.15">
      <c r="A6" s="6" t="s">
        <v>32</v>
      </c>
      <c r="B6" s="10" t="str">
        <f>HYPERLINK("http://codeforces.com/problemset/problem/71/A","CF71-D2-A")</f>
        <v>CF71-D2-A</v>
      </c>
      <c r="C6" s="81" t="s">
        <v>33</v>
      </c>
      <c r="D6" s="12">
        <v>5</v>
      </c>
      <c r="E6" s="12">
        <v>4</v>
      </c>
      <c r="F6" s="12">
        <v>25</v>
      </c>
      <c r="G6" s="12">
        <v>20</v>
      </c>
      <c r="H6" s="12">
        <f t="shared" si="0"/>
        <v>49</v>
      </c>
      <c r="I6" s="12">
        <v>9</v>
      </c>
      <c r="J6" s="5"/>
    </row>
    <row r="7" spans="1:10" ht="20" customHeight="1" x14ac:dyDescent="0.15">
      <c r="A7" s="6" t="s">
        <v>36</v>
      </c>
      <c r="B7" s="10" t="str">
        <f>HYPERLINK("http://codeforces.com/problemset/problem/118/A","CF118-D2-A")</f>
        <v>CF118-D2-A</v>
      </c>
      <c r="C7" s="82" t="s">
        <v>39</v>
      </c>
      <c r="D7" s="12">
        <v>5</v>
      </c>
      <c r="E7" s="12">
        <v>4</v>
      </c>
      <c r="F7" s="12">
        <v>25</v>
      </c>
      <c r="G7" s="12">
        <v>20</v>
      </c>
      <c r="H7" s="12">
        <f t="shared" si="0"/>
        <v>49</v>
      </c>
      <c r="I7" s="12">
        <v>5</v>
      </c>
      <c r="J7" s="19" t="s">
        <v>45</v>
      </c>
    </row>
    <row r="8" spans="1:10" ht="20" customHeight="1" x14ac:dyDescent="0.15">
      <c r="A8" s="6" t="s">
        <v>47</v>
      </c>
      <c r="B8" s="10" t="str">
        <f>HYPERLINK("http://codeforces.com/problemset/problem/112/A","CF112-D2-A")</f>
        <v>CF112-D2-A</v>
      </c>
      <c r="C8" s="83" t="s">
        <v>49</v>
      </c>
      <c r="D8" s="12">
        <v>5</v>
      </c>
      <c r="E8" s="12">
        <v>4</v>
      </c>
      <c r="F8" s="12">
        <v>25</v>
      </c>
      <c r="G8" s="12">
        <v>20</v>
      </c>
      <c r="H8" s="12">
        <f t="shared" si="0"/>
        <v>49</v>
      </c>
      <c r="I8" s="12">
        <v>6</v>
      </c>
      <c r="J8" s="6" t="s">
        <v>53</v>
      </c>
    </row>
    <row r="9" spans="1:10" ht="20" customHeight="1" x14ac:dyDescent="0.15">
      <c r="A9" s="15" t="s">
        <v>55</v>
      </c>
      <c r="B9" s="16" t="str">
        <f>HYPERLINK("http://codeforces.com/problemset/problem/339/A","CF339-D2-A")</f>
        <v>CF339-D2-A</v>
      </c>
      <c r="C9" s="84" t="s">
        <v>58</v>
      </c>
      <c r="D9" s="12">
        <v>5</v>
      </c>
      <c r="E9" s="12">
        <v>4</v>
      </c>
      <c r="F9" s="12">
        <v>25</v>
      </c>
      <c r="G9" s="12">
        <v>20</v>
      </c>
      <c r="H9" s="12">
        <f t="shared" si="0"/>
        <v>49</v>
      </c>
      <c r="I9" s="12">
        <v>7</v>
      </c>
      <c r="J9" s="19" t="s">
        <v>63</v>
      </c>
    </row>
    <row r="10" spans="1:10" ht="20" customHeight="1" x14ac:dyDescent="0.15">
      <c r="A10" s="15" t="s">
        <v>64</v>
      </c>
      <c r="B10" s="16" t="str">
        <f>HYPERLINK("http://codeforces.com/problemset/problem/160/A","CF160-D2-A")</f>
        <v>CF160-D2-A</v>
      </c>
      <c r="C10" s="85" t="s">
        <v>67</v>
      </c>
      <c r="D10" s="12">
        <v>5</v>
      </c>
      <c r="E10" s="12">
        <v>4</v>
      </c>
      <c r="F10" s="12">
        <v>25</v>
      </c>
      <c r="G10" s="12">
        <v>20</v>
      </c>
      <c r="H10" s="12">
        <f t="shared" si="0"/>
        <v>49</v>
      </c>
      <c r="I10" s="12">
        <v>5</v>
      </c>
      <c r="J10" s="5"/>
    </row>
    <row r="11" spans="1:10" ht="20" customHeight="1" x14ac:dyDescent="0.15">
      <c r="A11" s="15" t="s">
        <v>68</v>
      </c>
      <c r="B11" s="16" t="str">
        <f>HYPERLINK("http://codeforces.com/problemset/problem/58/A","CF58-D2-A")</f>
        <v>CF58-D2-A</v>
      </c>
      <c r="C11" s="85"/>
      <c r="D11" s="7"/>
      <c r="E11" s="7"/>
      <c r="F11" s="7"/>
      <c r="G11" s="7"/>
      <c r="H11" s="12">
        <f t="shared" si="0"/>
        <v>0</v>
      </c>
      <c r="I11" s="7"/>
      <c r="J11" s="5"/>
    </row>
    <row r="12" spans="1:10" ht="20" customHeight="1" x14ac:dyDescent="0.15">
      <c r="A12" s="15" t="s">
        <v>71</v>
      </c>
      <c r="B12" s="16" t="str">
        <f>HYPERLINK("http://codeforces.com/problemset/problem/122/A","CF122-D2-A")</f>
        <v>CF122-D2-A</v>
      </c>
      <c r="C12" s="85"/>
      <c r="D12" s="7"/>
      <c r="E12" s="7"/>
      <c r="F12" s="7"/>
      <c r="G12" s="7"/>
      <c r="H12" s="12">
        <f t="shared" si="0"/>
        <v>0</v>
      </c>
      <c r="I12" s="7"/>
      <c r="J12" s="7"/>
    </row>
    <row r="13" spans="1:10" ht="20" customHeight="1" x14ac:dyDescent="0.15">
      <c r="A13" s="15" t="s">
        <v>75</v>
      </c>
      <c r="B13" s="16" t="str">
        <f>HYPERLINK("http://codeforces.com/problemset/problem/136/A","CF136-D2-A")</f>
        <v>CF136-D2-A</v>
      </c>
      <c r="C13" s="85"/>
      <c r="D13" s="7"/>
      <c r="E13" s="7"/>
      <c r="F13" s="7"/>
      <c r="G13" s="7"/>
      <c r="H13" s="12">
        <f t="shared" si="0"/>
        <v>0</v>
      </c>
      <c r="I13" s="7"/>
      <c r="J13" s="5"/>
    </row>
    <row r="14" spans="1:10" ht="20" customHeight="1" x14ac:dyDescent="0.15">
      <c r="A14" s="15" t="s">
        <v>77</v>
      </c>
      <c r="B14" s="16" t="str">
        <f>HYPERLINK("http://codeforces.com/problemset/problem/263/A","CF263-D2-A")</f>
        <v>CF263-D2-A</v>
      </c>
      <c r="C14" s="85"/>
      <c r="D14" s="7"/>
      <c r="E14" s="7"/>
      <c r="F14" s="7"/>
      <c r="G14" s="7"/>
      <c r="H14" s="12">
        <f t="shared" si="0"/>
        <v>0</v>
      </c>
      <c r="I14" s="7"/>
      <c r="J14" s="5"/>
    </row>
    <row r="15" spans="1:10" ht="20" customHeight="1" x14ac:dyDescent="0.15">
      <c r="A15" s="7"/>
      <c r="B15" s="7"/>
      <c r="C15" s="85"/>
      <c r="D15" s="7"/>
      <c r="E15" s="7"/>
      <c r="F15" s="7"/>
      <c r="G15" s="7"/>
      <c r="H15" s="12">
        <f t="shared" si="0"/>
        <v>0</v>
      </c>
      <c r="I15" s="7"/>
      <c r="J15" s="13" t="str">
        <f>HYPERLINK("https://www.youtube.com/watch?v=x1rCxxKfFbM","Watch - Thinking - Problem Simplification ")</f>
        <v xml:space="preserve">Watch - Thinking - Problem Simplification </v>
      </c>
    </row>
    <row r="16" spans="1:10" ht="20" customHeight="1" x14ac:dyDescent="0.15">
      <c r="A16" s="7"/>
      <c r="B16" s="7"/>
      <c r="C16" s="85"/>
      <c r="D16" s="7"/>
      <c r="E16" s="7"/>
      <c r="F16" s="7"/>
      <c r="G16" s="7"/>
      <c r="H16" s="12">
        <f t="shared" si="0"/>
        <v>0</v>
      </c>
      <c r="I16" s="7"/>
      <c r="J16" s="13" t="str">
        <f>HYPERLINK("https://www.youtube.com/watch?v=EQzmtn4PzYQ","Watch - Measuring Algorithms Perfromance - 1")</f>
        <v>Watch - Measuring Algorithms Perfromance - 1</v>
      </c>
    </row>
    <row r="17" spans="1:10" ht="20" customHeight="1" x14ac:dyDescent="0.15">
      <c r="A17" s="7"/>
      <c r="B17" s="7"/>
      <c r="C17" s="85"/>
      <c r="D17" s="7"/>
      <c r="E17" s="7"/>
      <c r="F17" s="7"/>
      <c r="G17" s="7"/>
      <c r="H17" s="12">
        <f t="shared" si="0"/>
        <v>0</v>
      </c>
      <c r="I17" s="7"/>
      <c r="J17" s="14" t="str">
        <f>HYPERLINK("https://www.youtube.com/watch?v=Syx2qDjj7TE","Watch - Elementary Math - Introduction")</f>
        <v>Watch - Elementary Math - Introduction</v>
      </c>
    </row>
    <row r="18" spans="1:10" ht="20" customHeight="1" x14ac:dyDescent="0.15">
      <c r="A18" s="15" t="s">
        <v>92</v>
      </c>
      <c r="B18" s="16" t="str">
        <f>HYPERLINK("http://codeforces.com/problemset/problem/144/A","CF144-D2-A")</f>
        <v>CF144-D2-A</v>
      </c>
      <c r="C18" s="85"/>
      <c r="D18" s="7"/>
      <c r="E18" s="7"/>
      <c r="F18" s="7"/>
      <c r="G18" s="7"/>
      <c r="H18" s="12">
        <f t="shared" si="0"/>
        <v>0</v>
      </c>
      <c r="I18" s="7"/>
      <c r="J18" s="7"/>
    </row>
    <row r="19" spans="1:10" ht="20" customHeight="1" x14ac:dyDescent="0.15">
      <c r="A19" s="15" t="s">
        <v>95</v>
      </c>
      <c r="B19" s="16" t="str">
        <f>HYPERLINK("http://codeforces.com/problemset/problem/268/A","CF268-D2-A")</f>
        <v>CF268-D2-A</v>
      </c>
      <c r="C19" s="85"/>
      <c r="D19" s="7"/>
      <c r="E19" s="7"/>
      <c r="F19" s="7"/>
      <c r="G19" s="7"/>
      <c r="H19" s="12">
        <f t="shared" si="0"/>
        <v>0</v>
      </c>
      <c r="I19" s="7"/>
      <c r="J19" s="7"/>
    </row>
    <row r="20" spans="1:10" ht="20" customHeight="1" x14ac:dyDescent="0.15">
      <c r="A20" s="15" t="s">
        <v>98</v>
      </c>
      <c r="B20" s="16" t="str">
        <f>HYPERLINK("http://codeforces.com/problemset/problem/69/A","CF69-D2-A")</f>
        <v>CF69-D2-A</v>
      </c>
      <c r="C20" s="85"/>
      <c r="D20" s="7"/>
      <c r="E20" s="7"/>
      <c r="F20" s="7"/>
      <c r="G20" s="7"/>
      <c r="H20" s="12">
        <f t="shared" si="0"/>
        <v>0</v>
      </c>
      <c r="I20" s="7"/>
      <c r="J20" s="7"/>
    </row>
    <row r="21" spans="1:10" ht="20" customHeight="1" x14ac:dyDescent="0.15">
      <c r="A21" s="15" t="s">
        <v>101</v>
      </c>
      <c r="B21" s="16" t="str">
        <f>HYPERLINK("http://codeforces.com/problemset/problem/479/A","CF479-D2-A")</f>
        <v>CF479-D2-A</v>
      </c>
      <c r="C21" s="85"/>
      <c r="D21" s="7"/>
      <c r="E21" s="7"/>
      <c r="F21" s="7"/>
      <c r="G21" s="7"/>
      <c r="H21" s="12">
        <f t="shared" si="0"/>
        <v>0</v>
      </c>
      <c r="I21" s="7"/>
      <c r="J21" s="7"/>
    </row>
    <row r="22" spans="1:10" ht="20" customHeight="1" x14ac:dyDescent="0.15">
      <c r="A22" s="15" t="s">
        <v>105</v>
      </c>
      <c r="B22" s="16" t="str">
        <f>HYPERLINK("http://codeforces.com/problemset/problem/469/A","CF469-D2-A")</f>
        <v>CF469-D2-A</v>
      </c>
      <c r="C22" s="85"/>
      <c r="D22" s="7"/>
      <c r="E22" s="7"/>
      <c r="F22" s="7"/>
      <c r="G22" s="7"/>
      <c r="H22" s="12">
        <f t="shared" si="0"/>
        <v>0</v>
      </c>
      <c r="I22" s="7"/>
      <c r="J22" s="7"/>
    </row>
    <row r="23" spans="1:10" ht="20" customHeight="1" x14ac:dyDescent="0.15">
      <c r="A23" s="15" t="s">
        <v>107</v>
      </c>
      <c r="B23" s="16" t="str">
        <f>HYPERLINK("http://codeforces.com/problemset/problem/313/A","CF313-D2-A")</f>
        <v>CF313-D2-A</v>
      </c>
      <c r="C23" s="85"/>
      <c r="D23" s="7"/>
      <c r="E23" s="7"/>
      <c r="F23" s="7"/>
      <c r="G23" s="7"/>
      <c r="H23" s="12">
        <f t="shared" si="0"/>
        <v>0</v>
      </c>
      <c r="I23" s="7"/>
      <c r="J23" s="7"/>
    </row>
    <row r="24" spans="1:10" ht="20" customHeight="1" x14ac:dyDescent="0.15">
      <c r="A24" s="15" t="s">
        <v>110</v>
      </c>
      <c r="B24" s="16" t="str">
        <f>HYPERLINK("http://codeforces.com/problemset/problem/230/A","CF230-D2-A")</f>
        <v>CF230-D2-A</v>
      </c>
      <c r="C24" s="85"/>
      <c r="D24" s="7"/>
      <c r="E24" s="7"/>
      <c r="F24" s="7"/>
      <c r="G24" s="7"/>
      <c r="H24" s="12">
        <f t="shared" si="0"/>
        <v>0</v>
      </c>
      <c r="I24" s="7"/>
      <c r="J24" s="7"/>
    </row>
    <row r="25" spans="1:10" ht="20" customHeight="1" x14ac:dyDescent="0.15">
      <c r="A25" s="15" t="s">
        <v>114</v>
      </c>
      <c r="B25" s="16" t="str">
        <f>HYPERLINK("http://codeforces.com/problemset/problem/490/A","CF490-D2-A")</f>
        <v>CF490-D2-A</v>
      </c>
      <c r="C25" s="85"/>
      <c r="D25" s="7"/>
      <c r="E25" s="7"/>
      <c r="F25" s="7"/>
      <c r="G25" s="7"/>
      <c r="H25" s="12">
        <f t="shared" si="0"/>
        <v>0</v>
      </c>
      <c r="I25" s="7"/>
      <c r="J25" s="5"/>
    </row>
    <row r="26" spans="1:10" ht="20" customHeight="1" x14ac:dyDescent="0.15">
      <c r="A26" s="15" t="s">
        <v>116</v>
      </c>
      <c r="B26" s="16" t="str">
        <f>HYPERLINK("http://codeforces.com/problemset/problem/510/A","CF510-D2-A")</f>
        <v>CF510-D2-A</v>
      </c>
      <c r="C26" s="85"/>
      <c r="D26" s="7"/>
      <c r="E26" s="7"/>
      <c r="F26" s="7"/>
      <c r="G26" s="7"/>
      <c r="H26" s="12">
        <f t="shared" si="0"/>
        <v>0</v>
      </c>
      <c r="I26" s="7"/>
      <c r="J26" s="7"/>
    </row>
    <row r="27" spans="1:10" ht="20" customHeight="1" x14ac:dyDescent="0.15">
      <c r="A27" s="15" t="s">
        <v>118</v>
      </c>
      <c r="B27" s="16" t="str">
        <f>HYPERLINK("http://codeforces.com/problemset/problem/432/A","CF432-D2-A")</f>
        <v>CF432-D2-A</v>
      </c>
      <c r="C27" s="85"/>
      <c r="D27" s="7"/>
      <c r="E27" s="7"/>
      <c r="F27" s="7"/>
      <c r="G27" s="7"/>
      <c r="H27" s="12">
        <f t="shared" si="0"/>
        <v>0</v>
      </c>
      <c r="I27" s="7"/>
      <c r="J27" s="7"/>
    </row>
    <row r="28" spans="1:10" ht="20" customHeight="1" x14ac:dyDescent="0.15">
      <c r="A28" s="7"/>
      <c r="B28" s="7"/>
      <c r="C28" s="85"/>
      <c r="D28" s="7"/>
      <c r="E28" s="7"/>
      <c r="F28" s="7"/>
      <c r="G28" s="7"/>
      <c r="H28" s="12">
        <f t="shared" si="0"/>
        <v>0</v>
      </c>
      <c r="I28" s="7"/>
      <c r="J28" s="16" t="str">
        <f>HYPERLINK("https://www.youtube.com/watch?v=9sqvjnvuLtY","Watch - Number Theory - Modular Arithmatic")</f>
        <v>Watch - Number Theory - Modular Arithmatic</v>
      </c>
    </row>
    <row r="29" spans="1:10" ht="20" customHeight="1" x14ac:dyDescent="0.15">
      <c r="A29" s="7"/>
      <c r="B29" s="7"/>
      <c r="C29" s="85"/>
      <c r="D29" s="7"/>
      <c r="E29" s="7"/>
      <c r="F29" s="7"/>
      <c r="G29" s="7"/>
      <c r="H29" s="12">
        <f t="shared" si="0"/>
        <v>0</v>
      </c>
      <c r="I29" s="7"/>
      <c r="J29" s="14" t="str">
        <f>HYPERLINK("https://www.youtube.com/watch?v=sr6WgCLcgVM","Watch - Combinatorics - Counting Principles")</f>
        <v>Watch - Combinatorics - Counting Principles</v>
      </c>
    </row>
    <row r="30" spans="1:10" ht="20" customHeight="1" x14ac:dyDescent="0.15">
      <c r="A30" s="7"/>
      <c r="B30" s="7"/>
      <c r="C30" s="85"/>
      <c r="D30" s="7"/>
      <c r="E30" s="7"/>
      <c r="F30" s="7"/>
      <c r="G30" s="7"/>
      <c r="H30" s="12">
        <f t="shared" si="0"/>
        <v>0</v>
      </c>
      <c r="I30" s="7"/>
      <c r="J30" s="15" t="s">
        <v>121</v>
      </c>
    </row>
    <row r="31" spans="1:10" ht="20" customHeight="1" x14ac:dyDescent="0.15">
      <c r="A31" s="15" t="s">
        <v>122</v>
      </c>
      <c r="B31" s="16" t="str">
        <f>HYPERLINK("http://codeforces.com/problemset/problem/441/A","CF441-D2-A")</f>
        <v>CF441-D2-A</v>
      </c>
      <c r="C31" s="85"/>
      <c r="D31" s="7"/>
      <c r="E31" s="7"/>
      <c r="F31" s="7"/>
      <c r="G31" s="7"/>
      <c r="H31" s="12">
        <f t="shared" si="0"/>
        <v>0</v>
      </c>
      <c r="I31" s="7"/>
      <c r="J31" s="7"/>
    </row>
    <row r="32" spans="1:10" ht="20" customHeight="1" x14ac:dyDescent="0.15">
      <c r="A32" s="15" t="s">
        <v>125</v>
      </c>
      <c r="B32" s="16" t="str">
        <f>HYPERLINK("http://codeforces.com/problemset/problem/385/A","CF385-D2-A")</f>
        <v>CF385-D2-A</v>
      </c>
      <c r="C32" s="85"/>
      <c r="D32" s="7"/>
      <c r="E32" s="7"/>
      <c r="F32" s="7"/>
      <c r="G32" s="7"/>
      <c r="H32" s="12">
        <f t="shared" si="0"/>
        <v>0</v>
      </c>
      <c r="I32" s="7"/>
      <c r="J32" s="7"/>
    </row>
    <row r="33" spans="1:10" ht="20" customHeight="1" x14ac:dyDescent="0.15">
      <c r="A33" s="15" t="s">
        <v>127</v>
      </c>
      <c r="B33" s="16" t="str">
        <f>HYPERLINK("http://codeforces.com/problemset/problem/378/A","CF378-D2-A")</f>
        <v>CF378-D2-A</v>
      </c>
      <c r="C33" s="85"/>
      <c r="D33" s="7"/>
      <c r="E33" s="7"/>
      <c r="F33" s="7"/>
      <c r="G33" s="7"/>
      <c r="H33" s="12">
        <f t="shared" si="0"/>
        <v>0</v>
      </c>
      <c r="I33" s="7"/>
      <c r="J33" s="7"/>
    </row>
    <row r="34" spans="1:10" ht="20" customHeight="1" x14ac:dyDescent="0.15">
      <c r="A34" s="15" t="s">
        <v>129</v>
      </c>
      <c r="B34" s="16" t="str">
        <f>HYPERLINK("http://codeforces.com/problemset/problem/255/A","CF255-D2-A")</f>
        <v>CF255-D2-A</v>
      </c>
      <c r="C34" s="85"/>
      <c r="D34" s="7"/>
      <c r="E34" s="7"/>
      <c r="F34" s="7"/>
      <c r="G34" s="7"/>
      <c r="H34" s="12">
        <f t="shared" si="0"/>
        <v>0</v>
      </c>
      <c r="I34" s="7"/>
      <c r="J34" s="7"/>
    </row>
    <row r="35" spans="1:10" ht="20" customHeight="1" x14ac:dyDescent="0.15">
      <c r="A35" s="15" t="s">
        <v>132</v>
      </c>
      <c r="B35" s="16" t="str">
        <f>HYPERLINK("http://codeforces.com/problemset/problem/404/A","CF404-D2-A")</f>
        <v>CF404-D2-A</v>
      </c>
      <c r="C35" s="85"/>
      <c r="D35" s="7"/>
      <c r="E35" s="7"/>
      <c r="F35" s="7"/>
      <c r="G35" s="7"/>
      <c r="H35" s="12">
        <f t="shared" si="0"/>
        <v>0</v>
      </c>
      <c r="I35" s="7"/>
      <c r="J35" s="7"/>
    </row>
    <row r="36" spans="1:10" ht="20" customHeight="1" x14ac:dyDescent="0.15">
      <c r="A36" s="15" t="s">
        <v>135</v>
      </c>
      <c r="B36" s="16" t="str">
        <f>HYPERLINK("http://codeforces.com/problemset/problem/499/A","CF499-D2-A")</f>
        <v>CF499-D2-A</v>
      </c>
      <c r="C36" s="85"/>
      <c r="D36" s="7"/>
      <c r="E36" s="7"/>
      <c r="F36" s="7"/>
      <c r="G36" s="7"/>
      <c r="H36" s="12">
        <f t="shared" si="0"/>
        <v>0</v>
      </c>
      <c r="I36" s="7"/>
      <c r="J36" s="5"/>
    </row>
    <row r="37" spans="1:10" ht="20" customHeight="1" x14ac:dyDescent="0.15">
      <c r="A37" s="15" t="s">
        <v>137</v>
      </c>
      <c r="B37" s="16" t="str">
        <f>HYPERLINK("http://codeforces.com/problemset/problem/262/A","CF262-D2-A")</f>
        <v>CF262-D2-A</v>
      </c>
      <c r="C37" s="85"/>
      <c r="D37" s="7"/>
      <c r="E37" s="7"/>
      <c r="F37" s="7"/>
      <c r="G37" s="7"/>
      <c r="H37" s="12">
        <f t="shared" si="0"/>
        <v>0</v>
      </c>
      <c r="I37" s="7"/>
      <c r="J37" s="7"/>
    </row>
    <row r="38" spans="1:10" ht="20" customHeight="1" x14ac:dyDescent="0.15">
      <c r="A38" s="15" t="s">
        <v>140</v>
      </c>
      <c r="B38" s="16" t="str">
        <f>HYPERLINK("http://codeforces.com/problemset/problem/189/A","CF189-D2-A")</f>
        <v>CF189-D2-A</v>
      </c>
      <c r="C38" s="85"/>
      <c r="D38" s="7"/>
      <c r="E38" s="7"/>
      <c r="F38" s="7"/>
      <c r="G38" s="7"/>
      <c r="H38" s="12">
        <f t="shared" si="0"/>
        <v>0</v>
      </c>
      <c r="I38" s="7"/>
      <c r="J38" s="7"/>
    </row>
    <row r="39" spans="1:10" ht="20" customHeight="1" x14ac:dyDescent="0.15">
      <c r="A39" s="15" t="s">
        <v>144</v>
      </c>
      <c r="B39" s="16" t="str">
        <f>HYPERLINK("http://codeforces.com/problemset/problem/152/A","CF152-D2-A")</f>
        <v>CF152-D2-A</v>
      </c>
      <c r="C39" s="85"/>
      <c r="D39" s="7"/>
      <c r="E39" s="7"/>
      <c r="F39" s="7"/>
      <c r="G39" s="7"/>
      <c r="H39" s="12">
        <f t="shared" si="0"/>
        <v>0</v>
      </c>
      <c r="I39" s="7"/>
      <c r="J39" s="7"/>
    </row>
    <row r="40" spans="1:10" ht="20" customHeight="1" x14ac:dyDescent="0.15">
      <c r="A40" s="15" t="s">
        <v>148</v>
      </c>
      <c r="B40" s="16" t="str">
        <f>HYPERLINK("http://codeforces.com/problemset/problem/376/A","CF376-D2-A")</f>
        <v>CF376-D2-A</v>
      </c>
      <c r="C40" s="85"/>
      <c r="D40" s="7"/>
      <c r="E40" s="7"/>
      <c r="F40" s="7"/>
      <c r="G40" s="7"/>
      <c r="H40" s="12">
        <f t="shared" si="0"/>
        <v>0</v>
      </c>
      <c r="I40" s="7"/>
      <c r="J40" s="7"/>
    </row>
    <row r="41" spans="1:10" ht="20" customHeight="1" x14ac:dyDescent="0.15">
      <c r="A41" s="7"/>
      <c r="B41" s="7"/>
      <c r="C41" s="85"/>
      <c r="D41" s="7"/>
      <c r="E41" s="7"/>
      <c r="F41" s="7"/>
      <c r="G41" s="7"/>
      <c r="H41" s="12">
        <f t="shared" si="0"/>
        <v>0</v>
      </c>
      <c r="I41" s="7"/>
      <c r="J41" s="14" t="str">
        <f>HYPERLINK("https://www.youtube.com/watch?v=9wvqNeX_JnI","Watch - Combinatorics - Permutations and Combinations - 1")</f>
        <v>Watch - Combinatorics - Permutations and Combinations - 1</v>
      </c>
    </row>
    <row r="42" spans="1:10" ht="20" customHeight="1" x14ac:dyDescent="0.15">
      <c r="A42" s="7"/>
      <c r="B42" s="7"/>
      <c r="C42" s="85"/>
      <c r="D42" s="7"/>
      <c r="E42" s="7"/>
      <c r="F42" s="7"/>
      <c r="G42" s="7"/>
      <c r="H42" s="12">
        <f t="shared" si="0"/>
        <v>0</v>
      </c>
      <c r="I42" s="7"/>
      <c r="J42" s="16" t="str">
        <f>HYPERLINK("https://www.youtube.com/watch?v=8V_xhaPpjmM","Watch - Combinatorics - Permutations and Combinations - 2")</f>
        <v>Watch - Combinatorics - Permutations and Combinations - 2</v>
      </c>
    </row>
    <row r="43" spans="1:10" ht="20" customHeight="1" x14ac:dyDescent="0.15">
      <c r="A43" s="15" t="s">
        <v>152</v>
      </c>
      <c r="B43" s="16" t="str">
        <f>HYPERLINK("http://codeforces.com/problemset/problem/353/A","CF353-D2-A")</f>
        <v>CF353-D2-A</v>
      </c>
      <c r="C43" s="85"/>
      <c r="D43" s="7"/>
      <c r="E43" s="7"/>
      <c r="F43" s="7"/>
      <c r="G43" s="7"/>
      <c r="H43" s="12">
        <f t="shared" si="0"/>
        <v>0</v>
      </c>
      <c r="I43" s="7"/>
      <c r="J43" s="7"/>
    </row>
    <row r="44" spans="1:10" ht="20" customHeight="1" x14ac:dyDescent="0.15">
      <c r="A44" s="15" t="s">
        <v>153</v>
      </c>
      <c r="B44" s="16" t="str">
        <f>HYPERLINK("http://codeforces.com/problemset/problem/300/A","CF300-D2-A")</f>
        <v>CF300-D2-A</v>
      </c>
      <c r="C44" s="85"/>
      <c r="D44" s="7"/>
      <c r="E44" s="7"/>
      <c r="F44" s="7"/>
      <c r="G44" s="7"/>
      <c r="H44" s="12">
        <f t="shared" si="0"/>
        <v>0</v>
      </c>
      <c r="I44" s="7"/>
      <c r="J44" s="7"/>
    </row>
    <row r="45" spans="1:10" ht="20" customHeight="1" x14ac:dyDescent="0.15">
      <c r="A45" s="15" t="s">
        <v>154</v>
      </c>
      <c r="B45" s="16" t="str">
        <f>HYPERLINK("http://codeforces.com/problemset/problem/488/A","CF488-D2-A")</f>
        <v>CF488-D2-A</v>
      </c>
      <c r="C45" s="85"/>
      <c r="D45" s="7"/>
      <c r="E45" s="7"/>
      <c r="F45" s="7"/>
      <c r="G45" s="7"/>
      <c r="H45" s="12">
        <f t="shared" si="0"/>
        <v>0</v>
      </c>
      <c r="I45" s="7"/>
      <c r="J45" s="7"/>
    </row>
    <row r="46" spans="1:10" ht="20" customHeight="1" x14ac:dyDescent="0.15">
      <c r="A46" s="15" t="s">
        <v>155</v>
      </c>
      <c r="B46" s="16" t="str">
        <f>HYPERLINK("http://codeforces.com/problemset/problem/445/A","CF445-D2-A")</f>
        <v>CF445-D2-A</v>
      </c>
      <c r="C46" s="85"/>
      <c r="D46" s="7"/>
      <c r="E46" s="7"/>
      <c r="F46" s="7"/>
      <c r="G46" s="7"/>
      <c r="H46" s="12">
        <f t="shared" si="0"/>
        <v>0</v>
      </c>
      <c r="I46" s="7"/>
      <c r="J46" s="7"/>
    </row>
    <row r="47" spans="1:10" ht="20" customHeight="1" x14ac:dyDescent="0.15">
      <c r="A47" s="15" t="s">
        <v>156</v>
      </c>
      <c r="B47" s="16" t="str">
        <f>HYPERLINK("http://codeforces.com/problemset/problem/75/A","CF75-D2-A")</f>
        <v>CF75-D2-A</v>
      </c>
      <c r="C47" s="85"/>
      <c r="D47" s="7"/>
      <c r="E47" s="7"/>
      <c r="F47" s="7"/>
      <c r="G47" s="7"/>
      <c r="H47" s="12">
        <f t="shared" si="0"/>
        <v>0</v>
      </c>
      <c r="I47" s="7"/>
      <c r="J47" s="5"/>
    </row>
    <row r="48" spans="1:10" ht="20" customHeight="1" x14ac:dyDescent="0.15">
      <c r="A48" s="15" t="s">
        <v>157</v>
      </c>
      <c r="B48" s="16" t="str">
        <f>HYPERLINK("http://codeforces.com/problemset/problem/373/A","CF373-D2-A")</f>
        <v>CF373-D2-A</v>
      </c>
      <c r="C48" s="85"/>
      <c r="D48" s="7"/>
      <c r="E48" s="7"/>
      <c r="F48" s="7"/>
      <c r="G48" s="7"/>
      <c r="H48" s="12">
        <f t="shared" si="0"/>
        <v>0</v>
      </c>
      <c r="I48" s="7"/>
      <c r="J48" s="7"/>
    </row>
    <row r="49" spans="1:10" ht="20" customHeight="1" x14ac:dyDescent="0.15">
      <c r="A49" s="15" t="s">
        <v>159</v>
      </c>
      <c r="B49" s="16" t="str">
        <f>HYPERLINK("http://codeforces.com/problemset/problem/355/A","CF355-D2-A")</f>
        <v>CF355-D2-A</v>
      </c>
      <c r="C49" s="85"/>
      <c r="D49" s="7"/>
      <c r="E49" s="7"/>
      <c r="F49" s="7"/>
      <c r="G49" s="7"/>
      <c r="H49" s="12">
        <f t="shared" si="0"/>
        <v>0</v>
      </c>
      <c r="I49" s="7"/>
      <c r="J49" s="7"/>
    </row>
    <row r="50" spans="1:10" ht="20" customHeight="1" x14ac:dyDescent="0.15">
      <c r="A50" s="15" t="s">
        <v>160</v>
      </c>
      <c r="B50" s="16" t="str">
        <f>HYPERLINK("http://codeforces.com/problemset/problem/437/A","CF437-D2-A")</f>
        <v>CF437-D2-A</v>
      </c>
      <c r="C50" s="85"/>
      <c r="D50" s="7"/>
      <c r="E50" s="7"/>
      <c r="F50" s="7"/>
      <c r="G50" s="7"/>
      <c r="H50" s="12">
        <f t="shared" si="0"/>
        <v>0</v>
      </c>
      <c r="I50" s="7"/>
      <c r="J50" s="7"/>
    </row>
    <row r="51" spans="1:10" ht="20" customHeight="1" x14ac:dyDescent="0.15">
      <c r="A51" s="15" t="s">
        <v>162</v>
      </c>
      <c r="B51" s="16" t="str">
        <f>HYPERLINK("http://codeforces.com/problemset/problem/408/A","CF408-D2-A")</f>
        <v>CF408-D2-A</v>
      </c>
      <c r="C51" s="85"/>
      <c r="D51" s="7"/>
      <c r="E51" s="7"/>
      <c r="F51" s="7"/>
      <c r="G51" s="7"/>
      <c r="H51" s="12">
        <f t="shared" si="0"/>
        <v>0</v>
      </c>
      <c r="I51" s="7"/>
      <c r="J51" s="7"/>
    </row>
    <row r="52" spans="1:10" ht="20" customHeight="1" x14ac:dyDescent="0.15">
      <c r="A52" s="15" t="s">
        <v>164</v>
      </c>
      <c r="B52" s="16" t="str">
        <f>HYPERLINK("http://codeforces.com/problemset/problem/359/A","CF359-D2-A")</f>
        <v>CF359-D2-A</v>
      </c>
      <c r="C52" s="85"/>
      <c r="D52" s="7"/>
      <c r="E52" s="7"/>
      <c r="F52" s="7"/>
      <c r="G52" s="7"/>
      <c r="H52" s="12">
        <f t="shared" si="0"/>
        <v>0</v>
      </c>
      <c r="I52" s="7"/>
      <c r="J52" s="7"/>
    </row>
    <row r="53" spans="1:10" ht="20" customHeight="1" x14ac:dyDescent="0.15">
      <c r="A53" s="7"/>
      <c r="B53" s="7"/>
      <c r="C53" s="85"/>
      <c r="D53" s="7"/>
      <c r="E53" s="7"/>
      <c r="F53" s="7"/>
      <c r="G53" s="7"/>
      <c r="H53" s="12">
        <f t="shared" si="0"/>
        <v>0</v>
      </c>
      <c r="I53" s="7"/>
      <c r="J53" s="14" t="str">
        <f>HYPERLINK("https://www.youtube.com/watch?v=VZBfW08ECgA","Watch - Number Theory - Primes")</f>
        <v>Watch - Number Theory - Primes</v>
      </c>
    </row>
    <row r="54" spans="1:10" ht="20" customHeight="1" x14ac:dyDescent="0.15">
      <c r="A54" s="7"/>
      <c r="B54" s="7"/>
      <c r="C54" s="85"/>
      <c r="D54" s="7"/>
      <c r="E54" s="7"/>
      <c r="F54" s="7"/>
      <c r="G54" s="7"/>
      <c r="H54" s="12">
        <f t="shared" si="0"/>
        <v>0</v>
      </c>
      <c r="I54" s="7"/>
      <c r="J54" s="14" t="str">
        <f>HYPERLINK("https://www.youtube.com/watch?v=-5ApOQDhBtU","Watch - Number Theory - Factorization")</f>
        <v>Watch - Number Theory - Factorization</v>
      </c>
    </row>
    <row r="55" spans="1:10" ht="20" customHeight="1" x14ac:dyDescent="0.15">
      <c r="A55" s="15" t="s">
        <v>168</v>
      </c>
      <c r="B55" s="16" t="str">
        <f>HYPERLINK("http://codeforces.com/problemset/problem/358/A","CF358-D2-A")</f>
        <v>CF358-D2-A</v>
      </c>
      <c r="C55" s="85"/>
      <c r="D55" s="7"/>
      <c r="E55" s="7"/>
      <c r="F55" s="7"/>
      <c r="G55" s="7"/>
      <c r="H55" s="12">
        <f t="shared" si="0"/>
        <v>0</v>
      </c>
      <c r="I55" s="7"/>
      <c r="J55" s="7"/>
    </row>
    <row r="56" spans="1:10" ht="20" customHeight="1" x14ac:dyDescent="0.15">
      <c r="A56" s="15" t="s">
        <v>170</v>
      </c>
      <c r="B56" s="16" t="str">
        <f>HYPERLINK("http://codeforces.com/problemset/problem/143/A","CF143-D2-A")</f>
        <v>CF143-D2-A</v>
      </c>
      <c r="C56" s="85"/>
      <c r="D56" s="7"/>
      <c r="E56" s="7"/>
      <c r="F56" s="7"/>
      <c r="G56" s="7"/>
      <c r="H56" s="12">
        <f t="shared" si="0"/>
        <v>0</v>
      </c>
      <c r="I56" s="7"/>
      <c r="J56" s="7"/>
    </row>
    <row r="57" spans="1:10" ht="20" customHeight="1" x14ac:dyDescent="0.15">
      <c r="A57" s="15" t="s">
        <v>172</v>
      </c>
      <c r="B57" s="16" t="str">
        <f>HYPERLINK("http://codeforces.com/problemset/problem/108/A","CF108-D2-A")</f>
        <v>CF108-D2-A</v>
      </c>
      <c r="C57" s="85"/>
      <c r="D57" s="7"/>
      <c r="E57" s="7"/>
      <c r="F57" s="7"/>
      <c r="G57" s="7"/>
      <c r="H57" s="12">
        <f t="shared" si="0"/>
        <v>0</v>
      </c>
      <c r="I57" s="7"/>
      <c r="J57" s="5"/>
    </row>
    <row r="58" spans="1:10" ht="20" customHeight="1" x14ac:dyDescent="0.15">
      <c r="A58" s="15" t="s">
        <v>174</v>
      </c>
      <c r="B58" s="16" t="str">
        <f>HYPERLINK("http://codeforces.com/problemset/problem/194/A","CF194-D2-A")</f>
        <v>CF194-D2-A</v>
      </c>
      <c r="C58" s="85"/>
      <c r="D58" s="7"/>
      <c r="E58" s="7"/>
      <c r="F58" s="7"/>
      <c r="G58" s="7"/>
      <c r="H58" s="12">
        <f t="shared" si="0"/>
        <v>0</v>
      </c>
      <c r="I58" s="7"/>
      <c r="J58" s="7"/>
    </row>
    <row r="59" spans="1:10" ht="20" customHeight="1" x14ac:dyDescent="0.15">
      <c r="A59" s="15" t="s">
        <v>176</v>
      </c>
      <c r="B59" s="16" t="str">
        <f>HYPERLINK("http://codeforces.com/problemset/problem/257/A","CF257-D2-A")</f>
        <v>CF257-D2-A</v>
      </c>
      <c r="C59" s="85"/>
      <c r="D59" s="5"/>
      <c r="E59" s="5"/>
      <c r="F59" s="5"/>
      <c r="G59" s="5"/>
      <c r="H59" s="12">
        <f t="shared" si="0"/>
        <v>0</v>
      </c>
      <c r="I59" s="5"/>
      <c r="J59" s="5"/>
    </row>
    <row r="60" spans="1:10" ht="20" customHeight="1" x14ac:dyDescent="0.15">
      <c r="A60" s="15" t="s">
        <v>177</v>
      </c>
      <c r="B60" s="16" t="str">
        <f>HYPERLINK("http://codeforces.com/problemset/problem/279/A","CF279-D2-A")</f>
        <v>CF279-D2-A</v>
      </c>
      <c r="C60" s="85"/>
      <c r="D60" s="7"/>
      <c r="E60" s="7"/>
      <c r="F60" s="7"/>
      <c r="G60" s="7"/>
      <c r="H60" s="12">
        <f t="shared" si="0"/>
        <v>0</v>
      </c>
      <c r="I60" s="7"/>
      <c r="J60" s="7"/>
    </row>
    <row r="61" spans="1:10" ht="20" customHeight="1" x14ac:dyDescent="0.15">
      <c r="A61" s="15" t="s">
        <v>178</v>
      </c>
      <c r="B61" s="16" t="str">
        <f>HYPERLINK("http://codeforces.com/problemset/problem/370/A","CF370-D2-A")</f>
        <v>CF370-D2-A</v>
      </c>
      <c r="C61" s="85"/>
      <c r="D61" s="7"/>
      <c r="E61" s="7"/>
      <c r="F61" s="7"/>
      <c r="G61" s="7"/>
      <c r="H61" s="12">
        <f t="shared" si="0"/>
        <v>0</v>
      </c>
      <c r="I61" s="7"/>
      <c r="J61" s="7"/>
    </row>
    <row r="62" spans="1:10" ht="20" customHeight="1" x14ac:dyDescent="0.15">
      <c r="A62" s="15" t="s">
        <v>179</v>
      </c>
      <c r="B62" s="16" t="str">
        <f>HYPERLINK("http://codeforces.com/problemset/problem/284/A","CF284-D2-A")</f>
        <v>CF284-D2-A</v>
      </c>
      <c r="C62" s="85"/>
      <c r="D62" s="7"/>
      <c r="E62" s="7"/>
      <c r="F62" s="7"/>
      <c r="G62" s="7"/>
      <c r="H62" s="12">
        <f t="shared" si="0"/>
        <v>0</v>
      </c>
      <c r="I62" s="7"/>
      <c r="J62" s="7"/>
    </row>
    <row r="63" spans="1:10" ht="20" customHeight="1" x14ac:dyDescent="0.15">
      <c r="A63" s="15" t="s">
        <v>181</v>
      </c>
      <c r="B63" s="16" t="str">
        <f>HYPERLINK("http://codeforces.com/problemset/problem/56/A","CF56-D2-A")</f>
        <v>CF56-D2-A</v>
      </c>
      <c r="C63" s="85"/>
      <c r="D63" s="7"/>
      <c r="E63" s="7"/>
      <c r="F63" s="7"/>
      <c r="G63" s="7"/>
      <c r="H63" s="12">
        <f t="shared" si="0"/>
        <v>0</v>
      </c>
      <c r="I63" s="7"/>
      <c r="J63" s="7"/>
    </row>
    <row r="64" spans="1:10" ht="20" customHeight="1" x14ac:dyDescent="0.15">
      <c r="A64" s="15" t="s">
        <v>183</v>
      </c>
      <c r="B64" s="16" t="str">
        <f>HYPERLINK("http://codeforces.com/problemset/problem/31/A","CF31-D2-A")</f>
        <v>CF31-D2-A</v>
      </c>
      <c r="C64" s="85"/>
      <c r="D64" s="7"/>
      <c r="E64" s="7"/>
      <c r="F64" s="7"/>
      <c r="G64" s="7"/>
      <c r="H64" s="12">
        <f t="shared" si="0"/>
        <v>0</v>
      </c>
      <c r="I64" s="7"/>
      <c r="J64" s="7"/>
    </row>
    <row r="65" spans="1:10" ht="20" customHeight="1" x14ac:dyDescent="0.15">
      <c r="A65" s="7"/>
      <c r="B65" s="7"/>
      <c r="C65" s="85"/>
      <c r="D65" s="7"/>
      <c r="E65" s="7"/>
      <c r="F65" s="7"/>
      <c r="G65" s="7"/>
      <c r="H65" s="12">
        <f t="shared" si="0"/>
        <v>0</v>
      </c>
      <c r="I65" s="7"/>
      <c r="J65" s="23" t="s">
        <v>185</v>
      </c>
    </row>
    <row r="66" spans="1:10" ht="20" customHeight="1" x14ac:dyDescent="0.15">
      <c r="A66" s="24"/>
      <c r="B66" s="24"/>
      <c r="C66" s="86"/>
      <c r="D66" s="24"/>
      <c r="E66" s="24"/>
      <c r="F66" s="24"/>
      <c r="G66" s="24"/>
      <c r="H66" s="26">
        <f t="shared" si="0"/>
        <v>0</v>
      </c>
      <c r="I66" s="24"/>
      <c r="J66" s="24"/>
    </row>
    <row r="67" spans="1:10" ht="20" customHeight="1" x14ac:dyDescent="0.15">
      <c r="A67" s="7"/>
      <c r="B67" s="7"/>
      <c r="C67" s="85"/>
      <c r="D67" s="96" t="s">
        <v>187</v>
      </c>
      <c r="E67" s="97"/>
      <c r="F67" s="97"/>
      <c r="G67" s="97"/>
      <c r="H67" s="12">
        <f t="shared" si="0"/>
        <v>0</v>
      </c>
      <c r="I67" s="98" t="s">
        <v>189</v>
      </c>
      <c r="J67" s="97"/>
    </row>
    <row r="68" spans="1:10" ht="20" customHeight="1" x14ac:dyDescent="0.15">
      <c r="A68" s="24"/>
      <c r="B68" s="24"/>
      <c r="C68" s="86"/>
      <c r="D68" s="24"/>
      <c r="E68" s="24"/>
      <c r="F68" s="24"/>
      <c r="G68" s="24"/>
      <c r="H68" s="26">
        <f t="shared" si="0"/>
        <v>0</v>
      </c>
      <c r="I68" s="24"/>
      <c r="J68" s="24"/>
    </row>
    <row r="69" spans="1:10" ht="20" customHeight="1" x14ac:dyDescent="0.15">
      <c r="A69" s="15" t="s">
        <v>191</v>
      </c>
      <c r="B69" s="16" t="str">
        <f>HYPERLINK("http://codeforces.com/problemset/problem/1/A","CF1-D2-A")</f>
        <v>CF1-D2-A</v>
      </c>
      <c r="C69" s="85"/>
      <c r="D69" s="7"/>
      <c r="E69" s="7"/>
      <c r="F69" s="7"/>
      <c r="G69" s="7"/>
      <c r="H69" s="12">
        <f t="shared" si="0"/>
        <v>0</v>
      </c>
      <c r="I69" s="7"/>
      <c r="J69" s="7"/>
    </row>
    <row r="70" spans="1:10" ht="20" customHeight="1" x14ac:dyDescent="0.15">
      <c r="A70" s="15" t="s">
        <v>193</v>
      </c>
      <c r="B70" s="16" t="str">
        <f>HYPERLINK("http://codeforces.com/problemset/problem/158/A","CF158-D2-A")</f>
        <v>CF158-D2-A</v>
      </c>
      <c r="C70" s="85"/>
      <c r="D70" s="7"/>
      <c r="E70" s="7"/>
      <c r="F70" s="7"/>
      <c r="G70" s="7"/>
      <c r="H70" s="12">
        <f t="shared" si="0"/>
        <v>0</v>
      </c>
      <c r="I70" s="7"/>
      <c r="J70" s="7"/>
    </row>
    <row r="71" spans="1:10" ht="20" customHeight="1" x14ac:dyDescent="0.15">
      <c r="A71" s="15" t="s">
        <v>194</v>
      </c>
      <c r="B71" s="16" t="str">
        <f>HYPERLINK("http://codeforces.com/problemset/problem/50/A","CF50-D2-A")</f>
        <v>CF50-D2-A</v>
      </c>
      <c r="C71" s="85"/>
      <c r="D71" s="7"/>
      <c r="E71" s="7"/>
      <c r="F71" s="7"/>
      <c r="G71" s="7"/>
      <c r="H71" s="12">
        <f t="shared" si="0"/>
        <v>0</v>
      </c>
      <c r="I71" s="7"/>
      <c r="J71" s="7"/>
    </row>
    <row r="72" spans="1:10" ht="20" customHeight="1" x14ac:dyDescent="0.15">
      <c r="A72" s="15" t="s">
        <v>195</v>
      </c>
      <c r="B72" s="16" t="str">
        <f>HYPERLINK("http://codeforces.com/problemset/problem/231/A","CF231-D2-A")</f>
        <v>CF231-D2-A</v>
      </c>
      <c r="C72" s="85"/>
      <c r="D72" s="7"/>
      <c r="E72" s="7"/>
      <c r="F72" s="7"/>
      <c r="G72" s="7"/>
      <c r="H72" s="12">
        <f t="shared" si="0"/>
        <v>0</v>
      </c>
      <c r="I72" s="7"/>
      <c r="J72" s="7"/>
    </row>
    <row r="73" spans="1:10" ht="20" customHeight="1" x14ac:dyDescent="0.15">
      <c r="A73" s="15" t="s">
        <v>197</v>
      </c>
      <c r="B73" s="16" t="str">
        <f>HYPERLINK("http://codeforces.com/problemset/problem/282/A","CF282-D2-A")</f>
        <v>CF282-D2-A</v>
      </c>
      <c r="C73" s="85"/>
      <c r="D73" s="7"/>
      <c r="E73" s="7"/>
      <c r="F73" s="7"/>
      <c r="G73" s="7"/>
      <c r="H73" s="12">
        <f t="shared" si="0"/>
        <v>0</v>
      </c>
      <c r="I73" s="7"/>
      <c r="J73" s="7"/>
    </row>
    <row r="74" spans="1:10" ht="20" customHeight="1" x14ac:dyDescent="0.15">
      <c r="A74" s="15" t="s">
        <v>199</v>
      </c>
      <c r="B74" s="16" t="str">
        <f>HYPERLINK("http://codeforces.com/problemset/problem/116/A","CF116-D2-A")</f>
        <v>CF116-D2-A</v>
      </c>
      <c r="C74" s="85"/>
      <c r="D74" s="7"/>
      <c r="E74" s="7"/>
      <c r="F74" s="7"/>
      <c r="G74" s="7"/>
      <c r="H74" s="12">
        <f t="shared" si="0"/>
        <v>0</v>
      </c>
      <c r="I74" s="7"/>
      <c r="J74" s="7"/>
    </row>
    <row r="75" spans="1:10" ht="20" customHeight="1" x14ac:dyDescent="0.15">
      <c r="A75" s="15" t="s">
        <v>200</v>
      </c>
      <c r="B75" s="16" t="str">
        <f>HYPERLINK("http://codeforces.com/problemset/problem/131/A","CF131-D2-A")</f>
        <v>CF131-D2-A</v>
      </c>
      <c r="C75" s="85"/>
      <c r="D75" s="7"/>
      <c r="E75" s="7"/>
      <c r="F75" s="7"/>
      <c r="G75" s="7"/>
      <c r="H75" s="12">
        <f t="shared" si="0"/>
        <v>0</v>
      </c>
      <c r="I75" s="7"/>
      <c r="J75" s="7"/>
    </row>
    <row r="76" spans="1:10" ht="20" customHeight="1" x14ac:dyDescent="0.15">
      <c r="A76" s="15" t="s">
        <v>202</v>
      </c>
      <c r="B76" s="16" t="str">
        <f>HYPERLINK("http://codeforces.com/problemset/problem/96/A","CF96-D2-A")</f>
        <v>CF96-D2-A</v>
      </c>
      <c r="C76" s="85"/>
      <c r="D76" s="7"/>
      <c r="E76" s="7"/>
      <c r="F76" s="7"/>
      <c r="G76" s="7"/>
      <c r="H76" s="12">
        <f t="shared" si="0"/>
        <v>0</v>
      </c>
      <c r="I76" s="7"/>
      <c r="J76" s="7"/>
    </row>
    <row r="77" spans="1:10" ht="20" customHeight="1" x14ac:dyDescent="0.15">
      <c r="A77" s="15" t="s">
        <v>203</v>
      </c>
      <c r="B77" s="16" t="str">
        <f>HYPERLINK("http://codeforces.com/problemset/problem/266/A","CF266-D2-A")</f>
        <v>CF266-D2-A</v>
      </c>
      <c r="C77" s="85"/>
      <c r="D77" s="7"/>
      <c r="E77" s="7"/>
      <c r="F77" s="7"/>
      <c r="G77" s="7"/>
      <c r="H77" s="12">
        <f t="shared" si="0"/>
        <v>0</v>
      </c>
      <c r="I77" s="7"/>
      <c r="J77" s="7"/>
    </row>
    <row r="78" spans="1:10" ht="20" customHeight="1" x14ac:dyDescent="0.15">
      <c r="A78" s="15" t="s">
        <v>204</v>
      </c>
      <c r="B78" s="16" t="str">
        <f>HYPERLINK("http://codeforces.com/problemset/problem/133/A","CF133-D2-A")</f>
        <v>CF133-D2-A</v>
      </c>
      <c r="C78" s="85"/>
      <c r="D78" s="7"/>
      <c r="E78" s="7"/>
      <c r="F78" s="7"/>
      <c r="G78" s="7"/>
      <c r="H78" s="12">
        <f t="shared" si="0"/>
        <v>0</v>
      </c>
      <c r="I78" s="7"/>
      <c r="J78" s="7"/>
    </row>
    <row r="79" spans="1:10" ht="20" customHeight="1" x14ac:dyDescent="0.15">
      <c r="A79" s="7"/>
      <c r="B79" s="7"/>
      <c r="C79" s="85"/>
      <c r="D79" s="7"/>
      <c r="E79" s="7"/>
      <c r="F79" s="7"/>
      <c r="G79" s="7"/>
      <c r="H79" s="12">
        <f t="shared" si="0"/>
        <v>0</v>
      </c>
      <c r="I79" s="7"/>
      <c r="J79" s="7"/>
    </row>
    <row r="80" spans="1:10" ht="20" customHeight="1" x14ac:dyDescent="0.15">
      <c r="A80" s="15" t="s">
        <v>205</v>
      </c>
      <c r="B80" s="16" t="str">
        <f>HYPERLINK("http://codeforces.com/problemset/problem/281/A","CF281-D2-A")</f>
        <v>CF281-D2-A</v>
      </c>
      <c r="C80" s="85"/>
      <c r="D80" s="7"/>
      <c r="E80" s="7"/>
      <c r="F80" s="7"/>
      <c r="G80" s="7"/>
      <c r="H80" s="12">
        <f t="shared" si="0"/>
        <v>0</v>
      </c>
      <c r="I80" s="7"/>
      <c r="J80" s="7"/>
    </row>
    <row r="81" spans="1:10" ht="20" customHeight="1" x14ac:dyDescent="0.15">
      <c r="A81" s="15" t="s">
        <v>207</v>
      </c>
      <c r="B81" s="16" t="str">
        <f>HYPERLINK("http://codeforces.com/problemset/problem/236/A","CF236-D2-A")</f>
        <v>CF236-D2-A</v>
      </c>
      <c r="C81" s="85"/>
      <c r="D81" s="7"/>
      <c r="E81" s="7"/>
      <c r="F81" s="7"/>
      <c r="G81" s="7"/>
      <c r="H81" s="12">
        <f t="shared" si="0"/>
        <v>0</v>
      </c>
      <c r="I81" s="7"/>
      <c r="J81" s="7"/>
    </row>
    <row r="82" spans="1:10" ht="20" customHeight="1" x14ac:dyDescent="0.15">
      <c r="A82" s="15" t="s">
        <v>209</v>
      </c>
      <c r="B82" s="16" t="str">
        <f>HYPERLINK("http://codeforces.com/problemset/problem/148/A","CF148-D2-A")</f>
        <v>CF148-D2-A</v>
      </c>
      <c r="C82" s="85"/>
      <c r="D82" s="7"/>
      <c r="E82" s="7"/>
      <c r="F82" s="7"/>
      <c r="G82" s="7"/>
      <c r="H82" s="12">
        <f t="shared" si="0"/>
        <v>0</v>
      </c>
      <c r="I82" s="7"/>
      <c r="J82" s="7"/>
    </row>
    <row r="83" spans="1:10" ht="20" customHeight="1" x14ac:dyDescent="0.15">
      <c r="A83" s="15" t="s">
        <v>211</v>
      </c>
      <c r="B83" s="16" t="str">
        <f>HYPERLINK("http://codeforces.com/problemset/problem/82/A","CF82-D2-A")</f>
        <v>CF82-D2-A</v>
      </c>
      <c r="C83" s="85"/>
      <c r="D83" s="7"/>
      <c r="E83" s="7"/>
      <c r="F83" s="7"/>
      <c r="G83" s="7"/>
      <c r="H83" s="12">
        <f t="shared" si="0"/>
        <v>0</v>
      </c>
      <c r="I83" s="7"/>
      <c r="J83" s="7"/>
    </row>
    <row r="84" spans="1:10" ht="20" customHeight="1" x14ac:dyDescent="0.15">
      <c r="A84" s="15" t="s">
        <v>213</v>
      </c>
      <c r="B84" s="16" t="str">
        <f>HYPERLINK("http://codeforces.com/problemset/problem/467/A","CF467-D2-A")</f>
        <v>CF467-D2-A</v>
      </c>
      <c r="C84" s="85"/>
      <c r="D84" s="7"/>
      <c r="E84" s="7"/>
      <c r="F84" s="7"/>
      <c r="G84" s="7"/>
      <c r="H84" s="12">
        <f t="shared" si="0"/>
        <v>0</v>
      </c>
      <c r="I84" s="7"/>
      <c r="J84" s="7"/>
    </row>
    <row r="85" spans="1:10" ht="20" customHeight="1" x14ac:dyDescent="0.15">
      <c r="A85" s="15" t="s">
        <v>215</v>
      </c>
      <c r="B85" s="16" t="str">
        <f>HYPERLINK("http://codeforces.com/problemset/problem/110/A","CF110-D2-A")</f>
        <v>CF110-D2-A</v>
      </c>
      <c r="C85" s="85"/>
      <c r="D85" s="7"/>
      <c r="E85" s="7"/>
      <c r="F85" s="7"/>
      <c r="G85" s="7"/>
      <c r="H85" s="12">
        <f t="shared" si="0"/>
        <v>0</v>
      </c>
      <c r="I85" s="7"/>
      <c r="J85" s="7"/>
    </row>
    <row r="86" spans="1:10" ht="20" customHeight="1" x14ac:dyDescent="0.15">
      <c r="A86" s="15" t="s">
        <v>216</v>
      </c>
      <c r="B86" s="16" t="str">
        <f>HYPERLINK("http://codeforces.com/problemset/problem/119/A","CF119-D2-A")</f>
        <v>CF119-D2-A</v>
      </c>
      <c r="C86" s="85"/>
      <c r="D86" s="7"/>
      <c r="E86" s="7"/>
      <c r="F86" s="7"/>
      <c r="G86" s="7"/>
      <c r="H86" s="12">
        <f t="shared" si="0"/>
        <v>0</v>
      </c>
      <c r="I86" s="7"/>
      <c r="J86" s="7"/>
    </row>
    <row r="87" spans="1:10" ht="20" customHeight="1" x14ac:dyDescent="0.15">
      <c r="A87" s="15" t="s">
        <v>218</v>
      </c>
      <c r="B87" s="16" t="str">
        <f>HYPERLINK("http://codeforces.com/problemset/problem/271/A","CF271-D2-A")</f>
        <v>CF271-D2-A</v>
      </c>
      <c r="C87" s="85"/>
      <c r="D87" s="7"/>
      <c r="E87" s="7"/>
      <c r="F87" s="7"/>
      <c r="G87" s="7"/>
      <c r="H87" s="12">
        <f t="shared" si="0"/>
        <v>0</v>
      </c>
      <c r="I87" s="7"/>
      <c r="J87" s="7"/>
    </row>
    <row r="88" spans="1:10" ht="20" customHeight="1" x14ac:dyDescent="0.15">
      <c r="A88" s="15" t="s">
        <v>220</v>
      </c>
      <c r="B88" s="16" t="str">
        <f>HYPERLINK("http://codeforces.com/problemset/problem/472/A","CF472-D2-A")</f>
        <v>CF472-D2-A</v>
      </c>
      <c r="C88" s="85"/>
      <c r="D88" s="7"/>
      <c r="E88" s="7"/>
      <c r="F88" s="7"/>
      <c r="G88" s="7"/>
      <c r="H88" s="12">
        <f t="shared" si="0"/>
        <v>0</v>
      </c>
      <c r="I88" s="7"/>
      <c r="J88" s="7"/>
    </row>
    <row r="89" spans="1:10" ht="20" customHeight="1" x14ac:dyDescent="0.15">
      <c r="A89" s="15" t="s">
        <v>222</v>
      </c>
      <c r="B89" s="16" t="str">
        <f>HYPERLINK("http://codeforces.com/problemset/problem/460/A","CF460-D2-A")</f>
        <v>CF460-D2-A</v>
      </c>
      <c r="C89" s="85"/>
      <c r="D89" s="7"/>
      <c r="E89" s="7"/>
      <c r="F89" s="7"/>
      <c r="G89" s="7"/>
      <c r="H89" s="12">
        <f t="shared" si="0"/>
        <v>0</v>
      </c>
      <c r="I89" s="7"/>
      <c r="J89" s="7"/>
    </row>
    <row r="90" spans="1:10" ht="20" customHeight="1" x14ac:dyDescent="0.15">
      <c r="A90" s="7"/>
      <c r="B90" s="7"/>
      <c r="C90" s="85"/>
      <c r="D90" s="7"/>
      <c r="E90" s="7"/>
      <c r="F90" s="7"/>
      <c r="G90" s="7"/>
      <c r="H90" s="12">
        <f t="shared" si="0"/>
        <v>0</v>
      </c>
      <c r="I90" s="7"/>
      <c r="J90" s="7"/>
    </row>
    <row r="91" spans="1:10" ht="20" customHeight="1" x14ac:dyDescent="0.15">
      <c r="A91" s="15" t="s">
        <v>224</v>
      </c>
      <c r="B91" s="16" t="str">
        <f>HYPERLINK("http://codeforces.com/problemset/problem/451/A","CF451-D2-A")</f>
        <v>CF451-D2-A</v>
      </c>
      <c r="C91" s="85"/>
      <c r="D91" s="7"/>
      <c r="E91" s="7"/>
      <c r="F91" s="7"/>
      <c r="G91" s="7"/>
      <c r="H91" s="12">
        <f t="shared" si="0"/>
        <v>0</v>
      </c>
      <c r="I91" s="7"/>
      <c r="J91" s="7"/>
    </row>
    <row r="92" spans="1:10" ht="20" customHeight="1" x14ac:dyDescent="0.15">
      <c r="A92" s="15" t="s">
        <v>226</v>
      </c>
      <c r="B92" s="16" t="str">
        <f>HYPERLINK("http://codeforces.com/problemset/problem/208/A","CF208-D2-A")</f>
        <v>CF208-D2-A</v>
      </c>
      <c r="C92" s="85"/>
      <c r="D92" s="7"/>
      <c r="E92" s="7"/>
      <c r="F92" s="7"/>
      <c r="G92" s="7"/>
      <c r="H92" s="12">
        <f t="shared" si="0"/>
        <v>0</v>
      </c>
      <c r="I92" s="7"/>
      <c r="J92" s="7"/>
    </row>
    <row r="93" spans="1:10" ht="20" customHeight="1" x14ac:dyDescent="0.15">
      <c r="A93" s="15" t="s">
        <v>227</v>
      </c>
      <c r="B93" s="16" t="str">
        <f>HYPERLINK("http://codeforces.com/problemset/problem/337/A","CF337-D2-A")</f>
        <v>CF337-D2-A</v>
      </c>
      <c r="C93" s="85"/>
      <c r="D93" s="7"/>
      <c r="E93" s="7"/>
      <c r="F93" s="7"/>
      <c r="G93" s="7"/>
      <c r="H93" s="12">
        <f t="shared" si="0"/>
        <v>0</v>
      </c>
      <c r="I93" s="7"/>
      <c r="J93" s="7"/>
    </row>
    <row r="94" spans="1:10" ht="20" customHeight="1" x14ac:dyDescent="0.15">
      <c r="A94" s="15" t="s">
        <v>228</v>
      </c>
      <c r="B94" s="16" t="str">
        <f>HYPERLINK("http://codeforces.com/problemset/problem/443/A","CF443-D2-A")</f>
        <v>CF443-D2-A</v>
      </c>
      <c r="C94" s="85"/>
      <c r="D94" s="7"/>
      <c r="E94" s="7"/>
      <c r="F94" s="7"/>
      <c r="G94" s="7"/>
      <c r="H94" s="12">
        <f t="shared" si="0"/>
        <v>0</v>
      </c>
      <c r="I94" s="7"/>
      <c r="J94" s="7"/>
    </row>
    <row r="95" spans="1:10" ht="20" customHeight="1" x14ac:dyDescent="0.15">
      <c r="A95" s="15" t="s">
        <v>229</v>
      </c>
      <c r="B95" s="16" t="str">
        <f>HYPERLINK("http://codeforces.com/problemset/problem/318/A","CF318-D2-A")</f>
        <v>CF318-D2-A</v>
      </c>
      <c r="C95" s="85"/>
      <c r="D95" s="7"/>
      <c r="E95" s="7"/>
      <c r="F95" s="7"/>
      <c r="G95" s="7"/>
      <c r="H95" s="12">
        <f t="shared" si="0"/>
        <v>0</v>
      </c>
      <c r="I95" s="7"/>
      <c r="J95" s="7"/>
    </row>
    <row r="96" spans="1:10" ht="20" customHeight="1" x14ac:dyDescent="0.15">
      <c r="A96" s="15" t="s">
        <v>231</v>
      </c>
      <c r="B96" s="16" t="str">
        <f>HYPERLINK("http://codeforces.com/problemset/problem/466/A","CF466-D2-A")</f>
        <v>CF466-D2-A</v>
      </c>
      <c r="C96" s="85"/>
      <c r="D96" s="7"/>
      <c r="E96" s="7"/>
      <c r="F96" s="7"/>
      <c r="G96" s="7"/>
      <c r="H96" s="12">
        <f t="shared" si="0"/>
        <v>0</v>
      </c>
      <c r="I96" s="7"/>
      <c r="J96" s="7"/>
    </row>
    <row r="97" spans="1:10" ht="20" customHeight="1" x14ac:dyDescent="0.15">
      <c r="A97" s="15" t="s">
        <v>233</v>
      </c>
      <c r="B97" s="16" t="str">
        <f>HYPERLINK("http://codeforces.com/problemset/problem/459/A","CF459-D2-A")</f>
        <v>CF459-D2-A</v>
      </c>
      <c r="C97" s="85"/>
      <c r="D97" s="7"/>
      <c r="E97" s="7"/>
      <c r="F97" s="7"/>
      <c r="G97" s="7"/>
      <c r="H97" s="12">
        <f t="shared" si="0"/>
        <v>0</v>
      </c>
      <c r="I97" s="7"/>
      <c r="J97" s="7"/>
    </row>
    <row r="98" spans="1:10" ht="20" customHeight="1" x14ac:dyDescent="0.15">
      <c r="A98" s="15" t="s">
        <v>235</v>
      </c>
      <c r="B98" s="16" t="str">
        <f>HYPERLINK("http://codeforces.com/problemset/problem/476/A","CF476-D2-A")</f>
        <v>CF476-D2-A</v>
      </c>
      <c r="C98" s="85"/>
      <c r="D98" s="7"/>
      <c r="E98" s="7"/>
      <c r="F98" s="7"/>
      <c r="G98" s="7"/>
      <c r="H98" s="12">
        <f t="shared" si="0"/>
        <v>0</v>
      </c>
      <c r="I98" s="7"/>
      <c r="J98" s="7"/>
    </row>
    <row r="99" spans="1:10" ht="20" customHeight="1" x14ac:dyDescent="0.15">
      <c r="A99" s="15" t="s">
        <v>237</v>
      </c>
      <c r="B99" s="16" t="str">
        <f>HYPERLINK("http://codeforces.com/problemset/problem/439/A","CF439-D2-A")</f>
        <v>CF439-D2-A</v>
      </c>
      <c r="C99" s="85"/>
      <c r="D99" s="7"/>
      <c r="E99" s="7"/>
      <c r="F99" s="7"/>
      <c r="G99" s="7"/>
      <c r="H99" s="12">
        <f t="shared" si="0"/>
        <v>0</v>
      </c>
      <c r="I99" s="7"/>
      <c r="J99" s="7"/>
    </row>
    <row r="100" spans="1:10" ht="20" customHeight="1" x14ac:dyDescent="0.15">
      <c r="A100" s="15" t="s">
        <v>239</v>
      </c>
      <c r="B100" s="16" t="str">
        <f>HYPERLINK("http://codeforces.com/problemset/problem/25/A","CF25-D2-A")</f>
        <v>CF25-D2-A</v>
      </c>
      <c r="C100" s="85"/>
      <c r="D100" s="7"/>
      <c r="E100" s="7"/>
      <c r="F100" s="7"/>
      <c r="G100" s="7"/>
      <c r="H100" s="12">
        <f t="shared" si="0"/>
        <v>0</v>
      </c>
      <c r="I100" s="7"/>
      <c r="J100" s="7"/>
    </row>
    <row r="101" spans="1:10" ht="20" customHeight="1" x14ac:dyDescent="0.15">
      <c r="A101" s="7"/>
      <c r="B101" s="7"/>
      <c r="C101" s="85"/>
      <c r="D101" s="7"/>
      <c r="E101" s="7"/>
      <c r="F101" s="7"/>
      <c r="G101" s="7"/>
      <c r="H101" s="12">
        <f t="shared" si="0"/>
        <v>0</v>
      </c>
      <c r="I101" s="7"/>
      <c r="J101" s="7"/>
    </row>
    <row r="102" spans="1:10" ht="20" customHeight="1" x14ac:dyDescent="0.15">
      <c r="A102" s="15" t="s">
        <v>241</v>
      </c>
      <c r="B102" s="16" t="str">
        <f>HYPERLINK("http://codeforces.com/problemset/problem/330/A","CF330-D2-A")</f>
        <v>CF330-D2-A</v>
      </c>
      <c r="C102" s="85"/>
      <c r="D102" s="7"/>
      <c r="E102" s="7"/>
      <c r="F102" s="7"/>
      <c r="G102" s="7"/>
      <c r="H102" s="12">
        <f t="shared" si="0"/>
        <v>0</v>
      </c>
      <c r="I102" s="7"/>
      <c r="J102" s="7"/>
    </row>
    <row r="103" spans="1:10" ht="20" customHeight="1" x14ac:dyDescent="0.15">
      <c r="A103" s="15" t="s">
        <v>243</v>
      </c>
      <c r="B103" s="16" t="str">
        <f>HYPERLINK("http://codeforces.com/problemset/problem/462/A","CF462-D2-A")</f>
        <v>CF462-D2-A</v>
      </c>
      <c r="C103" s="85"/>
      <c r="D103" s="7"/>
      <c r="E103" s="7"/>
      <c r="F103" s="7"/>
      <c r="G103" s="7"/>
      <c r="H103" s="12">
        <f t="shared" si="0"/>
        <v>0</v>
      </c>
      <c r="I103" s="7"/>
      <c r="J103" s="7"/>
    </row>
    <row r="104" spans="1:10" ht="20" customHeight="1" x14ac:dyDescent="0.15">
      <c r="A104" s="15" t="s">
        <v>245</v>
      </c>
      <c r="B104" s="16" t="str">
        <f>HYPERLINK("http://codeforces.com/problemset/problem/276/A","CF276-D2-A")</f>
        <v>CF276-D2-A</v>
      </c>
      <c r="C104" s="85"/>
      <c r="D104" s="7"/>
      <c r="E104" s="7"/>
      <c r="F104" s="7"/>
      <c r="G104" s="7"/>
      <c r="H104" s="12">
        <f t="shared" si="0"/>
        <v>0</v>
      </c>
      <c r="I104" s="7"/>
      <c r="J104" s="7"/>
    </row>
    <row r="105" spans="1:10" ht="20" customHeight="1" x14ac:dyDescent="0.15">
      <c r="A105" s="15" t="s">
        <v>247</v>
      </c>
      <c r="B105" s="16" t="str">
        <f>HYPERLINK("http://codeforces.com/problemset/problem/151/A","CF151-D2-A")</f>
        <v>CF151-D2-A</v>
      </c>
      <c r="C105" s="85"/>
      <c r="D105" s="7"/>
      <c r="E105" s="7"/>
      <c r="F105" s="7"/>
      <c r="G105" s="7"/>
      <c r="H105" s="12">
        <f t="shared" si="0"/>
        <v>0</v>
      </c>
      <c r="I105" s="7"/>
      <c r="J105" s="7"/>
    </row>
    <row r="106" spans="1:10" ht="20" customHeight="1" x14ac:dyDescent="0.15">
      <c r="A106" s="15" t="s">
        <v>249</v>
      </c>
      <c r="B106" s="16" t="str">
        <f>HYPERLINK("http://codeforces.com/problemset/problem/496/A","CF496-D2-A")</f>
        <v>CF496-D2-A</v>
      </c>
      <c r="C106" s="85"/>
      <c r="D106" s="7"/>
      <c r="E106" s="7"/>
      <c r="F106" s="7"/>
      <c r="G106" s="7"/>
      <c r="H106" s="12">
        <f t="shared" si="0"/>
        <v>0</v>
      </c>
      <c r="I106" s="7"/>
      <c r="J106" s="7"/>
    </row>
    <row r="107" spans="1:10" ht="20" customHeight="1" x14ac:dyDescent="0.15">
      <c r="A107" s="15" t="s">
        <v>250</v>
      </c>
      <c r="B107" s="16" t="str">
        <f>HYPERLINK("http://codeforces.com/problemset/problem/483/A","CF483-D2-A")</f>
        <v>CF483-D2-A</v>
      </c>
      <c r="C107" s="85"/>
      <c r="D107" s="7"/>
      <c r="E107" s="7"/>
      <c r="F107" s="7"/>
      <c r="G107" s="7"/>
      <c r="H107" s="12">
        <f t="shared" si="0"/>
        <v>0</v>
      </c>
      <c r="I107" s="7"/>
      <c r="J107" s="7"/>
    </row>
    <row r="108" spans="1:10" ht="20" customHeight="1" x14ac:dyDescent="0.15">
      <c r="A108" s="15" t="s">
        <v>251</v>
      </c>
      <c r="B108" s="16" t="str">
        <f>HYPERLINK("http://codeforces.com/problemset/problem/233/A","CF233-D2-A")</f>
        <v>CF233-D2-A</v>
      </c>
      <c r="C108" s="85"/>
      <c r="D108" s="7"/>
      <c r="E108" s="7"/>
      <c r="F108" s="7"/>
      <c r="G108" s="7"/>
      <c r="H108" s="12">
        <f t="shared" si="0"/>
        <v>0</v>
      </c>
      <c r="I108" s="7"/>
      <c r="J108" s="7"/>
    </row>
    <row r="109" spans="1:10" ht="20" customHeight="1" x14ac:dyDescent="0.15">
      <c r="A109" s="15" t="s">
        <v>252</v>
      </c>
      <c r="B109" s="16" t="str">
        <f>HYPERLINK("http://codeforces.com/problemset/problem/165/A","CF165-D2-A")</f>
        <v>CF165-D2-A</v>
      </c>
      <c r="C109" s="85"/>
      <c r="D109" s="7"/>
      <c r="E109" s="7"/>
      <c r="F109" s="7"/>
      <c r="G109" s="7"/>
      <c r="H109" s="12">
        <f t="shared" si="0"/>
        <v>0</v>
      </c>
      <c r="I109" s="7"/>
      <c r="J109" s="7"/>
    </row>
    <row r="110" spans="1:10" ht="20" customHeight="1" x14ac:dyDescent="0.15">
      <c r="A110" s="15" t="s">
        <v>254</v>
      </c>
      <c r="B110" s="16" t="str">
        <f>HYPERLINK("http://codeforces.com/problemset/problem/501/A","CF501-D2-A")</f>
        <v>CF501-D2-A</v>
      </c>
      <c r="C110" s="85"/>
      <c r="D110" s="7"/>
      <c r="E110" s="7"/>
      <c r="F110" s="7"/>
      <c r="G110" s="7"/>
      <c r="H110" s="12">
        <f t="shared" si="0"/>
        <v>0</v>
      </c>
      <c r="I110" s="7"/>
      <c r="J110" s="7"/>
    </row>
    <row r="111" spans="1:10" ht="20" customHeight="1" x14ac:dyDescent="0.15">
      <c r="A111" s="15" t="s">
        <v>256</v>
      </c>
      <c r="B111" s="16" t="str">
        <f>HYPERLINK("http://codeforces.com/problemset/problem/350/A","CF350-D2-A")</f>
        <v>CF350-D2-A</v>
      </c>
      <c r="C111" s="85"/>
      <c r="D111" s="7"/>
      <c r="E111" s="7"/>
      <c r="F111" s="7"/>
      <c r="G111" s="7"/>
      <c r="H111" s="12">
        <f t="shared" si="0"/>
        <v>0</v>
      </c>
      <c r="I111" s="7"/>
      <c r="J111" s="7"/>
    </row>
    <row r="112" spans="1:10" ht="20" customHeight="1" x14ac:dyDescent="0.15">
      <c r="A112" s="7"/>
      <c r="B112" s="7"/>
      <c r="C112" s="85"/>
      <c r="D112" s="7"/>
      <c r="E112" s="7"/>
      <c r="F112" s="7"/>
      <c r="G112" s="7"/>
      <c r="H112" s="12">
        <f t="shared" si="0"/>
        <v>0</v>
      </c>
      <c r="I112" s="7"/>
      <c r="J112" s="7"/>
    </row>
    <row r="113" spans="1:10" ht="20" customHeight="1" x14ac:dyDescent="0.15">
      <c r="A113" s="15" t="s">
        <v>258</v>
      </c>
      <c r="B113" s="16" t="str">
        <f>HYPERLINK("http://codeforces.com/problemset/problem/265/A","CF265-D2-A")</f>
        <v>CF265-D2-A</v>
      </c>
      <c r="C113" s="85"/>
      <c r="D113" s="7"/>
      <c r="E113" s="7"/>
      <c r="F113" s="7"/>
      <c r="G113" s="7"/>
      <c r="H113" s="12">
        <f t="shared" si="0"/>
        <v>0</v>
      </c>
      <c r="I113" s="7"/>
      <c r="J113" s="7"/>
    </row>
    <row r="114" spans="1:10" ht="20" customHeight="1" x14ac:dyDescent="0.15">
      <c r="A114" s="15" t="s">
        <v>260</v>
      </c>
      <c r="B114" s="16" t="str">
        <f>HYPERLINK("http://codeforces.com/problemset/problem/114/A","CF114-D2-A")</f>
        <v>CF114-D2-A</v>
      </c>
      <c r="C114" s="85"/>
      <c r="D114" s="7"/>
      <c r="E114" s="7"/>
      <c r="F114" s="7"/>
      <c r="G114" s="7"/>
      <c r="H114" s="12">
        <f t="shared" si="0"/>
        <v>0</v>
      </c>
      <c r="I114" s="7"/>
      <c r="J114" s="7"/>
    </row>
    <row r="115" spans="1:10" ht="20" customHeight="1" x14ac:dyDescent="0.15">
      <c r="A115" s="15" t="s">
        <v>261</v>
      </c>
      <c r="B115" s="16" t="str">
        <f>HYPERLINK("http://codeforces.com/problemset/problem/389/A","CF389-D2-A")</f>
        <v>CF389-D2-A</v>
      </c>
      <c r="C115" s="85"/>
      <c r="D115" s="7"/>
      <c r="E115" s="7"/>
      <c r="F115" s="7"/>
      <c r="G115" s="7"/>
      <c r="H115" s="12">
        <f t="shared" si="0"/>
        <v>0</v>
      </c>
      <c r="I115" s="7"/>
      <c r="J115" s="7"/>
    </row>
    <row r="116" spans="1:10" ht="20" customHeight="1" x14ac:dyDescent="0.15">
      <c r="A116" s="15" t="s">
        <v>263</v>
      </c>
      <c r="B116" s="16" t="str">
        <f>HYPERLINK("http://codeforces.com/problemset/problem/224/A","CF224-D2-A")</f>
        <v>CF224-D2-A</v>
      </c>
      <c r="C116" s="85"/>
      <c r="D116" s="7"/>
      <c r="E116" s="7"/>
      <c r="F116" s="7"/>
      <c r="G116" s="7"/>
      <c r="H116" s="12">
        <f t="shared" si="0"/>
        <v>0</v>
      </c>
      <c r="I116" s="7"/>
      <c r="J116" s="7"/>
    </row>
    <row r="117" spans="1:10" ht="20" customHeight="1" x14ac:dyDescent="0.15">
      <c r="A117" s="15" t="s">
        <v>202</v>
      </c>
      <c r="B117" s="16" t="str">
        <f>HYPERLINK("http://codeforces.com/problemset/problem/43/A","CF43-D2-A")</f>
        <v>CF43-D2-A</v>
      </c>
      <c r="C117" s="85"/>
      <c r="D117" s="7"/>
      <c r="E117" s="7"/>
      <c r="F117" s="7"/>
      <c r="G117" s="7"/>
      <c r="H117" s="12">
        <f t="shared" si="0"/>
        <v>0</v>
      </c>
      <c r="I117" s="7"/>
      <c r="J117" s="7"/>
    </row>
    <row r="118" spans="1:10" ht="20" customHeight="1" x14ac:dyDescent="0.15">
      <c r="A118" s="15" t="s">
        <v>266</v>
      </c>
      <c r="B118" s="16" t="str">
        <f>HYPERLINK("http://codeforces.com/problemset/problem/296/A","CF296-D2-A")</f>
        <v>CF296-D2-A</v>
      </c>
      <c r="C118" s="85"/>
      <c r="D118" s="7"/>
      <c r="E118" s="7"/>
      <c r="F118" s="7"/>
      <c r="G118" s="7"/>
      <c r="H118" s="12">
        <f t="shared" si="0"/>
        <v>0</v>
      </c>
      <c r="I118" s="7"/>
      <c r="J118" s="7"/>
    </row>
    <row r="119" spans="1:10" ht="20" customHeight="1" x14ac:dyDescent="0.15">
      <c r="A119" s="15" t="s">
        <v>268</v>
      </c>
      <c r="B119" s="16" t="str">
        <f>HYPERLINK("http://codeforces.com/problemset/problem/361/A","CF361-D2-A")</f>
        <v>CF361-D2-A</v>
      </c>
      <c r="C119" s="85"/>
      <c r="D119" s="7"/>
      <c r="E119" s="7"/>
      <c r="F119" s="7"/>
      <c r="G119" s="7"/>
      <c r="H119" s="12">
        <f t="shared" si="0"/>
        <v>0</v>
      </c>
      <c r="I119" s="7"/>
      <c r="J119" s="7"/>
    </row>
    <row r="120" spans="1:10" ht="20" customHeight="1" x14ac:dyDescent="0.15">
      <c r="A120" s="15" t="s">
        <v>270</v>
      </c>
      <c r="B120" s="16" t="str">
        <f>HYPERLINK("http://codeforces.com/problemset/problem/239/A","CF239-D2-A")</f>
        <v>CF239-D2-A</v>
      </c>
      <c r="C120" s="85"/>
      <c r="D120" s="7"/>
      <c r="E120" s="7"/>
      <c r="F120" s="7"/>
      <c r="G120" s="7"/>
      <c r="H120" s="12">
        <f t="shared" si="0"/>
        <v>0</v>
      </c>
      <c r="I120" s="7"/>
      <c r="J120" s="7"/>
    </row>
    <row r="121" spans="1:10" ht="20" customHeight="1" x14ac:dyDescent="0.15">
      <c r="A121" s="15" t="s">
        <v>272</v>
      </c>
      <c r="B121" s="16" t="str">
        <f>HYPERLINK("http://codeforces.com/problemset/problem/363/A","CF363-D2-A")</f>
        <v>CF363-D2-A</v>
      </c>
      <c r="C121" s="85"/>
      <c r="D121" s="7"/>
      <c r="E121" s="7"/>
      <c r="F121" s="7"/>
      <c r="G121" s="7"/>
      <c r="H121" s="12">
        <f t="shared" si="0"/>
        <v>0</v>
      </c>
      <c r="I121" s="7"/>
      <c r="J121" s="7"/>
    </row>
    <row r="122" spans="1:10" ht="20" customHeight="1" x14ac:dyDescent="0.15">
      <c r="A122" s="15" t="s">
        <v>148</v>
      </c>
      <c r="B122" s="16" t="str">
        <f>HYPERLINK("http://codeforces.com/problemset/problem/376/A","CF376-D2-A")</f>
        <v>CF376-D2-A</v>
      </c>
      <c r="C122" s="85"/>
      <c r="D122" s="7"/>
      <c r="E122" s="7"/>
      <c r="F122" s="7"/>
      <c r="G122" s="7"/>
      <c r="H122" s="12">
        <f t="shared" si="0"/>
        <v>0</v>
      </c>
      <c r="I122" s="7"/>
      <c r="J122" s="7"/>
    </row>
    <row r="123" spans="1:10" ht="20" customHeight="1" x14ac:dyDescent="0.15">
      <c r="A123" s="7"/>
      <c r="B123" s="7"/>
      <c r="C123" s="85"/>
      <c r="D123" s="7"/>
      <c r="E123" s="7"/>
      <c r="F123" s="7"/>
      <c r="G123" s="7"/>
      <c r="H123" s="12">
        <f t="shared" si="0"/>
        <v>0</v>
      </c>
      <c r="I123" s="7"/>
      <c r="J123" s="7"/>
    </row>
    <row r="124" spans="1:10" ht="20" customHeight="1" x14ac:dyDescent="0.15">
      <c r="A124" s="15" t="s">
        <v>275</v>
      </c>
      <c r="B124" s="16" t="str">
        <f>HYPERLINK("http://codeforces.com/problemset/problem/302/A","CF302-D2-A")</f>
        <v>CF302-D2-A</v>
      </c>
      <c r="C124" s="85"/>
      <c r="D124" s="7"/>
      <c r="E124" s="7"/>
      <c r="F124" s="7"/>
      <c r="G124" s="7"/>
      <c r="H124" s="12">
        <f t="shared" si="0"/>
        <v>0</v>
      </c>
      <c r="I124" s="7"/>
      <c r="J124" s="7"/>
    </row>
    <row r="125" spans="1:10" ht="20" customHeight="1" x14ac:dyDescent="0.15">
      <c r="A125" s="15" t="s">
        <v>277</v>
      </c>
      <c r="B125" s="16" t="str">
        <f>HYPERLINK("http://codeforces.com/problemset/problem/34/A","CF34-D2-A")</f>
        <v>CF34-D2-A</v>
      </c>
      <c r="C125" s="85"/>
      <c r="D125" s="7"/>
      <c r="E125" s="7"/>
      <c r="F125" s="7"/>
      <c r="G125" s="7"/>
      <c r="H125" s="12">
        <f t="shared" si="0"/>
        <v>0</v>
      </c>
      <c r="I125" s="7"/>
      <c r="J125" s="7"/>
    </row>
    <row r="126" spans="1:10" ht="20" customHeight="1" x14ac:dyDescent="0.15">
      <c r="A126" s="15" t="s">
        <v>279</v>
      </c>
      <c r="B126" s="16" t="str">
        <f>HYPERLINK("http://codeforces.com/problemset/problem/186/A","CF186-D2-A")</f>
        <v>CF186-D2-A</v>
      </c>
      <c r="C126" s="85"/>
      <c r="D126" s="7"/>
      <c r="E126" s="7"/>
      <c r="F126" s="7"/>
      <c r="G126" s="7"/>
      <c r="H126" s="12">
        <f t="shared" si="0"/>
        <v>0</v>
      </c>
      <c r="I126" s="7"/>
      <c r="J126" s="7"/>
    </row>
    <row r="127" spans="1:10" ht="20" customHeight="1" x14ac:dyDescent="0.15">
      <c r="A127" s="15" t="s">
        <v>281</v>
      </c>
      <c r="B127" s="16" t="str">
        <f>HYPERLINK("http://codeforces.com/problemset/problem/416/A","CF416-D2-A")</f>
        <v>CF416-D2-A</v>
      </c>
      <c r="C127" s="85"/>
      <c r="D127" s="7"/>
      <c r="E127" s="7"/>
      <c r="F127" s="7"/>
      <c r="G127" s="7"/>
      <c r="H127" s="12">
        <f t="shared" si="0"/>
        <v>0</v>
      </c>
      <c r="I127" s="7"/>
      <c r="J127" s="7"/>
    </row>
    <row r="128" spans="1:10" ht="20" customHeight="1" x14ac:dyDescent="0.15">
      <c r="A128" s="15" t="s">
        <v>283</v>
      </c>
      <c r="B128" s="16" t="str">
        <f>HYPERLINK("http://codeforces.com/problemset/problem/106/A","CF106-D2-A")</f>
        <v>CF106-D2-A</v>
      </c>
      <c r="C128" s="85"/>
      <c r="D128" s="7"/>
      <c r="E128" s="7"/>
      <c r="F128" s="7"/>
      <c r="G128" s="7"/>
      <c r="H128" s="12">
        <f t="shared" si="0"/>
        <v>0</v>
      </c>
      <c r="I128" s="7"/>
      <c r="J128" s="7"/>
    </row>
    <row r="129" spans="1:10" ht="20" customHeight="1" x14ac:dyDescent="0.15">
      <c r="A129" s="15" t="s">
        <v>285</v>
      </c>
      <c r="B129" s="16" t="str">
        <f>HYPERLINK("http://codeforces.com/problemset/problem/298/A","CF298-D2-A")</f>
        <v>CF298-D2-A</v>
      </c>
      <c r="C129" s="85"/>
      <c r="D129" s="7"/>
      <c r="E129" s="7"/>
      <c r="F129" s="7"/>
      <c r="G129" s="7"/>
      <c r="H129" s="12">
        <f t="shared" si="0"/>
        <v>0</v>
      </c>
      <c r="I129" s="7"/>
      <c r="J129" s="7"/>
    </row>
    <row r="130" spans="1:10" ht="20" customHeight="1" x14ac:dyDescent="0.15">
      <c r="A130" s="15" t="s">
        <v>286</v>
      </c>
      <c r="B130" s="16" t="str">
        <f>HYPERLINK("http://codeforces.com/problemset/problem/27/A","CF27-D2-A")</f>
        <v>CF27-D2-A</v>
      </c>
      <c r="C130" s="85"/>
      <c r="D130" s="7"/>
      <c r="E130" s="7"/>
      <c r="F130" s="7"/>
      <c r="G130" s="7"/>
      <c r="H130" s="12">
        <f t="shared" si="0"/>
        <v>0</v>
      </c>
      <c r="I130" s="7"/>
      <c r="J130" s="7"/>
    </row>
    <row r="131" spans="1:10" ht="20" customHeight="1" x14ac:dyDescent="0.15">
      <c r="A131" s="15" t="s">
        <v>288</v>
      </c>
      <c r="B131" s="16" t="str">
        <f>HYPERLINK("http://codeforces.com/problemset/problem/49/A","CF49-D2-A")</f>
        <v>CF49-D2-A</v>
      </c>
      <c r="C131" s="85"/>
      <c r="D131" s="7"/>
      <c r="E131" s="7"/>
      <c r="F131" s="7"/>
      <c r="G131" s="7"/>
      <c r="H131" s="12">
        <f t="shared" si="0"/>
        <v>0</v>
      </c>
      <c r="I131" s="7"/>
      <c r="J131" s="7"/>
    </row>
    <row r="132" spans="1:10" ht="20" customHeight="1" x14ac:dyDescent="0.15">
      <c r="A132" s="15" t="s">
        <v>290</v>
      </c>
      <c r="B132" s="16" t="str">
        <f>HYPERLINK("http://codeforces.com/problemset/problem/192/A","CF192-D2-A")</f>
        <v>CF192-D2-A</v>
      </c>
      <c r="C132" s="85"/>
      <c r="D132" s="7"/>
      <c r="E132" s="7"/>
      <c r="F132" s="7"/>
      <c r="G132" s="7"/>
      <c r="H132" s="12">
        <f t="shared" si="0"/>
        <v>0</v>
      </c>
      <c r="I132" s="7"/>
      <c r="J132" s="7"/>
    </row>
    <row r="133" spans="1:10" ht="20" customHeight="1" x14ac:dyDescent="0.15">
      <c r="A133" s="15" t="s">
        <v>292</v>
      </c>
      <c r="B133" s="16" t="str">
        <f>HYPERLINK("http://codeforces.com/problemset/problem/234/A","CF234-D2-A")</f>
        <v>CF234-D2-A</v>
      </c>
      <c r="C133" s="85"/>
      <c r="D133" s="7"/>
      <c r="E133" s="7"/>
      <c r="F133" s="7"/>
      <c r="G133" s="7"/>
      <c r="H133" s="12">
        <f t="shared" si="0"/>
        <v>0</v>
      </c>
      <c r="I133" s="7"/>
      <c r="J133" s="7"/>
    </row>
  </sheetData>
  <mergeCells count="2">
    <mergeCell ref="D67:G67"/>
    <mergeCell ref="I67:J67"/>
  </mergeCells>
  <conditionalFormatting sqref="C3:C133">
    <cfRule type="cellIs" dxfId="71" priority="1" operator="equal">
      <formula>"AC"</formula>
    </cfRule>
  </conditionalFormatting>
  <conditionalFormatting sqref="C3:C57 C59 C61:C133">
    <cfRule type="containsText" dxfId="70" priority="2" operator="containsText" text="WA">
      <formula>NOT(ISERROR(SEARCH(("WA"),(C3))))</formula>
    </cfRule>
  </conditionalFormatting>
  <conditionalFormatting sqref="C14:C133">
    <cfRule type="containsText" dxfId="69" priority="3" operator="containsText" text="WA">
      <formula>NOT(ISERROR(SEARCH(("WA"),(C14))))</formula>
    </cfRule>
  </conditionalFormatting>
  <conditionalFormatting sqref="C3:C57 C59 C61:C133">
    <cfRule type="containsText" dxfId="68" priority="4" operator="containsText" text="TLE">
      <formula>NOT(ISERROR(SEARCH(("TLE"),(C3))))</formula>
    </cfRule>
  </conditionalFormatting>
  <conditionalFormatting sqref="C14:C133">
    <cfRule type="containsText" dxfId="67" priority="5" operator="containsText" text="TLE">
      <formula>NOT(ISERROR(SEARCH(("TLE"),(C14))))</formula>
    </cfRule>
  </conditionalFormatting>
  <conditionalFormatting sqref="C3:C57 C59 C61:C133">
    <cfRule type="containsText" dxfId="66" priority="6" operator="containsText" text="RTE">
      <formula>NOT(ISERROR(SEARCH(("RTE"),(C3))))</formula>
    </cfRule>
  </conditionalFormatting>
  <conditionalFormatting sqref="C14:C133">
    <cfRule type="containsText" dxfId="65" priority="7" operator="containsText" text="RTE">
      <formula>NOT(ISERROR(SEARCH(("RTE"),(C14))))</formula>
    </cfRule>
  </conditionalFormatting>
  <conditionalFormatting sqref="C3:C57 C59 C61:C133">
    <cfRule type="containsText" dxfId="64" priority="8" operator="containsText" text="CS">
      <formula>NOT(ISERROR(SEARCH(("CS"),(C3))))</formula>
    </cfRule>
  </conditionalFormatting>
  <conditionalFormatting sqref="C14:C133">
    <cfRule type="containsText" dxfId="63" priority="9" operator="containsText" text="CS">
      <formula>NOT(ISERROR(SEARCH(("CS"),(C14))))</formula>
    </cfRule>
  </conditionalFormatting>
  <hyperlinks>
    <hyperlink ref="J3" r:id="rId1" display="https://www.youtube.com/watch?v=fd0Ebfa_mJ0"/>
    <hyperlink ref="J4" r:id="rId2" display="https://www.youtube.com/watch?v=olcmPKZNqnM"/>
    <hyperlink ref="B5" r:id="rId3" display="http://codeforces.com/problemset/problem/4/A"/>
    <hyperlink ref="B6" r:id="rId4" display="http://codeforces.com/problemset/problem/71/A"/>
    <hyperlink ref="B7" r:id="rId5" display="http://codeforces.com/problemset/problem/118/A"/>
    <hyperlink ref="B8" r:id="rId6" display="http://codeforces.com/problemset/problem/112/A"/>
    <hyperlink ref="B9" r:id="rId7" display="http://codeforces.com/problemset/problem/339/A"/>
    <hyperlink ref="B10" r:id="rId8" display="http://codeforces.com/problemset/problem/160/A"/>
    <hyperlink ref="B11" r:id="rId9" display="http://codeforces.com/problemset/problem/58/A"/>
    <hyperlink ref="B12" r:id="rId10" display="http://codeforces.com/problemset/problem/122/A"/>
    <hyperlink ref="B13" r:id="rId11" display="http://codeforces.com/problemset/problem/136/A"/>
    <hyperlink ref="B14" r:id="rId12" display="http://codeforces.com/problemset/problem/263/A"/>
    <hyperlink ref="J15" r:id="rId13" display="https://www.youtube.com/watch?v=x1rCxxKfFbM"/>
    <hyperlink ref="J16" r:id="rId14" display="https://www.youtube.com/watch?v=EQzmtn4PzYQ"/>
    <hyperlink ref="J17" r:id="rId15" display="https://www.youtube.com/watch?v=Syx2qDjj7TE"/>
    <hyperlink ref="B18" r:id="rId16" display="http://codeforces.com/problemset/problem/144/A"/>
    <hyperlink ref="B19" r:id="rId17" display="http://codeforces.com/problemset/problem/268/A"/>
    <hyperlink ref="B20" r:id="rId18" display="http://codeforces.com/problemset/problem/69/A"/>
    <hyperlink ref="B21" r:id="rId19" display="http://codeforces.com/problemset/problem/479/A"/>
    <hyperlink ref="B22" r:id="rId20" display="http://codeforces.com/problemset/problem/469/A"/>
    <hyperlink ref="B23" r:id="rId21" display="http://codeforces.com/problemset/problem/313/A"/>
    <hyperlink ref="B24" r:id="rId22" display="http://codeforces.com/problemset/problem/230/A"/>
    <hyperlink ref="B25" r:id="rId23" display="http://codeforces.com/problemset/problem/490/A"/>
    <hyperlink ref="B26" r:id="rId24" display="http://codeforces.com/problemset/problem/510/A"/>
    <hyperlink ref="B27" r:id="rId25" display="http://codeforces.com/problemset/problem/432/A"/>
    <hyperlink ref="J28" r:id="rId26" display="https://www.youtube.com/watch?v=9sqvjnvuLtY"/>
    <hyperlink ref="J29" r:id="rId27" display="https://www.youtube.com/watch?v=sr6WgCLcgVM"/>
    <hyperlink ref="B31" r:id="rId28" display="http://codeforces.com/problemset/problem/441/A"/>
    <hyperlink ref="B32" r:id="rId29" display="http://codeforces.com/problemset/problem/385/A"/>
    <hyperlink ref="B33" r:id="rId30" display="http://codeforces.com/problemset/problem/378/A"/>
    <hyperlink ref="B34" r:id="rId31" display="http://codeforces.com/problemset/problem/255/A"/>
    <hyperlink ref="B35" r:id="rId32" display="http://codeforces.com/problemset/problem/404/A"/>
    <hyperlink ref="B36" r:id="rId33" display="http://codeforces.com/problemset/problem/499/A"/>
    <hyperlink ref="B37" r:id="rId34" display="http://codeforces.com/problemset/problem/262/A"/>
    <hyperlink ref="B38" r:id="rId35" display="http://codeforces.com/problemset/problem/189/A"/>
    <hyperlink ref="B39" r:id="rId36" display="http://codeforces.com/problemset/problem/152/A"/>
    <hyperlink ref="B40" r:id="rId37" display="http://codeforces.com/problemset/problem/376/A"/>
    <hyperlink ref="J41" r:id="rId38" display="https://www.youtube.com/watch?v=9wvqNeX_JnI"/>
    <hyperlink ref="J42" r:id="rId39" display="https://www.youtube.com/watch?v=8V_xhaPpjmM"/>
    <hyperlink ref="B43" r:id="rId40" display="http://codeforces.com/problemset/problem/353/A"/>
    <hyperlink ref="B44" r:id="rId41" display="http://codeforces.com/problemset/problem/300/A"/>
    <hyperlink ref="B45" r:id="rId42" display="http://codeforces.com/problemset/problem/488/A"/>
    <hyperlink ref="B46" r:id="rId43" display="http://codeforces.com/problemset/problem/445/A"/>
    <hyperlink ref="B47" r:id="rId44" display="http://codeforces.com/problemset/problem/75/A"/>
    <hyperlink ref="B48" r:id="rId45" display="http://codeforces.com/problemset/problem/373/A"/>
    <hyperlink ref="B49" r:id="rId46" display="http://codeforces.com/problemset/problem/355/A"/>
    <hyperlink ref="B50" r:id="rId47" display="http://codeforces.com/problemset/problem/437/A"/>
    <hyperlink ref="B51" r:id="rId48" display="http://codeforces.com/problemset/problem/408/A"/>
    <hyperlink ref="B52" r:id="rId49" display="http://codeforces.com/problemset/problem/359/A"/>
    <hyperlink ref="J53" r:id="rId50" display="https://www.youtube.com/watch?v=VZBfW08ECgA"/>
    <hyperlink ref="J54" r:id="rId51" display="https://www.youtube.com/watch?v=-5ApOQDhBtU"/>
    <hyperlink ref="B55" r:id="rId52" display="http://codeforces.com/problemset/problem/358/A"/>
    <hyperlink ref="B56" r:id="rId53" display="http://codeforces.com/problemset/problem/143/A"/>
    <hyperlink ref="B57" r:id="rId54" display="http://codeforces.com/problemset/problem/108/A"/>
    <hyperlink ref="B58" r:id="rId55" display="http://codeforces.com/problemset/problem/194/A"/>
    <hyperlink ref="B59" r:id="rId56" display="http://codeforces.com/problemset/problem/257/A"/>
    <hyperlink ref="B60" r:id="rId57" display="http://codeforces.com/problemset/problem/279/A"/>
    <hyperlink ref="B61" r:id="rId58" display="http://codeforces.com/problemset/problem/370/A"/>
    <hyperlink ref="B62" r:id="rId59" display="http://codeforces.com/problemset/problem/284/A"/>
    <hyperlink ref="B63" r:id="rId60" display="http://codeforces.com/problemset/problem/56/A"/>
    <hyperlink ref="B64" r:id="rId61" display="http://codeforces.com/problemset/problem/31/A"/>
    <hyperlink ref="B69" r:id="rId62" display="http://codeforces.com/problemset/problem/1/A"/>
    <hyperlink ref="B70" r:id="rId63" display="http://codeforces.com/problemset/problem/158/A"/>
    <hyperlink ref="B71" r:id="rId64" display="http://codeforces.com/problemset/problem/50/A"/>
    <hyperlink ref="B72" r:id="rId65" display="http://codeforces.com/problemset/problem/231/A"/>
    <hyperlink ref="B73" r:id="rId66" display="http://codeforces.com/problemset/problem/282/A"/>
    <hyperlink ref="B74" r:id="rId67" display="http://codeforces.com/problemset/problem/116/A"/>
    <hyperlink ref="B75" r:id="rId68" display="http://codeforces.com/problemset/problem/131/A"/>
    <hyperlink ref="B76" r:id="rId69" display="http://codeforces.com/problemset/problem/96/A"/>
    <hyperlink ref="B77" r:id="rId70" display="http://codeforces.com/problemset/problem/266/A"/>
    <hyperlink ref="B78" r:id="rId71" display="http://codeforces.com/problemset/problem/133/A"/>
    <hyperlink ref="B80" r:id="rId72" display="http://codeforces.com/problemset/problem/281/A"/>
    <hyperlink ref="B81" r:id="rId73" display="http://codeforces.com/problemset/problem/236/A"/>
    <hyperlink ref="B82" r:id="rId74" display="http://codeforces.com/problemset/problem/148/A"/>
    <hyperlink ref="B83" r:id="rId75" display="http://codeforces.com/problemset/problem/82/A"/>
    <hyperlink ref="B84" r:id="rId76" display="http://codeforces.com/problemset/problem/467/A"/>
    <hyperlink ref="B85" r:id="rId77" display="http://codeforces.com/problemset/problem/110/A"/>
    <hyperlink ref="B86" r:id="rId78" display="http://codeforces.com/problemset/problem/119/A"/>
    <hyperlink ref="B87" r:id="rId79" display="http://codeforces.com/problemset/problem/271/A"/>
    <hyperlink ref="B88" r:id="rId80" display="http://codeforces.com/problemset/problem/472/A"/>
    <hyperlink ref="B89" r:id="rId81" display="http://codeforces.com/problemset/problem/460/A"/>
    <hyperlink ref="B91" r:id="rId82" display="http://codeforces.com/problemset/problem/451/A"/>
    <hyperlink ref="B92" r:id="rId83" display="http://codeforces.com/problemset/problem/208/A"/>
    <hyperlink ref="B93" r:id="rId84" display="http://codeforces.com/problemset/problem/337/A"/>
    <hyperlink ref="B94" r:id="rId85" display="http://codeforces.com/problemset/problem/443/A"/>
    <hyperlink ref="B95" r:id="rId86" display="http://codeforces.com/problemset/problem/318/A"/>
    <hyperlink ref="B96" r:id="rId87" display="http://codeforces.com/problemset/problem/466/A"/>
    <hyperlink ref="B97" r:id="rId88" display="http://codeforces.com/problemset/problem/459/A"/>
    <hyperlink ref="B98" r:id="rId89" display="http://codeforces.com/problemset/problem/476/A"/>
    <hyperlink ref="B99" r:id="rId90" display="http://codeforces.com/problemset/problem/439/A"/>
    <hyperlink ref="B100" r:id="rId91" display="http://codeforces.com/problemset/problem/25/A"/>
    <hyperlink ref="B102" r:id="rId92" display="http://codeforces.com/problemset/problem/330/A"/>
    <hyperlink ref="B103" r:id="rId93" display="http://codeforces.com/problemset/problem/462/A"/>
    <hyperlink ref="B104" r:id="rId94" display="http://codeforces.com/problemset/problem/276/A"/>
    <hyperlink ref="B105" r:id="rId95" display="http://codeforces.com/problemset/problem/151/A"/>
    <hyperlink ref="B106" r:id="rId96" display="http://codeforces.com/problemset/problem/496/A"/>
    <hyperlink ref="B107" r:id="rId97" display="http://codeforces.com/problemset/problem/483/A"/>
    <hyperlink ref="B108" r:id="rId98" display="http://codeforces.com/problemset/problem/233/A"/>
    <hyperlink ref="B109" r:id="rId99" display="http://codeforces.com/problemset/problem/165/A"/>
    <hyperlink ref="B110" r:id="rId100" display="http://codeforces.com/problemset/problem/501/A"/>
    <hyperlink ref="B111" r:id="rId101" display="http://codeforces.com/problemset/problem/350/A"/>
    <hyperlink ref="B113" r:id="rId102" display="http://codeforces.com/problemset/problem/265/A"/>
    <hyperlink ref="B114" r:id="rId103" display="http://codeforces.com/problemset/problem/114/A"/>
    <hyperlink ref="B115" r:id="rId104" display="http://codeforces.com/problemset/problem/389/A"/>
    <hyperlink ref="B116" r:id="rId105" display="http://codeforces.com/problemset/problem/224/A"/>
    <hyperlink ref="B117" r:id="rId106" display="http://codeforces.com/problemset/problem/43/A"/>
    <hyperlink ref="B118" r:id="rId107" display="http://codeforces.com/problemset/problem/296/A"/>
    <hyperlink ref="B119" r:id="rId108" display="http://codeforces.com/problemset/problem/361/A"/>
    <hyperlink ref="B120" r:id="rId109" display="http://codeforces.com/problemset/problem/239/A"/>
    <hyperlink ref="B121" r:id="rId110" display="http://codeforces.com/problemset/problem/363/A"/>
    <hyperlink ref="B122" r:id="rId111" display="http://codeforces.com/problemset/problem/376/A"/>
    <hyperlink ref="B124" r:id="rId112" display="http://codeforces.com/problemset/problem/302/A"/>
    <hyperlink ref="B125" r:id="rId113" display="http://codeforces.com/problemset/problem/34/A"/>
    <hyperlink ref="B126" r:id="rId114" display="http://codeforces.com/problemset/problem/186/A"/>
    <hyperlink ref="B127" r:id="rId115" display="http://codeforces.com/problemset/problem/416/A"/>
    <hyperlink ref="B128" r:id="rId116" display="http://codeforces.com/problemset/problem/106/A"/>
    <hyperlink ref="B129" r:id="rId117" display="http://codeforces.com/problemset/problem/298/A"/>
    <hyperlink ref="B130" r:id="rId118" display="http://codeforces.com/problemset/problem/27/A"/>
    <hyperlink ref="B131" r:id="rId119" display="http://codeforces.com/problemset/problem/49/A"/>
    <hyperlink ref="B132" r:id="rId120" display="http://codeforces.com/problemset/problem/192/A"/>
    <hyperlink ref="B133" r:id="rId121" display="http://codeforces.com/problemset/problem/234/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7.33203125" defaultRowHeight="15.75" customHeight="1" x14ac:dyDescent="0.15"/>
  <cols>
    <col min="1" max="1" width="23.5" customWidth="1"/>
    <col min="3" max="3" width="6.83203125" customWidth="1"/>
    <col min="4" max="4" width="13" customWidth="1"/>
    <col min="5" max="5" width="8.5" customWidth="1"/>
    <col min="6" max="6" width="8.6640625" customWidth="1"/>
    <col min="7" max="7" width="10" customWidth="1"/>
    <col min="8" max="8" width="8.5" customWidth="1"/>
    <col min="9" max="9" width="10" customWidth="1"/>
    <col min="10" max="10" width="161.5" customWidth="1"/>
  </cols>
  <sheetData>
    <row r="1" spans="1:10" ht="15.75" customHeight="1" x14ac:dyDescent="0.15">
      <c r="A1" s="1" t="s">
        <v>0</v>
      </c>
      <c r="B1" s="1" t="s">
        <v>4</v>
      </c>
      <c r="C1" s="2" t="s">
        <v>2</v>
      </c>
      <c r="D1" s="3" t="s">
        <v>5</v>
      </c>
      <c r="E1" s="3" t="s">
        <v>7</v>
      </c>
      <c r="F1" s="2" t="s">
        <v>8</v>
      </c>
      <c r="G1" s="3" t="s">
        <v>9</v>
      </c>
      <c r="H1" s="3" t="s">
        <v>10</v>
      </c>
      <c r="I1" s="2" t="s">
        <v>11</v>
      </c>
      <c r="J1" s="4" t="s">
        <v>13</v>
      </c>
    </row>
    <row r="2" spans="1:10" ht="15.75" customHeight="1" x14ac:dyDescent="0.15">
      <c r="A2" s="5"/>
      <c r="B2" s="5" t="s">
        <v>14</v>
      </c>
      <c r="C2" s="8">
        <f>COUNTIF(C4:C9943, "AC")</f>
        <v>0</v>
      </c>
      <c r="D2" s="9" t="e">
        <f ca="1">SUMPRODUCT(D4:D9943,INT(EQ(C4:C9943, "AC")))/MAX(1, C2)</f>
        <v>#NAME?</v>
      </c>
      <c r="E2" s="9" t="e">
        <f ca="1">SUMPRODUCT(E4:E9943,INT(EQ(C4:C9943, "AC")))/MAX(1, C2)</f>
        <v>#NAME?</v>
      </c>
      <c r="F2" s="9" t="e">
        <f ca="1">SUMPRODUCT(F4:F9943,INT(EQ(C4:C9943, "AC")))/MAX(1, C2)</f>
        <v>#NAME?</v>
      </c>
      <c r="G2" s="9" t="e">
        <f ca="1">SUMPRODUCT(G4:G9943,INT(EQ(C4:C9943, "AC")))/MAX(1, C2)</f>
        <v>#NAME?</v>
      </c>
      <c r="H2" s="9" t="e">
        <f ca="1">SUMPRODUCT(H4:H9943,INT(EQ(C4:C9943, "AC")))/MAX(1, C2)</f>
        <v>#NAME?</v>
      </c>
      <c r="I2" s="9" t="e">
        <f ca="1">SUMPRODUCT(I4:I9943,INT(EQ(C4:C9943, "AC")))/MAX(1, C2)</f>
        <v>#NAME?</v>
      </c>
      <c r="J2" s="11">
        <f>COUNTIFS(C5:C9945, "&lt;&gt;AC", C5:C9945, "&lt;&gt;")</f>
        <v>0</v>
      </c>
    </row>
    <row r="3" spans="1:10" ht="15.75" customHeight="1" x14ac:dyDescent="0.15">
      <c r="A3" s="7"/>
      <c r="B3" s="7"/>
      <c r="C3" s="5"/>
      <c r="D3" s="5"/>
      <c r="E3" s="5"/>
      <c r="F3" s="5"/>
      <c r="G3" s="5"/>
      <c r="H3" s="12">
        <f t="shared" ref="H3:H141" si="0">SUM(E3:G3)</f>
        <v>0</v>
      </c>
      <c r="I3" s="5"/>
      <c r="J3" s="13" t="str">
        <f>HYPERLINK("https://www.youtube.com/watch?v=YTLv1fgISPI","Watch - Number Theory - Factorials")</f>
        <v>Watch - Number Theory - Factorials</v>
      </c>
    </row>
    <row r="4" spans="1:10" ht="15.75" customHeight="1" x14ac:dyDescent="0.15">
      <c r="A4" s="7"/>
      <c r="B4" s="7"/>
      <c r="C4" s="5"/>
      <c r="D4" s="5"/>
      <c r="E4" s="5"/>
      <c r="F4" s="5"/>
      <c r="G4" s="5"/>
      <c r="H4" s="12">
        <f t="shared" si="0"/>
        <v>0</v>
      </c>
      <c r="I4" s="5"/>
      <c r="J4" s="13" t="str">
        <f>HYPERLINK("https://www.youtube.com/watch?v=YklnFXpq0ZE","Watch - Number Theory - Fib, GCD, LCM, Pow")</f>
        <v>Watch - Number Theory - Fib, GCD, LCM, Pow</v>
      </c>
    </row>
    <row r="5" spans="1:10" ht="15.75" customHeight="1" x14ac:dyDescent="0.15">
      <c r="A5" s="15" t="s">
        <v>29</v>
      </c>
      <c r="B5" s="16" t="str">
        <f>HYPERLINK("http://codeforces.com/problemset/problem/339/B","CF339-D2-B")</f>
        <v>CF339-D2-B</v>
      </c>
      <c r="C5" s="5"/>
      <c r="D5" s="5"/>
      <c r="E5" s="5"/>
      <c r="F5" s="5"/>
      <c r="G5" s="5"/>
      <c r="H5" s="12">
        <f t="shared" si="0"/>
        <v>0</v>
      </c>
      <c r="I5" s="5"/>
      <c r="J5" s="5"/>
    </row>
    <row r="6" spans="1:10" ht="15.75" customHeight="1" x14ac:dyDescent="0.15">
      <c r="A6" s="15" t="s">
        <v>34</v>
      </c>
      <c r="B6" s="16" t="str">
        <f>HYPERLINK("http://codeforces.com/problemset/problem/478/B","CF478-D2-B")</f>
        <v>CF478-D2-B</v>
      </c>
      <c r="C6" s="5"/>
      <c r="D6" s="5"/>
      <c r="E6" s="5"/>
      <c r="F6" s="5"/>
      <c r="G6" s="5"/>
      <c r="H6" s="12">
        <f t="shared" si="0"/>
        <v>0</v>
      </c>
      <c r="I6" s="5"/>
      <c r="J6" s="5"/>
    </row>
    <row r="7" spans="1:10" ht="15.75" customHeight="1" x14ac:dyDescent="0.15">
      <c r="A7" s="15" t="s">
        <v>35</v>
      </c>
      <c r="B7" s="16" t="str">
        <f>HYPERLINK("http://codeforces.com/problemset/problem/451/B","CF451-D2-B")</f>
        <v>CF451-D2-B</v>
      </c>
      <c r="C7" s="5"/>
      <c r="D7" s="5"/>
      <c r="E7" s="17"/>
      <c r="F7" s="5"/>
      <c r="G7" s="5"/>
      <c r="H7" s="18">
        <f t="shared" si="0"/>
        <v>0</v>
      </c>
      <c r="I7" s="5"/>
      <c r="J7" s="5"/>
    </row>
    <row r="8" spans="1:10" ht="15.75" customHeight="1" x14ac:dyDescent="0.15">
      <c r="A8" s="15" t="s">
        <v>46</v>
      </c>
      <c r="B8" s="20" t="str">
        <f>HYPERLINK("http://codeforces.com/problemset/problem/230/B","CF230-D2-B")</f>
        <v>CF230-D2-B</v>
      </c>
      <c r="C8" s="5"/>
      <c r="D8" s="5"/>
      <c r="E8" s="5"/>
      <c r="F8" s="5"/>
      <c r="G8" s="5"/>
      <c r="H8" s="12">
        <f t="shared" si="0"/>
        <v>0</v>
      </c>
      <c r="I8" s="5"/>
      <c r="J8" s="5"/>
    </row>
    <row r="9" spans="1:10" ht="15.75" customHeight="1" x14ac:dyDescent="0.15">
      <c r="A9" s="15" t="s">
        <v>51</v>
      </c>
      <c r="B9" s="16" t="str">
        <f>HYPERLINK("http://codeforces.com/problemset/problem/447/B","CF447-D2-B")</f>
        <v>CF447-D2-B</v>
      </c>
      <c r="C9" s="5"/>
      <c r="D9" s="5"/>
      <c r="E9" s="5"/>
      <c r="F9" s="5"/>
      <c r="G9" s="5"/>
      <c r="H9" s="12">
        <f t="shared" si="0"/>
        <v>0</v>
      </c>
      <c r="I9" s="5"/>
      <c r="J9" s="5"/>
    </row>
    <row r="10" spans="1:10" ht="15.75" customHeight="1" x14ac:dyDescent="0.15">
      <c r="A10" s="15" t="s">
        <v>56</v>
      </c>
      <c r="B10" s="16" t="str">
        <f>HYPERLINK("http://codeforces.com/problemset/problem/454/B","CF454-D2-B")</f>
        <v>CF454-D2-B</v>
      </c>
      <c r="C10" s="5"/>
      <c r="D10" s="5"/>
      <c r="E10" s="5"/>
      <c r="F10" s="5"/>
      <c r="G10" s="5"/>
      <c r="H10" s="12">
        <f t="shared" si="0"/>
        <v>0</v>
      </c>
      <c r="I10" s="5"/>
      <c r="J10" s="5"/>
    </row>
    <row r="11" spans="1:10" ht="15.75" customHeight="1" x14ac:dyDescent="0.15">
      <c r="A11" s="15" t="s">
        <v>60</v>
      </c>
      <c r="B11" s="16" t="str">
        <f>HYPERLINK("http://codeforces.com/problemset/problem/265/B","CF265-D2-B")</f>
        <v>CF265-D2-B</v>
      </c>
      <c r="C11" s="5"/>
      <c r="D11" s="7"/>
      <c r="E11" s="7"/>
      <c r="F11" s="7"/>
      <c r="G11" s="7"/>
      <c r="H11" s="12">
        <f t="shared" si="0"/>
        <v>0</v>
      </c>
      <c r="I11" s="7"/>
      <c r="J11" s="5"/>
    </row>
    <row r="12" spans="1:10" ht="15.75" customHeight="1" x14ac:dyDescent="0.15">
      <c r="A12" s="15" t="s">
        <v>65</v>
      </c>
      <c r="B12" s="16" t="str">
        <f>HYPERLINK("http://codeforces.com/problemset/problem/448/B","CF448-D2-B")</f>
        <v>CF448-D2-B</v>
      </c>
      <c r="C12" s="5"/>
      <c r="D12" s="7"/>
      <c r="E12" s="7"/>
      <c r="F12" s="7"/>
      <c r="G12" s="7"/>
      <c r="H12" s="12">
        <f t="shared" si="0"/>
        <v>0</v>
      </c>
      <c r="I12" s="7"/>
      <c r="J12" s="7"/>
    </row>
    <row r="13" spans="1:10" ht="15.75" customHeight="1" x14ac:dyDescent="0.15">
      <c r="A13" s="15" t="s">
        <v>69</v>
      </c>
      <c r="B13" s="16" t="str">
        <f>HYPERLINK("http://codeforces.com/problemset/problem/486/B","CF486-D2-B")</f>
        <v>CF486-D2-B</v>
      </c>
      <c r="C13" s="5"/>
      <c r="D13" s="5"/>
      <c r="E13" s="7"/>
      <c r="F13" s="7"/>
      <c r="G13" s="7"/>
      <c r="H13" s="12">
        <f t="shared" si="0"/>
        <v>0</v>
      </c>
      <c r="I13" s="7"/>
      <c r="J13" s="5"/>
    </row>
    <row r="14" spans="1:10" ht="15.75" customHeight="1" x14ac:dyDescent="0.15">
      <c r="A14" s="15" t="s">
        <v>72</v>
      </c>
      <c r="B14" s="16" t="str">
        <f>HYPERLINK("http://codeforces.com/problemset/problem/276/B","CF276-D2-B")</f>
        <v>CF276-D2-B</v>
      </c>
      <c r="C14" s="5"/>
      <c r="D14" s="7"/>
      <c r="E14" s="7"/>
      <c r="F14" s="7"/>
      <c r="G14" s="7"/>
      <c r="H14" s="12">
        <f t="shared" si="0"/>
        <v>0</v>
      </c>
      <c r="I14" s="7"/>
      <c r="J14" s="5"/>
    </row>
    <row r="15" spans="1:10" ht="15.75" customHeight="1" x14ac:dyDescent="0.15">
      <c r="A15" s="7"/>
      <c r="B15" s="7"/>
      <c r="C15" s="5"/>
      <c r="D15" s="7"/>
      <c r="E15" s="7"/>
      <c r="F15" s="7"/>
      <c r="G15" s="7"/>
      <c r="H15" s="12">
        <f t="shared" si="0"/>
        <v>0</v>
      </c>
      <c r="I15" s="7"/>
      <c r="J15" s="13" t="str">
        <f>HYPERLINK("https://www.youtube.com/watch?v=jzfcfQVBtKA","Watch - Graph Theory - Intro")</f>
        <v>Watch - Graph Theory - Intro</v>
      </c>
    </row>
    <row r="16" spans="1:10" ht="15.75" customHeight="1" x14ac:dyDescent="0.15">
      <c r="A16" s="7"/>
      <c r="B16" s="7"/>
      <c r="C16" s="5"/>
      <c r="D16" s="7"/>
      <c r="E16" s="7"/>
      <c r="F16" s="7"/>
      <c r="G16" s="7"/>
      <c r="H16" s="12">
        <f t="shared" si="0"/>
        <v>0</v>
      </c>
      <c r="I16" s="7"/>
      <c r="J16" s="13" t="str">
        <f>HYPERLINK("https://www.youtube.com/watch?v=9DP0X2xlPCo","Watch - Graph Theory - DFS")</f>
        <v>Watch - Graph Theory - DFS</v>
      </c>
    </row>
    <row r="17" spans="1:10" ht="15.75" customHeight="1" x14ac:dyDescent="0.15">
      <c r="A17" s="15" t="s">
        <v>80</v>
      </c>
      <c r="B17" s="16" t="str">
        <f>HYPERLINK("http://codeforces.com/problemset/problem/279/B","CF279-D2-B")</f>
        <v>CF279-D2-B</v>
      </c>
      <c r="C17" s="5"/>
      <c r="D17" s="7"/>
      <c r="E17" s="7"/>
      <c r="F17" s="7"/>
      <c r="G17" s="7"/>
      <c r="H17" s="12">
        <f t="shared" si="0"/>
        <v>0</v>
      </c>
      <c r="I17" s="7"/>
      <c r="J17" s="7"/>
    </row>
    <row r="18" spans="1:10" ht="15.75" customHeight="1" x14ac:dyDescent="0.15">
      <c r="A18" s="15" t="s">
        <v>85</v>
      </c>
      <c r="B18" s="16" t="str">
        <f>HYPERLINK("http://codeforces.com/problemset/problem/509/B","CF509-D2-B")</f>
        <v>CF509-D2-B</v>
      </c>
      <c r="C18" s="5"/>
      <c r="D18" s="7"/>
      <c r="E18" s="7"/>
      <c r="F18" s="7"/>
      <c r="G18" s="7"/>
      <c r="H18" s="12">
        <f t="shared" si="0"/>
        <v>0</v>
      </c>
      <c r="I18" s="7"/>
      <c r="J18" s="7"/>
    </row>
    <row r="19" spans="1:10" ht="15.75" customHeight="1" x14ac:dyDescent="0.15">
      <c r="A19" s="15" t="s">
        <v>90</v>
      </c>
      <c r="B19" s="16" t="str">
        <f>HYPERLINK("http://codeforces.com/problemset/problem/387/B","CF387-D2-B")</f>
        <v>CF387-D2-B</v>
      </c>
      <c r="C19" s="5"/>
      <c r="D19" s="7"/>
      <c r="E19" s="7"/>
      <c r="F19" s="7"/>
      <c r="G19" s="7"/>
      <c r="H19" s="12">
        <f t="shared" si="0"/>
        <v>0</v>
      </c>
      <c r="I19" s="7"/>
      <c r="J19" s="7"/>
    </row>
    <row r="20" spans="1:10" ht="15.75" customHeight="1" x14ac:dyDescent="0.15">
      <c r="A20" s="15" t="s">
        <v>94</v>
      </c>
      <c r="B20" s="16" t="str">
        <f>HYPERLINK("http://codeforces.com/problemset/problem/157/B","CF157-D2-B")</f>
        <v>CF157-D2-B</v>
      </c>
      <c r="C20" s="5"/>
      <c r="D20" s="7"/>
      <c r="E20" s="7"/>
      <c r="F20" s="7"/>
      <c r="G20" s="7"/>
      <c r="H20" s="12">
        <f t="shared" si="0"/>
        <v>0</v>
      </c>
      <c r="I20" s="7"/>
      <c r="J20" s="7"/>
    </row>
    <row r="21" spans="1:10" ht="15.75" customHeight="1" x14ac:dyDescent="0.15">
      <c r="A21" s="15" t="s">
        <v>96</v>
      </c>
      <c r="B21" s="16" t="str">
        <f>HYPERLINK("http://codeforces.com/problemset/problem/330/B","CF330-D2-B")</f>
        <v>CF330-D2-B</v>
      </c>
      <c r="C21" s="5"/>
      <c r="D21" s="7"/>
      <c r="E21" s="7"/>
      <c r="F21" s="7"/>
      <c r="G21" s="7"/>
      <c r="H21" s="12">
        <f t="shared" si="0"/>
        <v>0</v>
      </c>
      <c r="I21" s="7"/>
      <c r="J21" s="7"/>
    </row>
    <row r="22" spans="1:10" ht="15.75" customHeight="1" x14ac:dyDescent="0.15">
      <c r="A22" s="15" t="s">
        <v>99</v>
      </c>
      <c r="B22" s="16" t="str">
        <f>HYPERLINK("http://codeforces.com/problemset/problem/4/B","CF4-D2-B")</f>
        <v>CF4-D2-B</v>
      </c>
      <c r="C22" s="5"/>
      <c r="D22" s="7"/>
      <c r="E22" s="7"/>
      <c r="F22" s="7"/>
      <c r="G22" s="7"/>
      <c r="H22" s="12">
        <f t="shared" si="0"/>
        <v>0</v>
      </c>
      <c r="I22" s="7"/>
      <c r="J22" s="7"/>
    </row>
    <row r="23" spans="1:10" ht="15.75" customHeight="1" x14ac:dyDescent="0.15">
      <c r="A23" s="15" t="s">
        <v>103</v>
      </c>
      <c r="B23" s="16" t="str">
        <f>HYPERLINK("http://codeforces.com/problemset/problem/122/B","CF122-D2-B")</f>
        <v>CF122-D2-B</v>
      </c>
      <c r="C23" s="5"/>
      <c r="D23" s="7"/>
      <c r="E23" s="7"/>
      <c r="F23" s="7"/>
      <c r="G23" s="7"/>
      <c r="H23" s="12">
        <f t="shared" si="0"/>
        <v>0</v>
      </c>
      <c r="I23" s="7"/>
      <c r="J23" s="7"/>
    </row>
    <row r="24" spans="1:10" ht="15.75" customHeight="1" x14ac:dyDescent="0.15">
      <c r="A24" s="15" t="s">
        <v>106</v>
      </c>
      <c r="B24" s="16" t="str">
        <f>HYPERLINK("http://codeforces.com/problemset/problem/352/B","CF352-D2-B")</f>
        <v>CF352-D2-B</v>
      </c>
      <c r="C24" s="5"/>
      <c r="D24" s="5"/>
      <c r="E24" s="7"/>
      <c r="F24" s="7"/>
      <c r="G24" s="7"/>
      <c r="H24" s="12">
        <f t="shared" si="0"/>
        <v>0</v>
      </c>
      <c r="I24" s="7"/>
      <c r="J24" s="7"/>
    </row>
    <row r="25" spans="1:10" ht="15.75" customHeight="1" x14ac:dyDescent="0.15">
      <c r="A25" s="15" t="s">
        <v>108</v>
      </c>
      <c r="B25" s="16" t="str">
        <f>HYPERLINK("http://codeforces.com/problemset/problem/289/B","CF289-D2-B")</f>
        <v>CF289-D2-B</v>
      </c>
      <c r="C25" s="5"/>
      <c r="D25" s="7"/>
      <c r="E25" s="7"/>
      <c r="F25" s="7"/>
      <c r="G25" s="7"/>
      <c r="H25" s="12">
        <f t="shared" si="0"/>
        <v>0</v>
      </c>
      <c r="I25" s="7"/>
      <c r="J25" s="5"/>
    </row>
    <row r="26" spans="1:10" ht="15.75" customHeight="1" x14ac:dyDescent="0.15">
      <c r="A26" s="15" t="s">
        <v>112</v>
      </c>
      <c r="B26" s="16" t="str">
        <f>HYPERLINK("http://codeforces.com/problemset/problem/58/B","CF58-D2-B")</f>
        <v>CF58-D2-B</v>
      </c>
      <c r="C26" s="5"/>
      <c r="D26" s="7"/>
      <c r="E26" s="7"/>
      <c r="F26" s="7"/>
      <c r="G26" s="7"/>
      <c r="H26" s="12">
        <f t="shared" si="0"/>
        <v>0</v>
      </c>
      <c r="I26" s="7"/>
      <c r="J26" s="7"/>
    </row>
    <row r="27" spans="1:10" ht="15.75" customHeight="1" x14ac:dyDescent="0.15">
      <c r="A27" s="7"/>
      <c r="B27" s="7"/>
      <c r="C27" s="5"/>
      <c r="D27" s="7"/>
      <c r="E27" s="7"/>
      <c r="F27" s="7"/>
      <c r="G27" s="7"/>
      <c r="H27" s="12">
        <f t="shared" si="0"/>
        <v>0</v>
      </c>
      <c r="I27" s="7"/>
      <c r="J27" s="14" t="str">
        <f>HYPERLINK("https://www.youtube.com/watch?v=COB1GHq0YwY","Watch - Graph Theory - BFS")</f>
        <v>Watch - Graph Theory - BFS</v>
      </c>
    </row>
    <row r="28" spans="1:10" ht="15.75" customHeight="1" x14ac:dyDescent="0.15">
      <c r="A28" s="7"/>
      <c r="B28" s="7"/>
      <c r="C28" s="5"/>
      <c r="D28" s="7"/>
      <c r="E28" s="7"/>
      <c r="F28" s="7"/>
      <c r="G28" s="7"/>
      <c r="H28" s="12">
        <f t="shared" si="0"/>
        <v>0</v>
      </c>
      <c r="I28" s="7"/>
      <c r="J28" s="14" t="str">
        <f>HYPERLINK("https://www.youtube.com/watch?v=iXxP_liQklk","Watch - Intro to Greedy")</f>
        <v>Watch - Intro to Greedy</v>
      </c>
    </row>
    <row r="29" spans="1:10" ht="15.75" customHeight="1" x14ac:dyDescent="0.15">
      <c r="A29" s="15" t="s">
        <v>119</v>
      </c>
      <c r="B29" s="16" t="str">
        <f>HYPERLINK("http://codeforces.com/problemset/problem/408/B","CF408-D2-B")</f>
        <v>CF408-D2-B</v>
      </c>
      <c r="C29" s="5"/>
      <c r="D29" s="7"/>
      <c r="E29" s="7"/>
      <c r="F29" s="7"/>
      <c r="G29" s="7"/>
      <c r="H29" s="12">
        <f t="shared" si="0"/>
        <v>0</v>
      </c>
      <c r="I29" s="7"/>
      <c r="J29" s="7"/>
    </row>
    <row r="30" spans="1:10" ht="15.75" customHeight="1" x14ac:dyDescent="0.15">
      <c r="A30" s="15" t="s">
        <v>120</v>
      </c>
      <c r="B30" s="16" t="str">
        <f>HYPERLINK("http://codeforces.com/problemset/problem/416/B","CF416-D2-B")</f>
        <v>CF416-D2-B</v>
      </c>
      <c r="C30" s="5"/>
      <c r="D30" s="7"/>
      <c r="E30" s="7"/>
      <c r="F30" s="7"/>
      <c r="G30" s="7"/>
      <c r="H30" s="12">
        <f t="shared" si="0"/>
        <v>0</v>
      </c>
      <c r="I30" s="7"/>
      <c r="J30" s="7"/>
    </row>
    <row r="31" spans="1:10" ht="15.75" customHeight="1" x14ac:dyDescent="0.15">
      <c r="A31" s="15" t="s">
        <v>124</v>
      </c>
      <c r="B31" s="16" t="str">
        <f>HYPERLINK("http://codeforces.com/problemset/problem/66/B","CF66-D2-B")</f>
        <v>CF66-D2-B</v>
      </c>
      <c r="C31" s="5"/>
      <c r="D31" s="7"/>
      <c r="E31" s="7"/>
      <c r="F31" s="7"/>
      <c r="G31" s="7"/>
      <c r="H31" s="12">
        <f t="shared" si="0"/>
        <v>0</v>
      </c>
      <c r="I31" s="7"/>
      <c r="J31" s="7"/>
    </row>
    <row r="32" spans="1:10" ht="15.75" customHeight="1" x14ac:dyDescent="0.15">
      <c r="A32" s="15" t="s">
        <v>126</v>
      </c>
      <c r="B32" s="16" t="str">
        <f>HYPERLINK("http://codeforces.com/problemset/problem/337/B","CF337-D2-B")</f>
        <v>CF337-D2-B</v>
      </c>
      <c r="C32" s="5"/>
      <c r="D32" s="7"/>
      <c r="E32" s="7"/>
      <c r="F32" s="7"/>
      <c r="G32" s="7"/>
      <c r="H32" s="12">
        <f t="shared" si="0"/>
        <v>0</v>
      </c>
      <c r="I32" s="7"/>
      <c r="J32" s="7"/>
    </row>
    <row r="33" spans="1:10" ht="15.75" customHeight="1" x14ac:dyDescent="0.15">
      <c r="A33" s="15" t="s">
        <v>130</v>
      </c>
      <c r="B33" s="16" t="str">
        <f>HYPERLINK("http://codeforces.com/problemset/problem/361/B","CF361-D2-B")</f>
        <v>CF361-D2-B</v>
      </c>
      <c r="C33" s="5"/>
      <c r="D33" s="7"/>
      <c r="E33" s="7"/>
      <c r="F33" s="7"/>
      <c r="G33" s="7"/>
      <c r="H33" s="12">
        <f t="shared" si="0"/>
        <v>0</v>
      </c>
      <c r="I33" s="7"/>
      <c r="J33" s="7"/>
    </row>
    <row r="34" spans="1:10" ht="15.75" customHeight="1" x14ac:dyDescent="0.15">
      <c r="A34" s="15" t="s">
        <v>133</v>
      </c>
      <c r="B34" s="16" t="str">
        <f>HYPERLINK("http://codeforces.com/problemset/problem/234/B","CF234-D2-B")</f>
        <v>CF234-D2-B</v>
      </c>
      <c r="C34" s="5"/>
      <c r="D34" s="7"/>
      <c r="E34" s="7"/>
      <c r="F34" s="7"/>
      <c r="G34" s="7"/>
      <c r="H34" s="12">
        <f t="shared" si="0"/>
        <v>0</v>
      </c>
      <c r="I34" s="7"/>
      <c r="J34" s="7"/>
    </row>
    <row r="35" spans="1:10" ht="15.75" customHeight="1" x14ac:dyDescent="0.15">
      <c r="A35" s="15" t="s">
        <v>138</v>
      </c>
      <c r="B35" s="16" t="str">
        <f>HYPERLINK("http://codeforces.com/problemset/problem/359/B","CF359-D2-B")</f>
        <v>CF359-D2-B</v>
      </c>
      <c r="C35" s="5"/>
      <c r="D35" s="7"/>
      <c r="E35" s="7"/>
      <c r="F35" s="7"/>
      <c r="G35" s="7"/>
      <c r="H35" s="12">
        <f t="shared" si="0"/>
        <v>0</v>
      </c>
      <c r="I35" s="7"/>
      <c r="J35" s="7"/>
    </row>
    <row r="36" spans="1:10" ht="15.75" customHeight="1" x14ac:dyDescent="0.15">
      <c r="A36" s="15" t="s">
        <v>142</v>
      </c>
      <c r="B36" s="16" t="str">
        <f>HYPERLINK("http://codeforces.com/problemset/problem/143/B","CF143-D2-B")</f>
        <v>CF143-D2-B</v>
      </c>
      <c r="C36" s="5"/>
      <c r="D36" s="7"/>
      <c r="E36" s="7"/>
      <c r="F36" s="7"/>
      <c r="G36" s="7"/>
      <c r="H36" s="12">
        <f t="shared" si="0"/>
        <v>0</v>
      </c>
      <c r="I36" s="7"/>
      <c r="J36" s="5"/>
    </row>
    <row r="37" spans="1:10" ht="15.75" customHeight="1" x14ac:dyDescent="0.15">
      <c r="A37" s="15" t="s">
        <v>146</v>
      </c>
      <c r="B37" s="20" t="str">
        <f>HYPERLINK("http://codeforces.com/problemset/problem/233/B","CF233-D2-B")</f>
        <v>CF233-D2-B</v>
      </c>
      <c r="C37" s="5"/>
      <c r="D37" s="7"/>
      <c r="E37" s="7"/>
      <c r="F37" s="7"/>
      <c r="G37" s="7"/>
      <c r="H37" s="12">
        <f t="shared" si="0"/>
        <v>0</v>
      </c>
      <c r="I37" s="7"/>
      <c r="J37" s="7"/>
    </row>
    <row r="38" spans="1:10" ht="15.75" customHeight="1" x14ac:dyDescent="0.15">
      <c r="A38" s="15" t="s">
        <v>151</v>
      </c>
      <c r="B38" s="16" t="str">
        <f>HYPERLINK("http://codeforces.com/problemset/problem/205/B","CF205-D2-B")</f>
        <v>CF205-D2-B</v>
      </c>
      <c r="C38" s="5"/>
      <c r="D38" s="7"/>
      <c r="E38" s="7"/>
      <c r="F38" s="7"/>
      <c r="G38" s="7"/>
      <c r="H38" s="12">
        <f t="shared" si="0"/>
        <v>0</v>
      </c>
      <c r="I38" s="7"/>
      <c r="J38" s="7"/>
    </row>
    <row r="39" spans="1:10" ht="15.75" customHeight="1" x14ac:dyDescent="0.15">
      <c r="A39" s="7"/>
      <c r="B39" s="7"/>
      <c r="C39" s="5"/>
      <c r="D39" s="7"/>
      <c r="E39" s="7"/>
      <c r="F39" s="7"/>
      <c r="G39" s="7"/>
      <c r="H39" s="12">
        <f t="shared" si="0"/>
        <v>0</v>
      </c>
      <c r="I39" s="7"/>
      <c r="J39" s="16" t="str">
        <f>HYPERLINK("https://www.youtube.com/watch?v=XhVmgLXYvuQ","Watch - Computational Geometry - Intro")</f>
        <v>Watch - Computational Geometry - Intro</v>
      </c>
    </row>
    <row r="40" spans="1:10" ht="15.75" customHeight="1" x14ac:dyDescent="0.15">
      <c r="A40" s="7"/>
      <c r="B40" s="7"/>
      <c r="C40" s="5"/>
      <c r="D40" s="7"/>
      <c r="E40" s="7"/>
      <c r="F40" s="7"/>
      <c r="G40" s="7"/>
      <c r="H40" s="12">
        <f t="shared" si="0"/>
        <v>0</v>
      </c>
      <c r="I40" s="7"/>
      <c r="J40" s="16" t="str">
        <f>HYPERLINK("https://www.youtube.com/watch?v=2CUN12WrNr4","Watch - Computational Geometry - Point and Vector")</f>
        <v>Watch - Computational Geometry - Point and Vector</v>
      </c>
    </row>
    <row r="41" spans="1:10" ht="15.75" customHeight="1" x14ac:dyDescent="0.15">
      <c r="A41" s="7"/>
      <c r="B41" s="7"/>
      <c r="C41" s="5"/>
      <c r="D41" s="7"/>
      <c r="E41" s="7"/>
      <c r="F41" s="7"/>
      <c r="G41" s="7"/>
      <c r="H41" s="12">
        <f t="shared" si="0"/>
        <v>0</v>
      </c>
      <c r="I41" s="7"/>
      <c r="J41" s="16" t="str">
        <f>HYPERLINK("https://www.youtube.com/watch?v=dcMtSmWHLP4","Watch - Computational Geometry - Complex Number and 2D Point")</f>
        <v>Watch - Computational Geometry - Complex Number and 2D Point</v>
      </c>
    </row>
    <row r="42" spans="1:10" ht="15.75" customHeight="1" x14ac:dyDescent="0.15">
      <c r="A42" s="7"/>
      <c r="B42" s="7"/>
      <c r="C42" s="5"/>
      <c r="D42" s="7"/>
      <c r="E42" s="7"/>
      <c r="F42" s="7"/>
      <c r="G42" s="7"/>
      <c r="H42" s="12">
        <f t="shared" si="0"/>
        <v>0</v>
      </c>
      <c r="I42" s="7"/>
      <c r="J42" s="16" t="str">
        <f>HYPERLINK("https://www.youtube.com/watch?v=1Vi2h7dKdEQ","Watch - Computational Geometry - Lines and Distances")</f>
        <v>Watch - Computational Geometry - Lines and Distances</v>
      </c>
    </row>
    <row r="43" spans="1:10" ht="15.75" customHeight="1" x14ac:dyDescent="0.15">
      <c r="A43" s="7"/>
      <c r="B43" s="7"/>
      <c r="C43" s="5"/>
      <c r="D43" s="7"/>
      <c r="E43" s="7"/>
      <c r="F43" s="7"/>
      <c r="G43" s="7"/>
      <c r="H43" s="12">
        <f t="shared" si="0"/>
        <v>0</v>
      </c>
      <c r="I43" s="7"/>
      <c r="J43" s="16" t="str">
        <f>HYPERLINK("https://www.youtube.com/watch?v=k5fDfC9vfWM","Watch - Computational Geometry - Lines Intersections")</f>
        <v>Watch - Computational Geometry - Lines Intersections</v>
      </c>
    </row>
    <row r="44" spans="1:10" ht="15.75" customHeight="1" x14ac:dyDescent="0.15">
      <c r="A44" s="7"/>
      <c r="B44" s="7"/>
      <c r="C44" s="5"/>
      <c r="D44" s="7"/>
      <c r="E44" s="7"/>
      <c r="F44" s="7"/>
      <c r="G44" s="7"/>
      <c r="H44" s="12">
        <f t="shared" si="0"/>
        <v>0</v>
      </c>
      <c r="I44" s="7"/>
      <c r="J44" s="16" t="str">
        <f>HYPERLINK("https://www.youtube.com/watch?v=Fa69kqT9NPY","Watch - Computational Geometry - Circles")</f>
        <v>Watch - Computational Geometry - Circles</v>
      </c>
    </row>
    <row r="45" spans="1:10" ht="13" x14ac:dyDescent="0.15">
      <c r="A45" s="15" t="s">
        <v>158</v>
      </c>
      <c r="B45" s="20" t="str">
        <f>HYPERLINK("http://codeforces.com/problemset/problem/192/B","CF192-D2-B")</f>
        <v>CF192-D2-B</v>
      </c>
      <c r="C45" s="5"/>
      <c r="D45" s="7"/>
      <c r="E45" s="7"/>
      <c r="F45" s="7"/>
      <c r="G45" s="7"/>
      <c r="H45" s="12">
        <f t="shared" si="0"/>
        <v>0</v>
      </c>
      <c r="I45" s="7"/>
      <c r="J45" s="7"/>
    </row>
    <row r="46" spans="1:10" ht="13" x14ac:dyDescent="0.15">
      <c r="A46" s="15" t="s">
        <v>161</v>
      </c>
      <c r="B46" s="16" t="str">
        <f>HYPERLINK("http://codeforces.com/problemset/problem/342/B","CF342-D2-B")</f>
        <v>CF342-D2-B</v>
      </c>
      <c r="C46" s="5"/>
      <c r="D46" s="7"/>
      <c r="E46" s="7"/>
      <c r="F46" s="7"/>
      <c r="G46" s="7"/>
      <c r="H46" s="12">
        <f t="shared" si="0"/>
        <v>0</v>
      </c>
      <c r="I46" s="7"/>
      <c r="J46" s="7"/>
    </row>
    <row r="47" spans="1:10" ht="13" x14ac:dyDescent="0.15">
      <c r="A47" s="15" t="s">
        <v>163</v>
      </c>
      <c r="B47" s="16" t="str">
        <f>HYPERLINK("http://codeforces.com/problemset/problem/362/B","CF362-D2-B")</f>
        <v>CF362-D2-B</v>
      </c>
      <c r="C47" s="5"/>
      <c r="D47" s="7"/>
      <c r="E47" s="7"/>
      <c r="F47" s="7"/>
      <c r="G47" s="7"/>
      <c r="H47" s="12">
        <f t="shared" si="0"/>
        <v>0</v>
      </c>
      <c r="I47" s="7"/>
      <c r="J47" s="7"/>
    </row>
    <row r="48" spans="1:10" ht="13" x14ac:dyDescent="0.15">
      <c r="A48" s="15" t="s">
        <v>165</v>
      </c>
      <c r="B48" s="16" t="str">
        <f>HYPERLINK("http://codeforces.com/problemset/problem/231/B","CF231-D2-B")</f>
        <v>CF231-D2-B</v>
      </c>
      <c r="C48" s="5"/>
      <c r="D48" s="7"/>
      <c r="E48" s="7"/>
      <c r="F48" s="7"/>
      <c r="G48" s="7"/>
      <c r="H48" s="12">
        <f t="shared" si="0"/>
        <v>0</v>
      </c>
      <c r="I48" s="7"/>
      <c r="J48" s="7"/>
    </row>
    <row r="49" spans="1:10" ht="13" x14ac:dyDescent="0.15">
      <c r="A49" s="15" t="s">
        <v>166</v>
      </c>
      <c r="B49" s="16" t="str">
        <f>HYPERLINK("http://codeforces.com/problemset/problem/260/B","CF260-D2-B")</f>
        <v>CF260-D2-B</v>
      </c>
      <c r="C49" s="5"/>
      <c r="D49" s="7"/>
      <c r="E49" s="7"/>
      <c r="F49" s="7"/>
      <c r="G49" s="7"/>
      <c r="H49" s="12">
        <f t="shared" si="0"/>
        <v>0</v>
      </c>
      <c r="I49" s="7"/>
      <c r="J49" s="7"/>
    </row>
    <row r="50" spans="1:10" ht="13" x14ac:dyDescent="0.15">
      <c r="A50" s="15" t="s">
        <v>167</v>
      </c>
      <c r="B50" s="16" t="str">
        <f>HYPERLINK("http://codeforces.com/problemset/problem/225/B","CF225-D2-B")</f>
        <v>CF225-D2-B</v>
      </c>
      <c r="C50" s="5"/>
      <c r="D50" s="7"/>
      <c r="E50" s="7"/>
      <c r="F50" s="7"/>
      <c r="G50" s="7"/>
      <c r="H50" s="12">
        <f t="shared" si="0"/>
        <v>0</v>
      </c>
      <c r="I50" s="7"/>
      <c r="J50" s="5"/>
    </row>
    <row r="51" spans="1:10" ht="13" x14ac:dyDescent="0.15">
      <c r="A51" s="15" t="s">
        <v>169</v>
      </c>
      <c r="B51" s="16" t="str">
        <f>HYPERLINK("http://codeforces.com/problemset/problem/281/B","CF281-D2-B")</f>
        <v>CF281-D2-B</v>
      </c>
      <c r="C51" s="5"/>
      <c r="D51" s="7"/>
      <c r="E51" s="7"/>
      <c r="F51" s="7"/>
      <c r="G51" s="7"/>
      <c r="H51" s="12">
        <f t="shared" si="0"/>
        <v>0</v>
      </c>
      <c r="I51" s="7"/>
      <c r="J51" s="7"/>
    </row>
    <row r="52" spans="1:10" ht="13" x14ac:dyDescent="0.15">
      <c r="A52" s="15" t="s">
        <v>171</v>
      </c>
      <c r="B52" s="16" t="str">
        <f>HYPERLINK("http://codeforces.com/problemset/problem/94/B","CF94-D2-B")</f>
        <v>CF94-D2-B</v>
      </c>
      <c r="C52" s="5"/>
      <c r="D52" s="7"/>
      <c r="E52" s="7"/>
      <c r="F52" s="7"/>
      <c r="G52" s="7"/>
      <c r="H52" s="12">
        <f t="shared" si="0"/>
        <v>0</v>
      </c>
      <c r="I52" s="7"/>
      <c r="J52" s="7"/>
    </row>
    <row r="53" spans="1:10" ht="13" x14ac:dyDescent="0.15">
      <c r="A53" s="15" t="s">
        <v>173</v>
      </c>
      <c r="B53" s="16" t="str">
        <f>HYPERLINK("http://codeforces.com/problemset/problem/374/B","CF374-D2-B")</f>
        <v>CF374-D2-B</v>
      </c>
      <c r="C53" s="5"/>
      <c r="D53" s="7"/>
      <c r="E53" s="7"/>
      <c r="F53" s="7"/>
      <c r="G53" s="7"/>
      <c r="H53" s="12">
        <f t="shared" si="0"/>
        <v>0</v>
      </c>
      <c r="I53" s="7"/>
      <c r="J53" s="7"/>
    </row>
    <row r="54" spans="1:10" ht="13" x14ac:dyDescent="0.15">
      <c r="A54" s="15" t="s">
        <v>175</v>
      </c>
      <c r="B54" s="16" t="str">
        <f>HYPERLINK("http://codeforces.com/problemset/problem/69/B","CF69-D2-B")</f>
        <v>CF69-D2-B</v>
      </c>
      <c r="C54" s="5"/>
      <c r="D54" s="7"/>
      <c r="E54" s="7"/>
      <c r="F54" s="7"/>
      <c r="G54" s="7"/>
      <c r="H54" s="12">
        <f t="shared" si="0"/>
        <v>0</v>
      </c>
      <c r="I54" s="7"/>
      <c r="J54" s="7"/>
    </row>
    <row r="55" spans="1:10" ht="13" x14ac:dyDescent="0.15">
      <c r="A55" s="7"/>
      <c r="B55" s="7"/>
      <c r="C55" s="5"/>
      <c r="D55" s="7"/>
      <c r="E55" s="7"/>
      <c r="F55" s="7"/>
      <c r="G55" s="7"/>
      <c r="H55" s="12">
        <f t="shared" si="0"/>
        <v>0</v>
      </c>
      <c r="I55" s="7"/>
      <c r="J55" s="14" t="str">
        <f>HYPERLINK("https://www.youtube.com/watch?v=gFdP6X4CyKU","Watch - Intro to DP - 1")</f>
        <v>Watch - Intro to DP - 1</v>
      </c>
    </row>
    <row r="56" spans="1:10" ht="13" x14ac:dyDescent="0.15">
      <c r="A56" s="7"/>
      <c r="B56" s="7"/>
      <c r="C56" s="5"/>
      <c r="D56" s="7"/>
      <c r="E56" s="7"/>
      <c r="F56" s="7"/>
      <c r="G56" s="7"/>
      <c r="H56" s="12">
        <f t="shared" si="0"/>
        <v>0</v>
      </c>
      <c r="I56" s="7"/>
      <c r="J56" s="14" t="str">
        <f>HYPERLINK("https://www.youtube.com/watch?v=1j3srLj-C5Q","Watch - Intro to DP - 2")</f>
        <v>Watch - Intro to DP - 2</v>
      </c>
    </row>
    <row r="57" spans="1:10" ht="13" x14ac:dyDescent="0.15">
      <c r="A57" s="15" t="s">
        <v>180</v>
      </c>
      <c r="B57" s="16" t="str">
        <f>HYPERLINK("http://codeforces.com/problemset/problem/151/B","CF151-D2-B")</f>
        <v>CF151-D2-B</v>
      </c>
      <c r="C57" s="5"/>
      <c r="D57" s="7"/>
      <c r="E57" s="7"/>
      <c r="F57" s="7"/>
      <c r="G57" s="7"/>
      <c r="H57" s="12">
        <f t="shared" si="0"/>
        <v>0</v>
      </c>
      <c r="I57" s="7"/>
      <c r="J57" s="7"/>
    </row>
    <row r="58" spans="1:10" ht="13" x14ac:dyDescent="0.15">
      <c r="A58" s="15" t="s">
        <v>182</v>
      </c>
      <c r="B58" s="16" t="str">
        <f>HYPERLINK("http://codeforces.com/problemset/problem/129/B","CF129-D2-B")</f>
        <v>CF129-D2-B</v>
      </c>
      <c r="C58" s="5"/>
      <c r="D58" s="7"/>
      <c r="E58" s="7"/>
      <c r="F58" s="7"/>
      <c r="G58" s="7"/>
      <c r="H58" s="12">
        <f t="shared" si="0"/>
        <v>0</v>
      </c>
      <c r="I58" s="7"/>
      <c r="J58" s="7"/>
    </row>
    <row r="59" spans="1:10" ht="13" x14ac:dyDescent="0.15">
      <c r="A59" s="15" t="s">
        <v>184</v>
      </c>
      <c r="B59" s="16" t="str">
        <f>HYPERLINK("http://codeforces.com/problemset/problem/437/B","CF437-D2-B")</f>
        <v>CF437-D2-B</v>
      </c>
      <c r="C59" s="5"/>
      <c r="D59" s="7"/>
      <c r="E59" s="7"/>
      <c r="F59" s="7"/>
      <c r="G59" s="7"/>
      <c r="H59" s="12">
        <f t="shared" si="0"/>
        <v>0</v>
      </c>
      <c r="I59" s="7"/>
      <c r="J59" s="7"/>
    </row>
    <row r="60" spans="1:10" ht="26" x14ac:dyDescent="0.15">
      <c r="A60" s="15" t="s">
        <v>186</v>
      </c>
      <c r="B60" s="16" t="str">
        <f>HYPERLINK("http://codeforces.com/problemset/problem/219/B","CF219-D2-B")</f>
        <v>CF219-D2-B</v>
      </c>
      <c r="C60" s="5"/>
      <c r="D60" s="7"/>
      <c r="E60" s="7"/>
      <c r="F60" s="7"/>
      <c r="G60" s="7"/>
      <c r="H60" s="12">
        <f t="shared" si="0"/>
        <v>0</v>
      </c>
      <c r="I60" s="7"/>
      <c r="J60" s="7"/>
    </row>
    <row r="61" spans="1:10" ht="13" x14ac:dyDescent="0.15">
      <c r="A61" s="15" t="s">
        <v>188</v>
      </c>
      <c r="B61" s="16" t="str">
        <f>HYPERLINK("http://codeforces.com/problemset/problem/228/B","CF228-D2-B")</f>
        <v>CF228-D2-B</v>
      </c>
      <c r="C61" s="5"/>
      <c r="D61" s="7"/>
      <c r="E61" s="7"/>
      <c r="F61" s="7"/>
      <c r="G61" s="7"/>
      <c r="H61" s="12">
        <f t="shared" si="0"/>
        <v>0</v>
      </c>
      <c r="I61" s="7"/>
      <c r="J61" s="5"/>
    </row>
    <row r="62" spans="1:10" ht="13" x14ac:dyDescent="0.15">
      <c r="A62" s="15" t="s">
        <v>190</v>
      </c>
      <c r="B62" s="16" t="str">
        <f>HYPERLINK("http://codeforces.com/problemset/problem/96/B","CF96-D2-B")</f>
        <v>CF96-D2-B</v>
      </c>
      <c r="C62" s="5"/>
      <c r="D62" s="7"/>
      <c r="E62" s="7"/>
      <c r="F62" s="7"/>
      <c r="G62" s="7"/>
      <c r="H62" s="12">
        <f t="shared" si="0"/>
        <v>0</v>
      </c>
      <c r="I62" s="7"/>
      <c r="J62" s="7"/>
    </row>
    <row r="63" spans="1:10" ht="13" x14ac:dyDescent="0.15">
      <c r="A63" s="15" t="s">
        <v>192</v>
      </c>
      <c r="B63" s="16" t="str">
        <f>HYPERLINK("http://codeforces.com/problemset/problem/195/B","CF195-D2-B")</f>
        <v>CF195-D2-B</v>
      </c>
      <c r="C63" s="5"/>
      <c r="D63" s="7"/>
      <c r="E63" s="7"/>
      <c r="F63" s="7"/>
      <c r="G63" s="7"/>
      <c r="H63" s="12">
        <f t="shared" si="0"/>
        <v>0</v>
      </c>
      <c r="I63" s="7"/>
      <c r="J63" s="7"/>
    </row>
    <row r="64" spans="1:10" ht="13" x14ac:dyDescent="0.15">
      <c r="A64" s="15" t="s">
        <v>196</v>
      </c>
      <c r="B64" s="16" t="str">
        <f>HYPERLINK("http://codeforces.com/problemset/problem/197/B","CF197-D2-B")</f>
        <v>CF197-D2-B</v>
      </c>
      <c r="C64" s="5"/>
      <c r="D64" s="7"/>
      <c r="E64" s="7"/>
      <c r="F64" s="7"/>
      <c r="G64" s="7"/>
      <c r="H64" s="12">
        <f t="shared" si="0"/>
        <v>0</v>
      </c>
      <c r="I64" s="7"/>
      <c r="J64" s="7"/>
    </row>
    <row r="65" spans="1:10" ht="13" x14ac:dyDescent="0.15">
      <c r="A65" s="15" t="s">
        <v>198</v>
      </c>
      <c r="B65" s="16" t="str">
        <f>HYPERLINK("http://codeforces.com/problemset/problem/214/B","CF214-D2-B")</f>
        <v>CF214-D2-B</v>
      </c>
      <c r="C65" s="5"/>
      <c r="D65" s="7"/>
      <c r="E65" s="7"/>
      <c r="F65" s="7"/>
      <c r="G65" s="7"/>
      <c r="H65" s="12">
        <f t="shared" si="0"/>
        <v>0</v>
      </c>
      <c r="I65" s="7"/>
      <c r="J65" s="7"/>
    </row>
    <row r="66" spans="1:10" ht="13" x14ac:dyDescent="0.15">
      <c r="A66" s="15" t="s">
        <v>201</v>
      </c>
      <c r="B66" s="16" t="str">
        <f>HYPERLINK("http://codeforces.com/problemset/problem/63/B","CF63-D2-B")</f>
        <v>CF63-D2-B</v>
      </c>
      <c r="C66" s="5"/>
      <c r="D66" s="7"/>
      <c r="E66" s="7"/>
      <c r="F66" s="7"/>
      <c r="G66" s="7"/>
      <c r="H66" s="12">
        <f t="shared" si="0"/>
        <v>0</v>
      </c>
      <c r="I66" s="7"/>
      <c r="J66" s="7"/>
    </row>
    <row r="67" spans="1:10" ht="13" x14ac:dyDescent="0.15">
      <c r="A67" s="7"/>
      <c r="B67" s="7"/>
      <c r="C67" s="5"/>
      <c r="D67" s="7"/>
      <c r="E67" s="7"/>
      <c r="F67" s="7"/>
      <c r="G67" s="7"/>
      <c r="H67" s="12">
        <f t="shared" si="0"/>
        <v>0</v>
      </c>
      <c r="I67" s="7"/>
      <c r="J67" s="16" t="str">
        <f>HYPERLINK("https://www.youtube.com/watch?v=jxvaNAthWRI","Watch - Algebra - Number Bases and Polynomials")</f>
        <v>Watch - Algebra - Number Bases and Polynomials</v>
      </c>
    </row>
    <row r="68" spans="1:10" ht="13" x14ac:dyDescent="0.15">
      <c r="A68" s="7"/>
      <c r="B68" s="7"/>
      <c r="C68" s="5"/>
      <c r="D68" s="7"/>
      <c r="E68" s="7"/>
      <c r="F68" s="7"/>
      <c r="G68" s="7"/>
      <c r="H68" s="12">
        <f t="shared" si="0"/>
        <v>0</v>
      </c>
      <c r="I68" s="7"/>
      <c r="J68" s="16" t="str">
        <f>HYPERLINK("https://www.youtube.com/watch?v=O2SPaQXYHFc","Watch - Algebra - Patterns in Sequences")</f>
        <v>Watch - Algebra - Patterns in Sequences</v>
      </c>
    </row>
    <row r="69" spans="1:10" ht="13" x14ac:dyDescent="0.15">
      <c r="A69" s="15" t="s">
        <v>206</v>
      </c>
      <c r="B69" s="16" t="str">
        <f>HYPERLINK("http://codeforces.com/problemset/problem/149/B","CF149-D2-B")</f>
        <v>CF149-D2-B</v>
      </c>
      <c r="C69" s="5"/>
      <c r="D69" s="7"/>
      <c r="E69" s="7"/>
      <c r="F69" s="7"/>
      <c r="G69" s="7"/>
      <c r="H69" s="12">
        <f t="shared" si="0"/>
        <v>0</v>
      </c>
      <c r="I69" s="7"/>
      <c r="J69" s="7"/>
    </row>
    <row r="70" spans="1:10" ht="13" x14ac:dyDescent="0.15">
      <c r="A70" s="15" t="s">
        <v>208</v>
      </c>
      <c r="B70" s="16" t="str">
        <f>HYPERLINK("http://codeforces.com/problemset/problem/61/B","CF61-D2-B")</f>
        <v>CF61-D2-B</v>
      </c>
      <c r="C70" s="5"/>
      <c r="D70" s="7"/>
      <c r="E70" s="7"/>
      <c r="F70" s="7"/>
      <c r="G70" s="7"/>
      <c r="H70" s="12">
        <f t="shared" si="0"/>
        <v>0</v>
      </c>
      <c r="I70" s="7"/>
      <c r="J70" s="7"/>
    </row>
    <row r="71" spans="1:10" ht="13" x14ac:dyDescent="0.15">
      <c r="A71" s="15" t="s">
        <v>210</v>
      </c>
      <c r="B71" s="16" t="str">
        <f>HYPERLINK("http://codeforces.com/problemset/problem/9/B","CF9-D2-B")</f>
        <v>CF9-D2-B</v>
      </c>
      <c r="C71" s="5"/>
      <c r="D71" s="7"/>
      <c r="E71" s="7"/>
      <c r="F71" s="7"/>
      <c r="G71" s="7"/>
      <c r="H71" s="12">
        <f t="shared" si="0"/>
        <v>0</v>
      </c>
      <c r="I71" s="7"/>
      <c r="J71" s="7"/>
    </row>
    <row r="72" spans="1:10" ht="13" x14ac:dyDescent="0.15">
      <c r="A72" s="15" t="s">
        <v>212</v>
      </c>
      <c r="B72" s="16" t="str">
        <f>HYPERLINK("http://codeforces.com/problemset/problem/349/B","CF349-D2-B")</f>
        <v>CF349-D2-B</v>
      </c>
      <c r="C72" s="5"/>
      <c r="D72" s="7"/>
      <c r="E72" s="7"/>
      <c r="F72" s="7"/>
      <c r="G72" s="7"/>
      <c r="H72" s="12">
        <f t="shared" si="0"/>
        <v>0</v>
      </c>
      <c r="I72" s="7"/>
      <c r="J72" s="5"/>
    </row>
    <row r="73" spans="1:10" ht="13" x14ac:dyDescent="0.15">
      <c r="A73" s="15" t="s">
        <v>214</v>
      </c>
      <c r="B73" s="16" t="str">
        <f>HYPERLINK("http://codeforces.com/problemset/problem/275/B","CF275-D2-B")</f>
        <v>CF275-D2-B</v>
      </c>
      <c r="C73" s="5"/>
      <c r="D73" s="7"/>
      <c r="E73" s="7"/>
      <c r="F73" s="7"/>
      <c r="G73" s="7"/>
      <c r="H73" s="12">
        <f t="shared" si="0"/>
        <v>0</v>
      </c>
      <c r="I73" s="7"/>
      <c r="J73" s="7"/>
    </row>
    <row r="74" spans="1:10" ht="13" x14ac:dyDescent="0.15">
      <c r="A74" s="15" t="s">
        <v>217</v>
      </c>
      <c r="B74" s="16" t="str">
        <f>HYPERLINK("http://codeforces.com/problemset/problem/56/B","CF56-D2-B")</f>
        <v>CF56-D2-B</v>
      </c>
      <c r="C74" s="5"/>
      <c r="D74" s="7"/>
      <c r="E74" s="7"/>
      <c r="F74" s="7"/>
      <c r="G74" s="7"/>
      <c r="H74" s="12">
        <f t="shared" si="0"/>
        <v>0</v>
      </c>
      <c r="I74" s="7"/>
      <c r="J74" s="7"/>
    </row>
    <row r="75" spans="1:10" ht="13" x14ac:dyDescent="0.15">
      <c r="A75" s="15" t="s">
        <v>219</v>
      </c>
      <c r="B75" s="16" t="str">
        <f>HYPERLINK("http://codeforces.com/problemset/problem/41/B","CF41-D2-B")</f>
        <v>CF41-D2-B</v>
      </c>
      <c r="C75" s="5"/>
      <c r="D75" s="7"/>
      <c r="E75" s="7"/>
      <c r="F75" s="7"/>
      <c r="G75" s="7"/>
      <c r="H75" s="12">
        <f t="shared" si="0"/>
        <v>0</v>
      </c>
      <c r="I75" s="7"/>
      <c r="J75" s="7"/>
    </row>
    <row r="76" spans="1:10" ht="13" x14ac:dyDescent="0.15">
      <c r="A76" s="15" t="s">
        <v>221</v>
      </c>
      <c r="B76" s="16" t="str">
        <f>HYPERLINK("http://codeforces.com/problemset/problem/31/B","CF31-D2-B")</f>
        <v>CF31-D2-B</v>
      </c>
      <c r="C76" s="5"/>
      <c r="D76" s="7"/>
      <c r="E76" s="7"/>
      <c r="F76" s="7"/>
      <c r="G76" s="7"/>
      <c r="H76" s="12">
        <f t="shared" si="0"/>
        <v>0</v>
      </c>
      <c r="I76" s="7"/>
      <c r="J76" s="7"/>
    </row>
    <row r="77" spans="1:10" ht="13" x14ac:dyDescent="0.15">
      <c r="A77" s="15" t="s">
        <v>223</v>
      </c>
      <c r="B77" s="16" t="str">
        <f>HYPERLINK("http://codeforces.com/problemset/problem/29/B","CF29-D2-B")</f>
        <v>CF29-D2-B</v>
      </c>
      <c r="C77" s="5"/>
      <c r="D77" s="7"/>
      <c r="E77" s="7"/>
      <c r="F77" s="7"/>
      <c r="G77" s="7"/>
      <c r="H77" s="12">
        <f t="shared" si="0"/>
        <v>0</v>
      </c>
      <c r="I77" s="7"/>
      <c r="J77" s="7"/>
    </row>
    <row r="78" spans="1:10" ht="13" x14ac:dyDescent="0.15">
      <c r="A78" s="15" t="s">
        <v>225</v>
      </c>
      <c r="B78" s="16" t="str">
        <f>HYPERLINK("http://codeforces.com/problemset/problem/53/B","CF53-D2-B")</f>
        <v>CF53-D2-B</v>
      </c>
      <c r="C78" s="5"/>
      <c r="D78" s="7"/>
      <c r="E78" s="7"/>
      <c r="F78" s="7"/>
      <c r="G78" s="7"/>
      <c r="H78" s="12">
        <f t="shared" si="0"/>
        <v>0</v>
      </c>
      <c r="I78" s="7"/>
      <c r="J78" s="7"/>
    </row>
    <row r="79" spans="1:10" ht="13" x14ac:dyDescent="0.15">
      <c r="A79" s="7"/>
      <c r="B79" s="7"/>
      <c r="C79" s="5"/>
      <c r="D79" s="7"/>
      <c r="E79" s="7"/>
      <c r="F79" s="7"/>
      <c r="G79" s="7"/>
      <c r="H79" s="12">
        <f t="shared" si="0"/>
        <v>0</v>
      </c>
      <c r="I79" s="7"/>
      <c r="J79" s="16" t="str">
        <f>HYPERLINK("https://www.youtube.com/watch?v=xY8To84R87Y","Watch - Algebra - Summations")</f>
        <v>Watch - Algebra - Summations</v>
      </c>
    </row>
    <row r="80" spans="1:10" ht="13" x14ac:dyDescent="0.15">
      <c r="A80" s="7"/>
      <c r="B80" s="7"/>
      <c r="C80" s="5"/>
      <c r="D80" s="7"/>
      <c r="E80" s="7"/>
      <c r="F80" s="7"/>
      <c r="G80" s="7"/>
      <c r="H80" s="12">
        <f t="shared" si="0"/>
        <v>0</v>
      </c>
      <c r="I80" s="7"/>
      <c r="J80" s="16" t="str">
        <f>HYPERLINK("https://www.youtube.com/watch?v=OcqD14kI3Wk","Watch - Algebra - Basic Matrix Operations")</f>
        <v>Watch - Algebra - Basic Matrix Operations</v>
      </c>
    </row>
    <row r="81" spans="1:10" ht="13" x14ac:dyDescent="0.15">
      <c r="A81" s="15" t="s">
        <v>230</v>
      </c>
      <c r="B81" s="16" t="str">
        <f>HYPERLINK("http://codeforces.com/problemset/problem/189/B","CF189-D2-B")</f>
        <v>CF189-D2-B</v>
      </c>
      <c r="C81" s="5"/>
      <c r="D81" s="7"/>
      <c r="E81" s="7"/>
      <c r="F81" s="7"/>
      <c r="G81" s="7"/>
      <c r="H81" s="12">
        <f t="shared" si="0"/>
        <v>0</v>
      </c>
      <c r="I81" s="7"/>
      <c r="J81" s="7"/>
    </row>
    <row r="82" spans="1:10" ht="13" x14ac:dyDescent="0.15">
      <c r="A82" s="15" t="s">
        <v>232</v>
      </c>
      <c r="B82" s="16" t="str">
        <f>HYPERLINK("http://codeforces.com/problemset/problem/244/B","CF244-D2-B")</f>
        <v>CF244-D2-B</v>
      </c>
      <c r="C82" s="5"/>
      <c r="D82" s="7"/>
      <c r="E82" s="7"/>
      <c r="F82" s="7"/>
      <c r="G82" s="7"/>
      <c r="H82" s="12">
        <f t="shared" si="0"/>
        <v>0</v>
      </c>
      <c r="I82" s="7"/>
      <c r="J82" s="5"/>
    </row>
    <row r="83" spans="1:10" ht="13" x14ac:dyDescent="0.15">
      <c r="A83" s="15" t="s">
        <v>234</v>
      </c>
      <c r="B83" s="16" t="str">
        <f>HYPERLINK("http://codeforces.com/problemset/problem/14/B","CF14-D2-B")</f>
        <v>CF14-D2-B</v>
      </c>
      <c r="C83" s="7"/>
      <c r="D83" s="7"/>
      <c r="E83" s="7"/>
      <c r="F83" s="7"/>
      <c r="G83" s="7"/>
      <c r="H83" s="12">
        <f t="shared" si="0"/>
        <v>0</v>
      </c>
      <c r="I83" s="7"/>
      <c r="J83" s="7"/>
    </row>
    <row r="84" spans="1:10" ht="13" x14ac:dyDescent="0.15">
      <c r="A84" s="15" t="s">
        <v>236</v>
      </c>
      <c r="B84" s="16" t="str">
        <f>HYPERLINK("http://codeforces.com/problemset/problem/254/B","CF254-D2-B")</f>
        <v>CF254-D2-B</v>
      </c>
      <c r="C84" s="7"/>
      <c r="D84" s="5"/>
      <c r="E84" s="5"/>
      <c r="F84" s="5"/>
      <c r="G84" s="5"/>
      <c r="H84" s="12">
        <f t="shared" si="0"/>
        <v>0</v>
      </c>
      <c r="I84" s="5"/>
      <c r="J84" s="5"/>
    </row>
    <row r="85" spans="1:10" ht="13" x14ac:dyDescent="0.15">
      <c r="A85" s="15" t="s">
        <v>238</v>
      </c>
      <c r="B85" s="16" t="str">
        <f>HYPERLINK("http://codeforces.com/problemset/problem/103/B","CF103-D2-B")</f>
        <v>CF103-D2-B</v>
      </c>
      <c r="C85" s="7"/>
      <c r="D85" s="7"/>
      <c r="E85" s="7"/>
      <c r="F85" s="7"/>
      <c r="G85" s="7"/>
      <c r="H85" s="12">
        <f t="shared" si="0"/>
        <v>0</v>
      </c>
      <c r="I85" s="7"/>
      <c r="J85" s="7"/>
    </row>
    <row r="86" spans="1:10" ht="13" x14ac:dyDescent="0.15">
      <c r="A86" s="15" t="s">
        <v>240</v>
      </c>
      <c r="B86" s="16" t="str">
        <f>HYPERLINK("http://codeforces.com/problemset/problem/27/B","CF27-D2-B")</f>
        <v>CF27-D2-B</v>
      </c>
      <c r="C86" s="7"/>
      <c r="D86" s="7"/>
      <c r="E86" s="7"/>
      <c r="F86" s="7"/>
      <c r="G86" s="7"/>
      <c r="H86" s="12">
        <f t="shared" si="0"/>
        <v>0</v>
      </c>
      <c r="I86" s="7"/>
      <c r="J86" s="7"/>
    </row>
    <row r="87" spans="1:10" ht="13" x14ac:dyDescent="0.15">
      <c r="A87" s="15" t="s">
        <v>242</v>
      </c>
      <c r="B87" s="16" t="str">
        <f>HYPERLINK("http://codeforces.com/problemset/problem/99/B","CF99-D2-B")</f>
        <v>CF99-D2-B</v>
      </c>
      <c r="C87" s="7"/>
      <c r="D87" s="7"/>
      <c r="E87" s="7"/>
      <c r="F87" s="7"/>
      <c r="G87" s="7"/>
      <c r="H87" s="12">
        <f t="shared" si="0"/>
        <v>0</v>
      </c>
      <c r="I87" s="7"/>
      <c r="J87" s="7"/>
    </row>
    <row r="88" spans="1:10" ht="13" x14ac:dyDescent="0.15">
      <c r="A88" s="15" t="s">
        <v>244</v>
      </c>
      <c r="B88" s="16" t="str">
        <f>HYPERLINK("http://codeforces.com/problemset/problem/190/B","CF190-D2-B")</f>
        <v>CF190-D2-B</v>
      </c>
      <c r="C88" s="7"/>
      <c r="D88" s="7"/>
      <c r="E88" s="7"/>
      <c r="F88" s="7"/>
      <c r="G88" s="7"/>
      <c r="H88" s="12">
        <f t="shared" si="0"/>
        <v>0</v>
      </c>
      <c r="I88" s="7"/>
      <c r="J88" s="7"/>
    </row>
    <row r="89" spans="1:10" ht="13" x14ac:dyDescent="0.15">
      <c r="A89" s="15" t="s">
        <v>246</v>
      </c>
      <c r="B89" s="16" t="str">
        <f>HYPERLINK("http://codeforces.com/problemset/problem/22/B","CF22-D2-B")</f>
        <v>CF22-D2-B</v>
      </c>
      <c r="C89" s="7"/>
      <c r="D89" s="7"/>
      <c r="E89" s="7"/>
      <c r="F89" s="7"/>
      <c r="G89" s="7"/>
      <c r="H89" s="12">
        <f t="shared" si="0"/>
        <v>0</v>
      </c>
      <c r="I89" s="7"/>
      <c r="J89" s="7"/>
    </row>
    <row r="90" spans="1:10" ht="13" x14ac:dyDescent="0.15">
      <c r="A90" s="15" t="s">
        <v>248</v>
      </c>
      <c r="B90" s="16" t="str">
        <f>HYPERLINK("http://codeforces.com/problemset/problem/75/B","CF75-D2-B")</f>
        <v>CF75-D2-B</v>
      </c>
      <c r="C90" s="7"/>
      <c r="D90" s="7"/>
      <c r="E90" s="7"/>
      <c r="F90" s="7"/>
      <c r="G90" s="7"/>
      <c r="H90" s="12">
        <f t="shared" si="0"/>
        <v>0</v>
      </c>
      <c r="I90" s="7"/>
      <c r="J90" s="7"/>
    </row>
    <row r="91" spans="1:10" ht="13" x14ac:dyDescent="0.15">
      <c r="A91" s="7"/>
      <c r="B91" s="7"/>
      <c r="C91" s="7"/>
      <c r="D91" s="7"/>
      <c r="E91" s="7"/>
      <c r="F91" s="7"/>
      <c r="G91" s="7"/>
      <c r="H91" s="12">
        <f t="shared" si="0"/>
        <v>0</v>
      </c>
      <c r="I91" s="7"/>
      <c r="J91" s="23" t="s">
        <v>185</v>
      </c>
    </row>
    <row r="92" spans="1:10" ht="13" x14ac:dyDescent="0.15">
      <c r="A92" s="24"/>
      <c r="B92" s="24"/>
      <c r="C92" s="24"/>
      <c r="D92" s="24"/>
      <c r="E92" s="24"/>
      <c r="F92" s="24"/>
      <c r="G92" s="24"/>
      <c r="H92" s="26">
        <f t="shared" si="0"/>
        <v>0</v>
      </c>
      <c r="I92" s="24"/>
      <c r="J92" s="24"/>
    </row>
    <row r="93" spans="1:10" ht="13" x14ac:dyDescent="0.15">
      <c r="A93" s="7"/>
      <c r="B93" s="7"/>
      <c r="C93" s="7"/>
      <c r="D93" s="96" t="s">
        <v>187</v>
      </c>
      <c r="E93" s="97"/>
      <c r="F93" s="97"/>
      <c r="G93" s="97"/>
      <c r="H93" s="12">
        <f t="shared" si="0"/>
        <v>0</v>
      </c>
      <c r="I93" s="98" t="s">
        <v>189</v>
      </c>
      <c r="J93" s="97"/>
    </row>
    <row r="94" spans="1:10" ht="13" x14ac:dyDescent="0.15">
      <c r="A94" s="24"/>
      <c r="B94" s="24"/>
      <c r="C94" s="24"/>
      <c r="D94" s="24"/>
      <c r="E94" s="24"/>
      <c r="F94" s="24"/>
      <c r="G94" s="24"/>
      <c r="H94" s="26">
        <f t="shared" si="0"/>
        <v>0</v>
      </c>
      <c r="I94" s="24"/>
      <c r="J94" s="24"/>
    </row>
    <row r="95" spans="1:10" ht="13" x14ac:dyDescent="0.15">
      <c r="A95" s="15" t="s">
        <v>253</v>
      </c>
      <c r="B95" s="16" t="str">
        <f>HYPERLINK("http://codeforces.com/problemset/problem/158/B","CF158-D2-B")</f>
        <v>CF158-D2-B</v>
      </c>
      <c r="C95" s="7"/>
      <c r="D95" s="7"/>
      <c r="E95" s="7"/>
      <c r="F95" s="7"/>
      <c r="G95" s="7"/>
      <c r="H95" s="12">
        <f t="shared" si="0"/>
        <v>0</v>
      </c>
      <c r="I95" s="7"/>
      <c r="J95" s="7"/>
    </row>
    <row r="96" spans="1:10" ht="13" x14ac:dyDescent="0.15">
      <c r="A96" s="15" t="s">
        <v>255</v>
      </c>
      <c r="B96" s="16" t="str">
        <f>HYPERLINK("http://codeforces.com/problemset/problem/268/B","CF268-D2-B")</f>
        <v>CF268-D2-B</v>
      </c>
      <c r="C96" s="7"/>
      <c r="D96" s="7"/>
      <c r="E96" s="7"/>
      <c r="F96" s="7"/>
      <c r="G96" s="7"/>
      <c r="H96" s="12">
        <f t="shared" si="0"/>
        <v>0</v>
      </c>
      <c r="I96" s="7"/>
      <c r="J96" s="7"/>
    </row>
    <row r="97" spans="1:10" ht="26" x14ac:dyDescent="0.15">
      <c r="A97" s="15" t="s">
        <v>257</v>
      </c>
      <c r="B97" s="16" t="str">
        <f>HYPERLINK("http://codeforces.com/problemset/problem/519/B","CF519-D2-B")</f>
        <v>CF519-D2-B</v>
      </c>
      <c r="C97" s="7"/>
      <c r="D97" s="7"/>
      <c r="E97" s="7"/>
      <c r="F97" s="7"/>
      <c r="G97" s="7"/>
      <c r="H97" s="12">
        <f t="shared" si="0"/>
        <v>0</v>
      </c>
      <c r="I97" s="7"/>
      <c r="J97" s="7"/>
    </row>
    <row r="98" spans="1:10" ht="13" x14ac:dyDescent="0.15">
      <c r="A98" s="15" t="s">
        <v>259</v>
      </c>
      <c r="B98" s="16" t="str">
        <f>HYPERLINK("http://codeforces.com/problemset/problem/459/B","CF459-D2-B")</f>
        <v>CF459-D2-B</v>
      </c>
      <c r="C98" s="7"/>
      <c r="D98" s="7"/>
      <c r="E98" s="7"/>
      <c r="F98" s="7"/>
      <c r="G98" s="7"/>
      <c r="H98" s="12">
        <f t="shared" si="0"/>
        <v>0</v>
      </c>
      <c r="I98" s="7"/>
      <c r="J98" s="7"/>
    </row>
    <row r="99" spans="1:10" ht="13" x14ac:dyDescent="0.15">
      <c r="A99" s="15" t="s">
        <v>262</v>
      </c>
      <c r="B99" s="16" t="str">
        <f>HYPERLINK("http://codeforces.com/problemset/problem/118/B","CF118-D2-B")</f>
        <v>CF118-D2-B</v>
      </c>
      <c r="C99" s="7"/>
      <c r="D99" s="7"/>
      <c r="E99" s="7"/>
      <c r="F99" s="7"/>
      <c r="G99" s="7"/>
      <c r="H99" s="12">
        <f t="shared" si="0"/>
        <v>0</v>
      </c>
      <c r="I99" s="7"/>
      <c r="J99" s="7"/>
    </row>
    <row r="100" spans="1:10" ht="13" x14ac:dyDescent="0.15">
      <c r="A100" s="15" t="s">
        <v>264</v>
      </c>
      <c r="B100" s="16" t="str">
        <f>HYPERLINK("http://codeforces.com/problemset/problem/200/B","CF200-D2-B")</f>
        <v>CF200-D2-B</v>
      </c>
      <c r="C100" s="7"/>
      <c r="D100" s="7"/>
      <c r="E100" s="7"/>
      <c r="F100" s="7"/>
      <c r="G100" s="7"/>
      <c r="H100" s="12">
        <f t="shared" si="0"/>
        <v>0</v>
      </c>
      <c r="I100" s="7"/>
      <c r="J100" s="7"/>
    </row>
    <row r="101" spans="1:10" ht="13" x14ac:dyDescent="0.15">
      <c r="A101" s="15" t="s">
        <v>265</v>
      </c>
      <c r="B101" s="16" t="str">
        <f>HYPERLINK("http://codeforces.com/problemset/problem/474/B","CF474-D2-B")</f>
        <v>CF474-D2-B</v>
      </c>
      <c r="C101" s="7"/>
      <c r="D101" s="7"/>
      <c r="E101" s="7"/>
      <c r="F101" s="7"/>
      <c r="G101" s="7"/>
      <c r="H101" s="12">
        <f t="shared" si="0"/>
        <v>0</v>
      </c>
      <c r="I101" s="7"/>
      <c r="J101" s="7"/>
    </row>
    <row r="102" spans="1:10" ht="13" x14ac:dyDescent="0.15">
      <c r="A102" s="15" t="s">
        <v>267</v>
      </c>
      <c r="B102" s="16" t="str">
        <f>HYPERLINK("http://codeforces.com/problemset/problem/1/B","CF1-D2-B")</f>
        <v>CF1-D2-B</v>
      </c>
      <c r="C102" s="7"/>
      <c r="D102" s="7"/>
      <c r="E102" s="7"/>
      <c r="F102" s="7"/>
      <c r="G102" s="7"/>
      <c r="H102" s="12">
        <f t="shared" si="0"/>
        <v>0</v>
      </c>
      <c r="I102" s="7"/>
      <c r="J102" s="7"/>
    </row>
    <row r="103" spans="1:10" ht="13" x14ac:dyDescent="0.15">
      <c r="A103" s="15" t="s">
        <v>269</v>
      </c>
      <c r="B103" s="16" t="str">
        <f>HYPERLINK("http://codeforces.com/problemset/problem/552/B","CF552-D2-B")</f>
        <v>CF552-D2-B</v>
      </c>
      <c r="C103" s="7"/>
      <c r="D103" s="7"/>
      <c r="E103" s="7"/>
      <c r="F103" s="7"/>
      <c r="G103" s="7"/>
      <c r="H103" s="12">
        <f t="shared" si="0"/>
        <v>0</v>
      </c>
      <c r="I103" s="7"/>
      <c r="J103" s="7"/>
    </row>
    <row r="104" spans="1:10" ht="13" x14ac:dyDescent="0.15">
      <c r="A104" s="15" t="s">
        <v>271</v>
      </c>
      <c r="B104" s="16" t="str">
        <f>HYPERLINK("http://codeforces.com/problemset/problem/463/B","CF463-D2-B")</f>
        <v>CF463-D2-B</v>
      </c>
      <c r="C104" s="7"/>
      <c r="D104" s="7"/>
      <c r="E104" s="7"/>
      <c r="F104" s="7"/>
      <c r="G104" s="7"/>
      <c r="H104" s="12">
        <f t="shared" si="0"/>
        <v>0</v>
      </c>
      <c r="I104" s="7"/>
      <c r="J104" s="7"/>
    </row>
    <row r="105" spans="1:10" ht="13" x14ac:dyDescent="0.15">
      <c r="A105" s="7"/>
      <c r="B105" s="7"/>
      <c r="C105" s="7"/>
      <c r="D105" s="7"/>
      <c r="E105" s="7"/>
      <c r="F105" s="7"/>
      <c r="G105" s="7"/>
      <c r="H105" s="12">
        <f t="shared" si="0"/>
        <v>0</v>
      </c>
      <c r="I105" s="7"/>
      <c r="J105" s="7"/>
    </row>
    <row r="106" spans="1:10" ht="13" x14ac:dyDescent="0.15">
      <c r="A106" s="15" t="s">
        <v>273</v>
      </c>
      <c r="B106" s="16" t="str">
        <f>HYPERLINK("http://codeforces.com/problemset/problem/546/B","CF546-D2-B")</f>
        <v>CF546-D2-B</v>
      </c>
      <c r="C106" s="7"/>
      <c r="D106" s="7"/>
      <c r="E106" s="7"/>
      <c r="F106" s="7"/>
      <c r="G106" s="7"/>
      <c r="H106" s="12">
        <f t="shared" si="0"/>
        <v>0</v>
      </c>
      <c r="I106" s="7"/>
      <c r="J106" s="7"/>
    </row>
    <row r="107" spans="1:10" ht="13" x14ac:dyDescent="0.15">
      <c r="A107" s="15" t="s">
        <v>274</v>
      </c>
      <c r="B107" s="16" t="str">
        <f>HYPERLINK("http://codeforces.com/problemset/problem/570/B","CF570-D2-B")</f>
        <v>CF570-D2-B</v>
      </c>
      <c r="C107" s="7"/>
      <c r="D107" s="7"/>
      <c r="E107" s="7"/>
      <c r="F107" s="7"/>
      <c r="G107" s="7"/>
      <c r="H107" s="12">
        <f t="shared" si="0"/>
        <v>0</v>
      </c>
      <c r="I107" s="7"/>
      <c r="J107" s="7"/>
    </row>
    <row r="108" spans="1:10" ht="26" x14ac:dyDescent="0.15">
      <c r="A108" s="15" t="s">
        <v>276</v>
      </c>
      <c r="B108" s="16" t="str">
        <f>HYPERLINK("http://codeforces.com/problemset/problem/472/B","CF472-D2-B")</f>
        <v>CF472-D2-B</v>
      </c>
      <c r="C108" s="7"/>
      <c r="D108" s="7"/>
      <c r="E108" s="7"/>
      <c r="F108" s="7"/>
      <c r="G108" s="7"/>
      <c r="H108" s="12">
        <f t="shared" si="0"/>
        <v>0</v>
      </c>
      <c r="I108" s="7"/>
      <c r="J108" s="7"/>
    </row>
    <row r="109" spans="1:10" ht="13" x14ac:dyDescent="0.15">
      <c r="A109" s="15" t="s">
        <v>278</v>
      </c>
      <c r="B109" s="16" t="str">
        <f>HYPERLINK("http://codeforces.com/problemset/problem/489/B","CF489-D2-B")</f>
        <v>CF489-D2-B</v>
      </c>
      <c r="C109" s="7"/>
      <c r="D109" s="7"/>
      <c r="E109" s="7"/>
      <c r="F109" s="7"/>
      <c r="G109" s="7"/>
      <c r="H109" s="12">
        <f t="shared" si="0"/>
        <v>0</v>
      </c>
      <c r="I109" s="7"/>
      <c r="J109" s="7"/>
    </row>
    <row r="110" spans="1:10" ht="13" x14ac:dyDescent="0.15">
      <c r="A110" s="15" t="s">
        <v>280</v>
      </c>
      <c r="B110" s="16" t="str">
        <f>HYPERLINK("http://codeforces.com/problemset/problem/583/B","CF583-D2-B")</f>
        <v>CF583-D2-B</v>
      </c>
      <c r="C110" s="7"/>
      <c r="D110" s="7"/>
      <c r="E110" s="7"/>
      <c r="F110" s="7"/>
      <c r="G110" s="7"/>
      <c r="H110" s="12">
        <f t="shared" si="0"/>
        <v>0</v>
      </c>
      <c r="I110" s="7"/>
      <c r="J110" s="7"/>
    </row>
    <row r="111" spans="1:10" ht="13" x14ac:dyDescent="0.15">
      <c r="A111" s="15" t="s">
        <v>282</v>
      </c>
      <c r="B111" s="16" t="str">
        <f>HYPERLINK("http://codeforces.com/problemset/problem/313/B","CF313-D2-B")</f>
        <v>CF313-D2-B</v>
      </c>
      <c r="C111" s="7"/>
      <c r="D111" s="7"/>
      <c r="E111" s="7"/>
      <c r="F111" s="7"/>
      <c r="G111" s="7"/>
      <c r="H111" s="12">
        <f t="shared" si="0"/>
        <v>0</v>
      </c>
      <c r="I111" s="7"/>
      <c r="J111" s="7"/>
    </row>
    <row r="112" spans="1:10" ht="13" x14ac:dyDescent="0.15">
      <c r="A112" s="15" t="s">
        <v>284</v>
      </c>
      <c r="B112" s="16" t="str">
        <f>HYPERLINK("http://codeforces.com/problemset/problem/545/B","CF545-D2-B")</f>
        <v>CF545-D2-B</v>
      </c>
      <c r="C112" s="7"/>
      <c r="D112" s="7"/>
      <c r="E112" s="7"/>
      <c r="F112" s="7"/>
      <c r="G112" s="7"/>
      <c r="H112" s="12">
        <f t="shared" si="0"/>
        <v>0</v>
      </c>
      <c r="I112" s="7"/>
      <c r="J112" s="7"/>
    </row>
    <row r="113" spans="1:10" ht="13" x14ac:dyDescent="0.15">
      <c r="A113" s="15" t="s">
        <v>287</v>
      </c>
      <c r="B113" s="16" t="str">
        <f>HYPERLINK("http://codeforces.com/problemset/problem/581/B","CF581-D2-B")</f>
        <v>CF581-D2-B</v>
      </c>
      <c r="C113" s="7"/>
      <c r="D113" s="7"/>
      <c r="E113" s="7"/>
      <c r="F113" s="7"/>
      <c r="G113" s="7"/>
      <c r="H113" s="12">
        <f t="shared" si="0"/>
        <v>0</v>
      </c>
      <c r="I113" s="7"/>
      <c r="J113" s="7"/>
    </row>
    <row r="114" spans="1:10" ht="13" x14ac:dyDescent="0.15">
      <c r="A114" s="15" t="s">
        <v>289</v>
      </c>
      <c r="B114" s="16" t="str">
        <f>HYPERLINK("http://codeforces.com/problemset/problem/535/B","CF535-D2-B")</f>
        <v>CF535-D2-B</v>
      </c>
      <c r="C114" s="7"/>
      <c r="D114" s="7"/>
      <c r="E114" s="7"/>
      <c r="F114" s="7"/>
      <c r="G114" s="7"/>
      <c r="H114" s="12">
        <f t="shared" si="0"/>
        <v>0</v>
      </c>
      <c r="I114" s="7"/>
      <c r="J114" s="7"/>
    </row>
    <row r="115" spans="1:10" ht="13" x14ac:dyDescent="0.15">
      <c r="A115" s="15" t="s">
        <v>291</v>
      </c>
      <c r="B115" s="16" t="str">
        <f>HYPERLINK("http://codeforces.com/problemset/problem/567/B","CF567-D2-B")</f>
        <v>CF567-D2-B</v>
      </c>
      <c r="C115" s="7"/>
      <c r="D115" s="7"/>
      <c r="E115" s="7"/>
      <c r="F115" s="7"/>
      <c r="G115" s="7"/>
      <c r="H115" s="12">
        <f t="shared" si="0"/>
        <v>0</v>
      </c>
      <c r="I115" s="7"/>
      <c r="J115" s="7"/>
    </row>
    <row r="116" spans="1:10" ht="13" x14ac:dyDescent="0.15">
      <c r="A116" s="7"/>
      <c r="B116" s="7"/>
      <c r="C116" s="7"/>
      <c r="D116" s="7"/>
      <c r="E116" s="7"/>
      <c r="F116" s="7"/>
      <c r="G116" s="7"/>
      <c r="H116" s="12">
        <f t="shared" si="0"/>
        <v>0</v>
      </c>
      <c r="I116" s="7"/>
      <c r="J116" s="7"/>
    </row>
    <row r="117" spans="1:10" ht="13" x14ac:dyDescent="0.15">
      <c r="A117" s="15" t="s">
        <v>293</v>
      </c>
      <c r="B117" s="16" t="str">
        <f>HYPERLINK("http://codeforces.com/problemset/problem/266/B","CF266-D2-B")</f>
        <v>CF266-D2-B</v>
      </c>
      <c r="C117" s="7"/>
      <c r="D117" s="7"/>
      <c r="E117" s="7"/>
      <c r="F117" s="7"/>
      <c r="G117" s="7"/>
      <c r="H117" s="12">
        <f t="shared" si="0"/>
        <v>0</v>
      </c>
      <c r="I117" s="7"/>
      <c r="J117" s="7"/>
    </row>
    <row r="118" spans="1:10" ht="13" x14ac:dyDescent="0.15">
      <c r="A118" s="15" t="s">
        <v>294</v>
      </c>
      <c r="B118" s="16" t="str">
        <f>HYPERLINK("http://codeforces.com/problemset/problem/467/B","CF467-D2-B")</f>
        <v>CF467-D2-B</v>
      </c>
      <c r="C118" s="7"/>
      <c r="D118" s="7"/>
      <c r="E118" s="7"/>
      <c r="F118" s="7"/>
      <c r="G118" s="7"/>
      <c r="H118" s="12">
        <f t="shared" si="0"/>
        <v>0</v>
      </c>
      <c r="I118" s="7"/>
      <c r="J118" s="7"/>
    </row>
    <row r="119" spans="1:10" ht="13" x14ac:dyDescent="0.15">
      <c r="A119" s="15" t="s">
        <v>295</v>
      </c>
      <c r="B119" s="16" t="str">
        <f>HYPERLINK("http://codeforces.com/problemset/problem/492/B","CF492-D2-B")</f>
        <v>CF492-D2-B</v>
      </c>
      <c r="C119" s="7"/>
      <c r="D119" s="7"/>
      <c r="E119" s="7"/>
      <c r="F119" s="7"/>
      <c r="G119" s="7"/>
      <c r="H119" s="12">
        <f t="shared" si="0"/>
        <v>0</v>
      </c>
      <c r="I119" s="7"/>
      <c r="J119" s="7"/>
    </row>
    <row r="120" spans="1:10" ht="13" x14ac:dyDescent="0.15">
      <c r="A120" s="15" t="s">
        <v>296</v>
      </c>
      <c r="B120" s="16" t="str">
        <f>HYPERLINK("http://codeforces.com/problemset/problem/499/B","CF499-D2-B")</f>
        <v>CF499-D2-B</v>
      </c>
      <c r="C120" s="7"/>
      <c r="D120" s="7"/>
      <c r="E120" s="7"/>
      <c r="F120" s="7"/>
      <c r="G120" s="7"/>
      <c r="H120" s="12">
        <f t="shared" si="0"/>
        <v>0</v>
      </c>
      <c r="I120" s="7"/>
      <c r="J120" s="7"/>
    </row>
    <row r="121" spans="1:10" ht="26" x14ac:dyDescent="0.15">
      <c r="A121" s="15" t="s">
        <v>297</v>
      </c>
      <c r="B121" s="16" t="str">
        <f>HYPERLINK("http://codeforces.com/problemset/problem/508/B","CF508-D2-B")</f>
        <v>CF508-D2-B</v>
      </c>
      <c r="C121" s="7"/>
      <c r="D121" s="7"/>
      <c r="E121" s="7"/>
      <c r="F121" s="7"/>
      <c r="G121" s="7"/>
      <c r="H121" s="12">
        <f t="shared" si="0"/>
        <v>0</v>
      </c>
      <c r="I121" s="7"/>
      <c r="J121" s="7"/>
    </row>
    <row r="122" spans="1:10" ht="13" x14ac:dyDescent="0.15">
      <c r="A122" s="15" t="s">
        <v>298</v>
      </c>
      <c r="B122" s="20" t="str">
        <f>HYPERLINK("http://codeforces.com/problemset/problem/507/B","CF507-D2-B")</f>
        <v>CF507-D2-B</v>
      </c>
      <c r="C122" s="7"/>
      <c r="D122" s="7"/>
      <c r="E122" s="7"/>
      <c r="F122" s="7"/>
      <c r="G122" s="7"/>
      <c r="H122" s="12">
        <f t="shared" si="0"/>
        <v>0</v>
      </c>
      <c r="I122" s="7"/>
      <c r="J122" s="7"/>
    </row>
    <row r="123" spans="1:10" ht="13" x14ac:dyDescent="0.15">
      <c r="A123" s="15" t="s">
        <v>299</v>
      </c>
      <c r="B123" s="16" t="str">
        <f>HYPERLINK("http://codeforces.com/problemset/problem/450/B","CF450-D2-B")</f>
        <v>CF450-D2-B</v>
      </c>
      <c r="C123" s="7"/>
      <c r="D123" s="7"/>
      <c r="E123" s="7"/>
      <c r="F123" s="7"/>
      <c r="G123" s="7"/>
      <c r="H123" s="12">
        <f t="shared" si="0"/>
        <v>0</v>
      </c>
      <c r="I123" s="7"/>
      <c r="J123" s="7"/>
    </row>
    <row r="124" spans="1:10" ht="13" x14ac:dyDescent="0.15">
      <c r="A124" s="15" t="s">
        <v>300</v>
      </c>
      <c r="B124" s="16" t="str">
        <f>HYPERLINK("http://codeforces.com/problemset/problem/285/B","CF285-D2-B")</f>
        <v>CF285-D2-B</v>
      </c>
      <c r="C124" s="7"/>
      <c r="D124" s="7"/>
      <c r="E124" s="7"/>
      <c r="F124" s="7"/>
      <c r="G124" s="7"/>
      <c r="H124" s="12">
        <f t="shared" si="0"/>
        <v>0</v>
      </c>
      <c r="I124" s="7"/>
      <c r="J124" s="7"/>
    </row>
    <row r="125" spans="1:10" ht="26" x14ac:dyDescent="0.15">
      <c r="A125" s="15" t="s">
        <v>301</v>
      </c>
      <c r="B125" s="16" t="str">
        <f>HYPERLINK("http://codeforces.com/problemset/problem/259/B","CF259-D2-B")</f>
        <v>CF259-D2-B</v>
      </c>
      <c r="C125" s="7"/>
      <c r="D125" s="7"/>
      <c r="E125" s="7"/>
      <c r="F125" s="7"/>
      <c r="G125" s="7"/>
      <c r="H125" s="12">
        <f t="shared" si="0"/>
        <v>0</v>
      </c>
      <c r="I125" s="7"/>
      <c r="J125" s="7"/>
    </row>
    <row r="126" spans="1:10" ht="13" x14ac:dyDescent="0.15">
      <c r="A126" s="15" t="s">
        <v>302</v>
      </c>
      <c r="B126" s="16" t="str">
        <f>HYPERLINK("http://codeforces.com/problemset/problem/432/B","CF432-D2-B")</f>
        <v>CF432-D2-B</v>
      </c>
      <c r="C126" s="7"/>
      <c r="D126" s="7"/>
      <c r="E126" s="7"/>
      <c r="F126" s="7"/>
      <c r="G126" s="7"/>
      <c r="H126" s="12">
        <f t="shared" si="0"/>
        <v>0</v>
      </c>
      <c r="I126" s="7"/>
      <c r="J126" s="7"/>
    </row>
    <row r="127" spans="1:10" ht="13" x14ac:dyDescent="0.15">
      <c r="A127" s="7"/>
      <c r="B127" s="7"/>
      <c r="C127" s="7"/>
      <c r="D127" s="7"/>
      <c r="E127" s="7"/>
      <c r="F127" s="7"/>
      <c r="G127" s="7"/>
      <c r="H127" s="12">
        <f t="shared" si="0"/>
        <v>0</v>
      </c>
      <c r="I127" s="7"/>
      <c r="J127" s="7"/>
    </row>
    <row r="128" spans="1:10" ht="13" x14ac:dyDescent="0.15">
      <c r="A128" s="15" t="s">
        <v>303</v>
      </c>
      <c r="B128" s="16" t="str">
        <f>HYPERLINK("http://codeforces.com/problemset/problem/469/B","CF469-D2-B")</f>
        <v>CF469-D2-B</v>
      </c>
      <c r="C128" s="7"/>
      <c r="D128" s="7"/>
      <c r="E128" s="7"/>
      <c r="F128" s="7"/>
      <c r="G128" s="7"/>
      <c r="H128" s="12">
        <f t="shared" si="0"/>
        <v>0</v>
      </c>
      <c r="I128" s="7"/>
      <c r="J128" s="7"/>
    </row>
    <row r="129" spans="1:10" ht="13" x14ac:dyDescent="0.15">
      <c r="A129" s="15" t="s">
        <v>304</v>
      </c>
      <c r="B129" s="16" t="str">
        <f>HYPERLINK("http://codeforces.com/problemset/problem/493/B","CF493-D2-B")</f>
        <v>CF493-D2-B</v>
      </c>
      <c r="C129" s="5"/>
      <c r="D129" s="7"/>
      <c r="E129" s="7"/>
      <c r="F129" s="7"/>
      <c r="G129" s="7"/>
      <c r="H129" s="12">
        <f t="shared" si="0"/>
        <v>0</v>
      </c>
      <c r="I129" s="7"/>
      <c r="J129" s="7"/>
    </row>
    <row r="130" spans="1:10" ht="13" x14ac:dyDescent="0.15">
      <c r="A130" s="15" t="s">
        <v>305</v>
      </c>
      <c r="B130" s="16" t="str">
        <f>HYPERLINK("http://codeforces.com/problemset/problem/365/B","CF365-D2-B")</f>
        <v>CF365-D2-B</v>
      </c>
      <c r="C130" s="7"/>
      <c r="D130" s="7"/>
      <c r="E130" s="7"/>
      <c r="F130" s="7"/>
      <c r="G130" s="7"/>
      <c r="H130" s="12">
        <f t="shared" si="0"/>
        <v>0</v>
      </c>
      <c r="I130" s="7"/>
      <c r="J130" s="7"/>
    </row>
    <row r="131" spans="1:10" ht="13" x14ac:dyDescent="0.15">
      <c r="A131" s="15" t="s">
        <v>306</v>
      </c>
      <c r="B131" s="16" t="str">
        <f>HYPERLINK("http://codeforces.com/problemset/problem/34/B","CF34-D2-B")</f>
        <v>CF34-D2-B</v>
      </c>
      <c r="C131" s="7"/>
      <c r="D131" s="7"/>
      <c r="E131" s="7"/>
      <c r="F131" s="7"/>
      <c r="G131" s="7"/>
      <c r="H131" s="12">
        <f t="shared" si="0"/>
        <v>0</v>
      </c>
      <c r="I131" s="7"/>
      <c r="J131" s="7"/>
    </row>
    <row r="132" spans="1:10" ht="13" x14ac:dyDescent="0.15">
      <c r="A132" s="15" t="s">
        <v>307</v>
      </c>
      <c r="B132" s="16" t="str">
        <f>HYPERLINK("http://codeforces.com/problemset/problem/116/B","CF116-D2-B")</f>
        <v>CF116-D2-B</v>
      </c>
      <c r="C132" s="7"/>
      <c r="D132" s="7"/>
      <c r="E132" s="7"/>
      <c r="F132" s="7"/>
      <c r="G132" s="7"/>
      <c r="H132" s="12">
        <f t="shared" si="0"/>
        <v>0</v>
      </c>
      <c r="I132" s="7"/>
      <c r="J132" s="7"/>
    </row>
    <row r="133" spans="1:10" ht="13" x14ac:dyDescent="0.15">
      <c r="A133" s="15" t="s">
        <v>308</v>
      </c>
      <c r="B133" s="16" t="str">
        <f>HYPERLINK("http://codeforces.com/problemset/problem/282/B","CF282-D2-B")</f>
        <v>CF282-D2-B</v>
      </c>
      <c r="C133" s="7"/>
      <c r="D133" s="7"/>
      <c r="E133" s="7"/>
      <c r="F133" s="7"/>
      <c r="G133" s="7"/>
      <c r="H133" s="12">
        <f t="shared" si="0"/>
        <v>0</v>
      </c>
      <c r="I133" s="7"/>
      <c r="J133" s="7"/>
    </row>
    <row r="134" spans="1:10" ht="13" x14ac:dyDescent="0.15">
      <c r="A134" s="15" t="s">
        <v>309</v>
      </c>
      <c r="B134" s="16" t="str">
        <f>HYPERLINK("http://codeforces.com/problemset/problem/155/B","CF155-D2-B")</f>
        <v>CF155-D2-B</v>
      </c>
      <c r="C134" s="7"/>
      <c r="D134" s="7"/>
      <c r="E134" s="7"/>
      <c r="F134" s="7"/>
      <c r="G134" s="7"/>
      <c r="H134" s="12">
        <f t="shared" si="0"/>
        <v>0</v>
      </c>
      <c r="I134" s="7"/>
      <c r="J134" s="7"/>
    </row>
    <row r="135" spans="1:10" ht="13" x14ac:dyDescent="0.15">
      <c r="A135" s="15" t="s">
        <v>310</v>
      </c>
      <c r="B135" s="16" t="str">
        <f>HYPERLINK("http://codeforces.com/problemset/problem/133/B","CF133-D2-B")</f>
        <v>CF133-D2-B</v>
      </c>
      <c r="C135" s="7"/>
      <c r="D135" s="7"/>
      <c r="E135" s="7"/>
      <c r="F135" s="7"/>
      <c r="G135" s="7"/>
      <c r="H135" s="12">
        <f t="shared" si="0"/>
        <v>0</v>
      </c>
      <c r="I135" s="7"/>
      <c r="J135" s="7"/>
    </row>
    <row r="136" spans="1:10" ht="13" x14ac:dyDescent="0.15">
      <c r="A136" s="15" t="s">
        <v>311</v>
      </c>
      <c r="B136" s="16" t="str">
        <f>HYPERLINK("http://codeforces.com/problemset/problem/366/B","CF366-D2-B")</f>
        <v>CF366-D2-B</v>
      </c>
      <c r="C136" s="7"/>
      <c r="D136" s="7"/>
      <c r="E136" s="7"/>
      <c r="F136" s="7"/>
      <c r="G136" s="7"/>
      <c r="H136" s="12">
        <f t="shared" si="0"/>
        <v>0</v>
      </c>
      <c r="I136" s="7"/>
      <c r="J136" s="7"/>
    </row>
    <row r="137" spans="1:10" ht="13" x14ac:dyDescent="0.15">
      <c r="A137" s="7"/>
      <c r="B137" s="7"/>
      <c r="C137" s="7"/>
      <c r="D137" s="7"/>
      <c r="E137" s="7"/>
      <c r="F137" s="7"/>
      <c r="G137" s="7"/>
      <c r="H137" s="12">
        <f t="shared" si="0"/>
        <v>0</v>
      </c>
      <c r="I137" s="7"/>
      <c r="J137" s="7"/>
    </row>
    <row r="138" spans="1:10" ht="13" x14ac:dyDescent="0.15">
      <c r="A138" s="15" t="s">
        <v>312</v>
      </c>
      <c r="B138" s="16" t="str">
        <f>HYPERLINK("http://codeforces.com/problemset/problem/514/B","CF514-D2-B")</f>
        <v>CF514-D2-B</v>
      </c>
      <c r="C138" s="7"/>
      <c r="D138" s="7"/>
      <c r="E138" s="7"/>
      <c r="F138" s="7"/>
      <c r="G138" s="7"/>
      <c r="H138" s="12">
        <f t="shared" si="0"/>
        <v>0</v>
      </c>
      <c r="I138" s="7"/>
      <c r="J138" s="7"/>
    </row>
    <row r="139" spans="1:10" ht="13" x14ac:dyDescent="0.15">
      <c r="A139" s="15" t="s">
        <v>313</v>
      </c>
      <c r="B139" s="16" t="str">
        <f>HYPERLINK("http://codeforces.com/problemset/problem/357/B","CF357-D2-B")</f>
        <v>CF357-D2-B</v>
      </c>
      <c r="C139" s="7"/>
      <c r="D139" s="7"/>
      <c r="E139" s="7"/>
      <c r="F139" s="7"/>
      <c r="G139" s="7"/>
      <c r="H139" s="12">
        <f t="shared" si="0"/>
        <v>0</v>
      </c>
      <c r="I139" s="7"/>
      <c r="J139" s="7"/>
    </row>
    <row r="140" spans="1:10" ht="13" x14ac:dyDescent="0.15">
      <c r="A140" s="15" t="s">
        <v>314</v>
      </c>
      <c r="B140" s="16" t="str">
        <f>HYPERLINK("http://codeforces.com/problemset/problem/110/B","CF110-D2-B")</f>
        <v>CF110-D2-B</v>
      </c>
      <c r="C140" s="7"/>
      <c r="D140" s="7"/>
      <c r="E140" s="7"/>
      <c r="F140" s="7"/>
      <c r="G140" s="7"/>
      <c r="H140" s="12">
        <f t="shared" si="0"/>
        <v>0</v>
      </c>
      <c r="I140" s="7"/>
      <c r="J140" s="7"/>
    </row>
    <row r="141" spans="1:10" ht="13" x14ac:dyDescent="0.15">
      <c r="A141" s="15" t="s">
        <v>315</v>
      </c>
      <c r="B141" s="16" t="str">
        <f>HYPERLINK("http://codeforces.com/problemset/problem/312/B","CF312-D2-B")</f>
        <v>CF312-D2-B</v>
      </c>
      <c r="C141" s="7"/>
      <c r="D141" s="7"/>
      <c r="E141" s="7"/>
      <c r="F141" s="7"/>
      <c r="G141" s="7"/>
      <c r="H141" s="12">
        <f t="shared" si="0"/>
        <v>0</v>
      </c>
      <c r="I141" s="7"/>
      <c r="J141" s="7"/>
    </row>
  </sheetData>
  <mergeCells count="2">
    <mergeCell ref="D93:G93"/>
    <mergeCell ref="I93:J93"/>
  </mergeCells>
  <conditionalFormatting sqref="C3:C193">
    <cfRule type="cellIs" dxfId="62" priority="1" operator="equal">
      <formula>"AC"</formula>
    </cfRule>
  </conditionalFormatting>
  <conditionalFormatting sqref="C3:C82">
    <cfRule type="containsText" dxfId="61" priority="2" operator="containsText" text="WA">
      <formula>NOT(ISERROR(SEARCH(("WA"),(C3))))</formula>
    </cfRule>
  </conditionalFormatting>
  <conditionalFormatting sqref="C14:C193">
    <cfRule type="containsText" dxfId="60" priority="3" operator="containsText" text="WA">
      <formula>NOT(ISERROR(SEARCH(("WA"),(C14))))</formula>
    </cfRule>
  </conditionalFormatting>
  <conditionalFormatting sqref="C3:C82">
    <cfRule type="containsText" dxfId="59" priority="4" operator="containsText" text="TLE">
      <formula>NOT(ISERROR(SEARCH(("TLE"),(C3))))</formula>
    </cfRule>
  </conditionalFormatting>
  <conditionalFormatting sqref="C14:C193">
    <cfRule type="containsText" dxfId="58" priority="5" operator="containsText" text="TLE">
      <formula>NOT(ISERROR(SEARCH(("TLE"),(C14))))</formula>
    </cfRule>
  </conditionalFormatting>
  <conditionalFormatting sqref="C3:C82">
    <cfRule type="containsText" dxfId="57" priority="6" operator="containsText" text="RTE">
      <formula>NOT(ISERROR(SEARCH(("RTE"),(C3))))</formula>
    </cfRule>
  </conditionalFormatting>
  <conditionalFormatting sqref="C14:C193">
    <cfRule type="containsText" dxfId="56" priority="7" operator="containsText" text="RTE">
      <formula>NOT(ISERROR(SEARCH(("RTE"),(C14))))</formula>
    </cfRule>
  </conditionalFormatting>
  <conditionalFormatting sqref="C3:C82">
    <cfRule type="containsText" dxfId="55" priority="8" operator="containsText" text="CS">
      <formula>NOT(ISERROR(SEARCH(("CS"),(C3))))</formula>
    </cfRule>
  </conditionalFormatting>
  <conditionalFormatting sqref="C14:C193">
    <cfRule type="containsText" dxfId="54" priority="9" operator="containsText" text="CS">
      <formula>NOT(ISERROR(SEARCH(("CS"),(C14))))</formula>
    </cfRule>
  </conditionalFormatting>
  <hyperlinks>
    <hyperlink ref="J3" r:id="rId1" display="https://www.youtube.com/watch?v=YTLv1fgISPI"/>
    <hyperlink ref="J4" r:id="rId2" display="https://www.youtube.com/watch?v=YklnFXpq0ZE"/>
    <hyperlink ref="B5" r:id="rId3" display="http://codeforces.com/problemset/problem/339/B"/>
    <hyperlink ref="B6" r:id="rId4" display="http://codeforces.com/problemset/problem/478/B"/>
    <hyperlink ref="B7" r:id="rId5" display="http://codeforces.com/problemset/problem/451/B"/>
    <hyperlink ref="B8" r:id="rId6" display="http://codeforces.com/problemset/problem/230/B"/>
    <hyperlink ref="B9" r:id="rId7" display="http://codeforces.com/problemset/problem/447/B"/>
    <hyperlink ref="B10" r:id="rId8" display="http://codeforces.com/problemset/problem/454/B"/>
    <hyperlink ref="B11" r:id="rId9" display="http://codeforces.com/problemset/problem/265/B"/>
    <hyperlink ref="B12" r:id="rId10" display="http://codeforces.com/problemset/problem/448/B"/>
    <hyperlink ref="B13" r:id="rId11" display="http://codeforces.com/problemset/problem/486/B"/>
    <hyperlink ref="B14" r:id="rId12" display="http://codeforces.com/problemset/problem/276/B"/>
    <hyperlink ref="J15" r:id="rId13" display="https://www.youtube.com/watch?v=jzfcfQVBtKA"/>
    <hyperlink ref="J16" r:id="rId14" display="https://www.youtube.com/watch?v=9DP0X2xlPCo"/>
    <hyperlink ref="B17" r:id="rId15" display="http://codeforces.com/problemset/problem/279/B"/>
    <hyperlink ref="B18" r:id="rId16" display="http://codeforces.com/problemset/problem/509/B"/>
    <hyperlink ref="B19" r:id="rId17" display="http://codeforces.com/problemset/problem/387/B"/>
    <hyperlink ref="B20" r:id="rId18" display="http://codeforces.com/problemset/problem/157/B"/>
    <hyperlink ref="B21" r:id="rId19" display="http://codeforces.com/problemset/problem/330/B"/>
    <hyperlink ref="B22" r:id="rId20" display="http://codeforces.com/problemset/problem/4/B"/>
    <hyperlink ref="B23" r:id="rId21" display="http://codeforces.com/problemset/problem/122/B"/>
    <hyperlink ref="B24" r:id="rId22" display="http://codeforces.com/problemset/problem/352/B"/>
    <hyperlink ref="B25" r:id="rId23" display="http://codeforces.com/problemset/problem/289/B"/>
    <hyperlink ref="B26" r:id="rId24" display="http://codeforces.com/problemset/problem/58/B"/>
    <hyperlink ref="J27" r:id="rId25" display="https://www.youtube.com/watch?v=COB1GHq0YwY"/>
    <hyperlink ref="J28" r:id="rId26" display="https://www.youtube.com/watch?v=iXxP_liQklk"/>
    <hyperlink ref="B29" r:id="rId27" display="http://codeforces.com/problemset/problem/408/B"/>
    <hyperlink ref="B30" r:id="rId28" display="http://codeforces.com/problemset/problem/416/B"/>
    <hyperlink ref="B31" r:id="rId29" display="http://codeforces.com/problemset/problem/66/B"/>
    <hyperlink ref="B32" r:id="rId30" display="http://codeforces.com/problemset/problem/337/B"/>
    <hyperlink ref="B33" r:id="rId31" display="http://codeforces.com/problemset/problem/361/B"/>
    <hyperlink ref="B34" r:id="rId32" display="http://codeforces.com/problemset/problem/234/B"/>
    <hyperlink ref="B35" r:id="rId33" display="http://codeforces.com/problemset/problem/359/B"/>
    <hyperlink ref="B36" r:id="rId34" display="http://codeforces.com/problemset/problem/143/B"/>
    <hyperlink ref="B37" r:id="rId35" display="http://codeforces.com/problemset/problem/233/B"/>
    <hyperlink ref="B38" r:id="rId36" display="http://codeforces.com/problemset/problem/205/B"/>
    <hyperlink ref="J39" r:id="rId37" display="https://www.youtube.com/watch?v=XhVmgLXYvuQ"/>
    <hyperlink ref="J40" r:id="rId38" display="https://www.youtube.com/watch?v=2CUN12WrNr4"/>
    <hyperlink ref="J41" r:id="rId39" display="https://www.youtube.com/watch?v=dcMtSmWHLP4"/>
    <hyperlink ref="J42" r:id="rId40" display="https://www.youtube.com/watch?v=1Vi2h7dKdEQ"/>
    <hyperlink ref="J43" r:id="rId41" display="https://www.youtube.com/watch?v=k5fDfC9vfWM"/>
    <hyperlink ref="J44" r:id="rId42" display="https://www.youtube.com/watch?v=Fa69kqT9NPY"/>
    <hyperlink ref="B45" r:id="rId43" display="http://codeforces.com/problemset/problem/192/B"/>
    <hyperlink ref="B46" r:id="rId44" display="http://codeforces.com/problemset/problem/342/B"/>
    <hyperlink ref="B47" r:id="rId45" display="http://codeforces.com/problemset/problem/362/B"/>
    <hyperlink ref="B48" r:id="rId46" display="http://codeforces.com/problemset/problem/231/B"/>
    <hyperlink ref="B49" r:id="rId47" display="http://codeforces.com/problemset/problem/260/B"/>
    <hyperlink ref="B50" r:id="rId48" display="http://codeforces.com/problemset/problem/225/B"/>
    <hyperlink ref="B51" r:id="rId49" display="http://codeforces.com/problemset/problem/281/B"/>
    <hyperlink ref="B52" r:id="rId50" display="http://codeforces.com/problemset/problem/94/B"/>
    <hyperlink ref="B53" r:id="rId51" display="http://codeforces.com/problemset/problem/374/B"/>
    <hyperlink ref="B54" r:id="rId52" display="http://codeforces.com/problemset/problem/69/B"/>
    <hyperlink ref="J55" r:id="rId53" display="https://www.youtube.com/watch?v=gFdP6X4CyKU"/>
    <hyperlink ref="J56" r:id="rId54" display="https://www.youtube.com/watch?v=1j3srLj-C5Q"/>
    <hyperlink ref="B57" r:id="rId55" display="http://codeforces.com/problemset/problem/151/B"/>
    <hyperlink ref="B58" r:id="rId56" display="http://codeforces.com/problemset/problem/129/B"/>
    <hyperlink ref="B59" r:id="rId57" display="http://codeforces.com/problemset/problem/437/B"/>
    <hyperlink ref="B60" r:id="rId58" display="http://codeforces.com/problemset/problem/219/B"/>
    <hyperlink ref="B61" r:id="rId59" display="http://codeforces.com/problemset/problem/228/B"/>
    <hyperlink ref="B62" r:id="rId60" display="http://codeforces.com/problemset/problem/96/B"/>
    <hyperlink ref="B63" r:id="rId61" display="http://codeforces.com/problemset/problem/195/B"/>
    <hyperlink ref="B64" r:id="rId62" display="http://codeforces.com/problemset/problem/197/B"/>
    <hyperlink ref="B65" r:id="rId63" display="http://codeforces.com/problemset/problem/214/B"/>
    <hyperlink ref="B66" r:id="rId64" display="http://codeforces.com/problemset/problem/63/B"/>
    <hyperlink ref="J67" r:id="rId65" display="https://www.youtube.com/watch?v=jxvaNAthWRI"/>
    <hyperlink ref="J68" r:id="rId66" display="https://www.youtube.com/watch?v=O2SPaQXYHFc"/>
    <hyperlink ref="B69" r:id="rId67" display="http://codeforces.com/problemset/problem/149/B"/>
    <hyperlink ref="B70" r:id="rId68" display="http://codeforces.com/problemset/problem/61/B"/>
    <hyperlink ref="B71" r:id="rId69" display="http://codeforces.com/problemset/problem/9/B"/>
    <hyperlink ref="B72" r:id="rId70" display="http://codeforces.com/problemset/problem/349/B"/>
    <hyperlink ref="B73" r:id="rId71" display="http://codeforces.com/problemset/problem/275/B"/>
    <hyperlink ref="B74" r:id="rId72" display="http://codeforces.com/problemset/problem/56/B"/>
    <hyperlink ref="B75" r:id="rId73" display="http://codeforces.com/problemset/problem/41/B"/>
    <hyperlink ref="B76" r:id="rId74" display="http://codeforces.com/problemset/problem/31/B"/>
    <hyperlink ref="B77" r:id="rId75" display="http://codeforces.com/problemset/problem/29/B"/>
    <hyperlink ref="B78" r:id="rId76" display="http://codeforces.com/problemset/problem/53/B"/>
    <hyperlink ref="J79" r:id="rId77" display="https://www.youtube.com/watch?v=xY8To84R87Y"/>
    <hyperlink ref="J80" r:id="rId78" display="https://www.youtube.com/watch?v=OcqD14kI3Wk"/>
    <hyperlink ref="B81" r:id="rId79" display="http://codeforces.com/problemset/problem/189/B"/>
    <hyperlink ref="B82" r:id="rId80" display="http://codeforces.com/problemset/problem/244/B"/>
    <hyperlink ref="B83" r:id="rId81" display="http://codeforces.com/problemset/problem/14/B"/>
    <hyperlink ref="B84" r:id="rId82" display="http://codeforces.com/problemset/problem/254/B"/>
    <hyperlink ref="B85" r:id="rId83" display="http://codeforces.com/problemset/problem/103/B"/>
    <hyperlink ref="B86" r:id="rId84" display="http://codeforces.com/problemset/problem/27/B"/>
    <hyperlink ref="B87" r:id="rId85" display="http://codeforces.com/problemset/problem/99/B"/>
    <hyperlink ref="B88" r:id="rId86" display="http://codeforces.com/problemset/problem/190/B"/>
    <hyperlink ref="B89" r:id="rId87" display="http://codeforces.com/problemset/problem/22/B"/>
    <hyperlink ref="B90" r:id="rId88" display="http://codeforces.com/problemset/problem/75/B"/>
    <hyperlink ref="B95" r:id="rId89" display="http://codeforces.com/problemset/problem/158/B"/>
    <hyperlink ref="B96" r:id="rId90" display="http://codeforces.com/problemset/problem/268/B"/>
    <hyperlink ref="B97" r:id="rId91" display="http://codeforces.com/problemset/problem/519/B"/>
    <hyperlink ref="B98" r:id="rId92" display="http://codeforces.com/problemset/problem/459/B"/>
    <hyperlink ref="B99" r:id="rId93" display="http://codeforces.com/problemset/problem/118/B"/>
    <hyperlink ref="B100" r:id="rId94" display="http://codeforces.com/problemset/problem/200/B"/>
    <hyperlink ref="B101" r:id="rId95" display="http://codeforces.com/problemset/problem/474/B"/>
    <hyperlink ref="B102" r:id="rId96" display="http://codeforces.com/problemset/problem/1/B"/>
    <hyperlink ref="B103" r:id="rId97" display="http://codeforces.com/problemset/problem/552/B"/>
    <hyperlink ref="B104" r:id="rId98" display="http://codeforces.com/problemset/problem/463/B"/>
    <hyperlink ref="B106" r:id="rId99" display="http://codeforces.com/problemset/problem/546/B"/>
    <hyperlink ref="B107" r:id="rId100" display="http://codeforces.com/problemset/problem/570/B"/>
    <hyperlink ref="B108" r:id="rId101" display="http://codeforces.com/problemset/problem/472/B"/>
    <hyperlink ref="B109" r:id="rId102" display="http://codeforces.com/problemset/problem/489/B"/>
    <hyperlink ref="B110" r:id="rId103" display="http://codeforces.com/problemset/problem/583/B"/>
    <hyperlink ref="B111" r:id="rId104" display="http://codeforces.com/problemset/problem/313/B"/>
    <hyperlink ref="B112" r:id="rId105" display="http://codeforces.com/problemset/problem/545/B"/>
    <hyperlink ref="B113" r:id="rId106" display="http://codeforces.com/problemset/problem/581/B"/>
    <hyperlink ref="B114" r:id="rId107" display="http://codeforces.com/problemset/problem/535/B"/>
    <hyperlink ref="B115" r:id="rId108" display="http://codeforces.com/problemset/problem/567/B"/>
    <hyperlink ref="B117" r:id="rId109" display="http://codeforces.com/problemset/problem/266/B"/>
    <hyperlink ref="B118" r:id="rId110" display="http://codeforces.com/problemset/problem/467/B"/>
    <hyperlink ref="B119" r:id="rId111" display="http://codeforces.com/problemset/problem/492/B"/>
    <hyperlink ref="B120" r:id="rId112" display="http://codeforces.com/problemset/problem/499/B"/>
    <hyperlink ref="B121" r:id="rId113" display="http://codeforces.com/problemset/problem/508/B"/>
    <hyperlink ref="B122" r:id="rId114" display="http://codeforces.com/problemset/problem/507/B"/>
    <hyperlink ref="B123" r:id="rId115" display="http://codeforces.com/problemset/problem/450/B"/>
    <hyperlink ref="B124" r:id="rId116" display="http://codeforces.com/problemset/problem/285/B"/>
    <hyperlink ref="B125" r:id="rId117" display="http://codeforces.com/problemset/problem/259/B"/>
    <hyperlink ref="B126" r:id="rId118" display="http://codeforces.com/problemset/problem/432/B"/>
    <hyperlink ref="B128" r:id="rId119" display="http://codeforces.com/problemset/problem/469/B"/>
    <hyperlink ref="B129" r:id="rId120" display="http://codeforces.com/problemset/problem/493/B"/>
    <hyperlink ref="B130" r:id="rId121" display="http://codeforces.com/problemset/problem/365/B"/>
    <hyperlink ref="B131" r:id="rId122" display="http://codeforces.com/problemset/problem/34/B"/>
    <hyperlink ref="B132" r:id="rId123" display="http://codeforces.com/problemset/problem/116/B"/>
    <hyperlink ref="B133" r:id="rId124" display="http://codeforces.com/problemset/problem/282/B"/>
    <hyperlink ref="B134" r:id="rId125" display="http://codeforces.com/problemset/problem/155/B"/>
    <hyperlink ref="B135" r:id="rId126" display="http://codeforces.com/problemset/problem/133/B"/>
    <hyperlink ref="B136" r:id="rId127" display="http://codeforces.com/problemset/problem/366/B"/>
    <hyperlink ref="B138" r:id="rId128" display="http://codeforces.com/problemset/problem/514/B"/>
    <hyperlink ref="B139" r:id="rId129" display="http://codeforces.com/problemset/problem/357/B"/>
    <hyperlink ref="B140" r:id="rId130" display="http://codeforces.com/problemset/problem/110/B"/>
    <hyperlink ref="B141" r:id="rId131" display="http://codeforces.com/problemset/problem/312/B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7.33203125" defaultRowHeight="15.75" customHeight="1" x14ac:dyDescent="0.15"/>
  <cols>
    <col min="1" max="1" width="23.33203125" customWidth="1"/>
    <col min="3" max="3" width="6.83203125" customWidth="1"/>
    <col min="4" max="4" width="13" customWidth="1"/>
    <col min="5" max="5" width="8.5" customWidth="1"/>
    <col min="6" max="6" width="8.6640625" customWidth="1"/>
    <col min="7" max="7" width="10" customWidth="1"/>
    <col min="8" max="8" width="8.5" customWidth="1"/>
    <col min="9" max="9" width="10" customWidth="1"/>
    <col min="10" max="10" width="161.5" customWidth="1"/>
  </cols>
  <sheetData>
    <row r="1" spans="1:10" ht="15.75" customHeight="1" x14ac:dyDescent="0.15">
      <c r="A1" s="1" t="s">
        <v>0</v>
      </c>
      <c r="B1" s="28" t="s">
        <v>4</v>
      </c>
      <c r="C1" s="2" t="s">
        <v>2</v>
      </c>
      <c r="D1" s="3" t="s">
        <v>5</v>
      </c>
      <c r="E1" s="3" t="s">
        <v>7</v>
      </c>
      <c r="F1" s="2" t="s">
        <v>8</v>
      </c>
      <c r="G1" s="3" t="s">
        <v>9</v>
      </c>
      <c r="H1" s="3" t="s">
        <v>10</v>
      </c>
      <c r="I1" s="2" t="s">
        <v>11</v>
      </c>
      <c r="J1" s="4" t="s">
        <v>13</v>
      </c>
    </row>
    <row r="2" spans="1:10" ht="15.75" customHeight="1" x14ac:dyDescent="0.15">
      <c r="A2" s="5"/>
      <c r="B2" s="29" t="s">
        <v>14</v>
      </c>
      <c r="C2" s="8">
        <f>COUNTIF(C3:C9962, "AC")</f>
        <v>0</v>
      </c>
      <c r="D2" s="9" t="e">
        <f ca="1">SUMPRODUCT(D3:D9962,INT(EQ(C3:C9962, "AC")))/MAX(1, C2)</f>
        <v>#NAME?</v>
      </c>
      <c r="E2" s="9" t="e">
        <f ca="1">SUMPRODUCT(E3:E9962,INT(EQ(C3:C9962, "AC")))/MAX(1, C2)</f>
        <v>#NAME?</v>
      </c>
      <c r="F2" s="9" t="e">
        <f ca="1">SUMPRODUCT(F3:F9962,INT(EQ(C3:C9962, "AC")))/MAX(1, C2)</f>
        <v>#NAME?</v>
      </c>
      <c r="G2" s="9" t="e">
        <f ca="1">SUMPRODUCT(G3:G9962,INT(EQ(C3:C9962, "AC")))/MAX(1, C2)</f>
        <v>#NAME?</v>
      </c>
      <c r="H2" s="9" t="e">
        <f ca="1">SUMPRODUCT(H3:H9962,INT(EQ(C3:C9962, "AC")))/MAX(1, C2)</f>
        <v>#NAME?</v>
      </c>
      <c r="I2" s="9" t="e">
        <f ca="1">SUMPRODUCT(I3:I9962,INT(EQ(C3:C9962, "AC")))/MAX(1, C2)</f>
        <v>#NAME?</v>
      </c>
      <c r="J2" s="11">
        <f>COUNTIFS(C4:C9964, "&lt;&gt;AC", C4:C9964, "&lt;&gt;")</f>
        <v>0</v>
      </c>
    </row>
    <row r="3" spans="1:10" ht="15.75" customHeight="1" x14ac:dyDescent="0.15">
      <c r="A3" s="7"/>
      <c r="B3" s="7"/>
      <c r="C3" s="5"/>
      <c r="D3" s="5"/>
      <c r="E3" s="5"/>
      <c r="F3" s="5"/>
      <c r="G3" s="5"/>
      <c r="H3" s="12">
        <f t="shared" ref="H3:H160" si="0">SUM(E3:G3)</f>
        <v>0</v>
      </c>
      <c r="I3" s="5"/>
      <c r="J3" s="13" t="str">
        <f>HYPERLINK("https://www.youtube.com/watch?v=ZNYQrKpR42g","Watch - Measuring Algorithms Perfromance - 2")</f>
        <v>Watch - Measuring Algorithms Perfromance - 2</v>
      </c>
    </row>
    <row r="4" spans="1:10" ht="15.75" customHeight="1" x14ac:dyDescent="0.15">
      <c r="A4" s="7"/>
      <c r="B4" s="7"/>
      <c r="C4" s="5"/>
      <c r="D4" s="5"/>
      <c r="E4" s="5"/>
      <c r="F4" s="5"/>
      <c r="G4" s="5"/>
      <c r="H4" s="12">
        <f t="shared" si="0"/>
        <v>0</v>
      </c>
      <c r="I4" s="5"/>
      <c r="J4" s="13" t="str">
        <f>HYPERLINK("https://www.youtube.com/watch?v=2G7RzlxTNPo","Watch - Search Techniques - Binary Search")</f>
        <v>Watch - Search Techniques - Binary Search</v>
      </c>
    </row>
    <row r="5" spans="1:10" ht="15.75" customHeight="1" x14ac:dyDescent="0.15">
      <c r="A5" s="30" t="s">
        <v>316</v>
      </c>
      <c r="B5" s="16" t="str">
        <f>HYPERLINK("http://codeforces.com/problemset/problem/285/C","CF285-D2-C")</f>
        <v>CF285-D2-C</v>
      </c>
      <c r="C5" s="5"/>
      <c r="D5" s="5"/>
      <c r="E5" s="5"/>
      <c r="F5" s="5"/>
      <c r="G5" s="5"/>
      <c r="H5" s="12">
        <f t="shared" si="0"/>
        <v>0</v>
      </c>
      <c r="I5" s="5"/>
      <c r="J5" s="5"/>
    </row>
    <row r="6" spans="1:10" ht="15.75" customHeight="1" x14ac:dyDescent="0.15">
      <c r="A6" s="30" t="s">
        <v>174</v>
      </c>
      <c r="B6" s="16" t="str">
        <f>HYPERLINK("http://codeforces.com/problemset/problem/479/C","CF479-D2-C")</f>
        <v>CF479-D2-C</v>
      </c>
      <c r="C6" s="7"/>
      <c r="D6" s="5"/>
      <c r="E6" s="17"/>
      <c r="F6" s="5"/>
      <c r="G6" s="5"/>
      <c r="H6" s="18">
        <f t="shared" si="0"/>
        <v>0</v>
      </c>
      <c r="I6" s="5"/>
      <c r="J6" s="5"/>
    </row>
    <row r="7" spans="1:10" ht="15.75" customHeight="1" x14ac:dyDescent="0.15">
      <c r="A7" s="30" t="s">
        <v>317</v>
      </c>
      <c r="B7" s="16" t="str">
        <f>HYPERLINK("http://codeforces.com/problemset/problem/492/C","CF492-D2-C")</f>
        <v>CF492-D2-C</v>
      </c>
      <c r="C7" s="7"/>
      <c r="D7" s="5"/>
      <c r="E7" s="5"/>
      <c r="F7" s="5"/>
      <c r="G7" s="5"/>
      <c r="H7" s="12">
        <f t="shared" si="0"/>
        <v>0</v>
      </c>
      <c r="I7" s="5"/>
      <c r="J7" s="5"/>
    </row>
    <row r="8" spans="1:10" ht="15.75" customHeight="1" x14ac:dyDescent="0.15">
      <c r="A8" s="30" t="s">
        <v>318</v>
      </c>
      <c r="B8" s="16" t="str">
        <f>HYPERLINK("http://codeforces.com/problemset/problem/203/C","CF203-D2-C")</f>
        <v>CF203-D2-C</v>
      </c>
      <c r="C8" s="7"/>
      <c r="D8" s="5"/>
      <c r="E8" s="5"/>
      <c r="F8" s="5"/>
      <c r="G8" s="5"/>
      <c r="H8" s="12">
        <f t="shared" si="0"/>
        <v>0</v>
      </c>
      <c r="I8" s="5"/>
      <c r="J8" s="5"/>
    </row>
    <row r="9" spans="1:10" ht="15.75" customHeight="1" x14ac:dyDescent="0.15">
      <c r="A9" s="30" t="s">
        <v>319</v>
      </c>
      <c r="B9" s="16" t="str">
        <f>HYPERLINK("http://codeforces.com/problemset/problem/43/C","CF43-D2-C")</f>
        <v>CF43-D2-C</v>
      </c>
      <c r="C9" s="7"/>
      <c r="D9" s="5"/>
      <c r="E9" s="5"/>
      <c r="F9" s="5"/>
      <c r="G9" s="5"/>
      <c r="H9" s="12">
        <f t="shared" si="0"/>
        <v>0</v>
      </c>
      <c r="I9" s="5"/>
      <c r="J9" s="5"/>
    </row>
    <row r="10" spans="1:10" ht="15.75" customHeight="1" x14ac:dyDescent="0.15">
      <c r="A10" s="30" t="s">
        <v>320</v>
      </c>
      <c r="B10" s="16" t="str">
        <f>HYPERLINK("http://codeforces.com/problemset/problem/53/C","CF53-D2-C")</f>
        <v>CF53-D2-C</v>
      </c>
      <c r="C10" s="5"/>
      <c r="D10" s="7"/>
      <c r="E10" s="7"/>
      <c r="F10" s="7"/>
      <c r="G10" s="7"/>
      <c r="H10" s="12">
        <f t="shared" si="0"/>
        <v>0</v>
      </c>
      <c r="I10" s="7"/>
      <c r="J10" s="5"/>
    </row>
    <row r="11" spans="1:10" ht="15.75" customHeight="1" x14ac:dyDescent="0.15">
      <c r="A11" s="30" t="s">
        <v>321</v>
      </c>
      <c r="B11" s="16" t="str">
        <f>HYPERLINK("http://codeforces.com/problemset/problem/34/C","CF34-D2-C")</f>
        <v>CF34-D2-C</v>
      </c>
      <c r="C11" s="5"/>
      <c r="D11" s="7"/>
      <c r="E11" s="7"/>
      <c r="F11" s="7"/>
      <c r="G11" s="7"/>
      <c r="H11" s="12">
        <f t="shared" si="0"/>
        <v>0</v>
      </c>
      <c r="I11" s="7"/>
      <c r="J11" s="7"/>
    </row>
    <row r="12" spans="1:10" ht="15.75" customHeight="1" x14ac:dyDescent="0.15">
      <c r="A12" s="30" t="s">
        <v>322</v>
      </c>
      <c r="B12" s="16" t="str">
        <f>HYPERLINK("http://codeforces.com/problemset/problem/12/C","CF12-D2-C")</f>
        <v>CF12-D2-C</v>
      </c>
      <c r="C12" s="7"/>
      <c r="D12" s="7"/>
      <c r="E12" s="7"/>
      <c r="F12" s="7"/>
      <c r="G12" s="7"/>
      <c r="H12" s="12">
        <f t="shared" si="0"/>
        <v>0</v>
      </c>
      <c r="I12" s="7"/>
      <c r="J12" s="7"/>
    </row>
    <row r="13" spans="1:10" ht="15.75" customHeight="1" x14ac:dyDescent="0.15">
      <c r="A13" s="30" t="s">
        <v>323</v>
      </c>
      <c r="B13" s="16" t="str">
        <f>HYPERLINK("http://codeforces.com/problemset/problem/518/C","CF518-D2-C")</f>
        <v>CF518-D2-C</v>
      </c>
      <c r="C13" s="7"/>
      <c r="D13" s="7"/>
      <c r="E13" s="7"/>
      <c r="F13" s="7"/>
      <c r="G13" s="7"/>
      <c r="H13" s="12">
        <f t="shared" si="0"/>
        <v>0</v>
      </c>
      <c r="I13" s="7"/>
      <c r="J13" s="7"/>
    </row>
    <row r="14" spans="1:10" ht="15.75" customHeight="1" x14ac:dyDescent="0.15">
      <c r="A14" s="30" t="s">
        <v>324</v>
      </c>
      <c r="B14" s="16" t="str">
        <f>HYPERLINK("http://codeforces.com/problemset/problem/416/C","CF416-D2-C")</f>
        <v>CF416-D2-C</v>
      </c>
      <c r="C14" s="5"/>
      <c r="D14" s="7"/>
      <c r="E14" s="7"/>
      <c r="F14" s="7"/>
      <c r="G14" s="7"/>
      <c r="H14" s="12">
        <f t="shared" si="0"/>
        <v>0</v>
      </c>
      <c r="I14" s="7"/>
      <c r="J14" s="5"/>
    </row>
    <row r="15" spans="1:10" ht="15.75" customHeight="1" x14ac:dyDescent="0.15">
      <c r="A15" s="5"/>
      <c r="B15" s="5"/>
      <c r="C15" s="7"/>
      <c r="D15" s="7"/>
      <c r="E15" s="7"/>
      <c r="F15" s="7"/>
      <c r="G15" s="7"/>
      <c r="H15" s="12">
        <f t="shared" si="0"/>
        <v>0</v>
      </c>
      <c r="I15" s="7"/>
      <c r="J15" s="10" t="str">
        <f>HYPERLINK("https://www.youtube.com/watch?v=hLXVhRzqq18","Watch - Search Techniques - Backtracking")</f>
        <v>Watch - Search Techniques - Backtracking</v>
      </c>
    </row>
    <row r="16" spans="1:10" ht="15.75" customHeight="1" x14ac:dyDescent="0.15">
      <c r="A16" s="5"/>
      <c r="B16" s="5"/>
      <c r="C16" s="5"/>
      <c r="D16" s="7"/>
      <c r="E16" s="7"/>
      <c r="F16" s="7"/>
      <c r="G16" s="7"/>
      <c r="H16" s="12">
        <f t="shared" si="0"/>
        <v>0</v>
      </c>
      <c r="I16" s="7"/>
      <c r="J16" s="13" t="str">
        <f>HYPERLINK("https://www.youtube.com/watch?v=vAqaki1BhS0","Watch - DP - Subset Style")</f>
        <v>Watch - DP - Subset Style</v>
      </c>
    </row>
    <row r="17" spans="1:10" ht="15.75" customHeight="1" x14ac:dyDescent="0.15">
      <c r="A17" s="7"/>
      <c r="B17" s="7"/>
      <c r="C17" s="7"/>
      <c r="D17" s="7"/>
      <c r="E17" s="7"/>
      <c r="F17" s="7"/>
      <c r="G17" s="7"/>
      <c r="H17" s="12">
        <f t="shared" si="0"/>
        <v>0</v>
      </c>
      <c r="I17" s="7"/>
      <c r="J17" s="13" t="str">
        <f>HYPERLINK("https://www.youtube.com/watch?v=PrXbn8-zw14","Watch - DP - Table Method")</f>
        <v>Watch - DP - Table Method</v>
      </c>
    </row>
    <row r="18" spans="1:10" ht="15.75" customHeight="1" x14ac:dyDescent="0.15">
      <c r="A18" s="30" t="s">
        <v>325</v>
      </c>
      <c r="B18" s="16" t="str">
        <f>HYPERLINK("http://codeforces.com/problemset/problem/523/C","CF523-D2-C")</f>
        <v>CF523-D2-C</v>
      </c>
      <c r="C18" s="7"/>
      <c r="D18" s="7"/>
      <c r="E18" s="7"/>
      <c r="F18" s="7"/>
      <c r="G18" s="7"/>
      <c r="H18" s="12">
        <f t="shared" si="0"/>
        <v>0</v>
      </c>
      <c r="I18" s="7"/>
      <c r="J18" s="7"/>
    </row>
    <row r="19" spans="1:10" ht="15.75" customHeight="1" x14ac:dyDescent="0.15">
      <c r="A19" s="30" t="s">
        <v>326</v>
      </c>
      <c r="B19" s="16" t="str">
        <f>HYPERLINK("http://codeforces.com/problemset/problem/472/C","CF472-D2-C")</f>
        <v>CF472-D2-C</v>
      </c>
      <c r="C19" s="7"/>
      <c r="D19" s="7"/>
      <c r="E19" s="7"/>
      <c r="F19" s="7"/>
      <c r="G19" s="7"/>
      <c r="H19" s="12">
        <f t="shared" si="0"/>
        <v>0</v>
      </c>
      <c r="I19" s="7"/>
      <c r="J19" s="7"/>
    </row>
    <row r="20" spans="1:10" ht="15.75" customHeight="1" x14ac:dyDescent="0.15">
      <c r="A20" s="30" t="s">
        <v>327</v>
      </c>
      <c r="B20" s="16" t="str">
        <f>HYPERLINK("http://codeforces.com/problemset/problem/550/C","CF550-D2-C")</f>
        <v>CF550-D2-C</v>
      </c>
      <c r="C20" s="7"/>
      <c r="D20" s="7"/>
      <c r="E20" s="7"/>
      <c r="F20" s="7"/>
      <c r="G20" s="7"/>
      <c r="H20" s="12">
        <f t="shared" si="0"/>
        <v>0</v>
      </c>
      <c r="I20" s="7"/>
      <c r="J20" s="7"/>
    </row>
    <row r="21" spans="1:10" ht="15.75" customHeight="1" x14ac:dyDescent="0.15">
      <c r="A21" s="30" t="s">
        <v>328</v>
      </c>
      <c r="B21" s="16" t="str">
        <f>HYPERLINK("http://codeforces.com/problemset/problem/149/C","CF149-D2-C")</f>
        <v>CF149-D2-C</v>
      </c>
      <c r="C21" s="7"/>
      <c r="D21" s="7"/>
      <c r="E21" s="7"/>
      <c r="F21" s="7"/>
      <c r="G21" s="7"/>
      <c r="H21" s="12">
        <f t="shared" si="0"/>
        <v>0</v>
      </c>
      <c r="I21" s="7"/>
      <c r="J21" s="7"/>
    </row>
    <row r="22" spans="1:10" ht="15.75" customHeight="1" x14ac:dyDescent="0.15">
      <c r="A22" s="30" t="s">
        <v>329</v>
      </c>
      <c r="B22" s="16" t="str">
        <f>HYPERLINK("http://codeforces.com/problemset/problem/570/C","CF570-D2-C")</f>
        <v>CF570-D2-C</v>
      </c>
      <c r="C22" s="7"/>
      <c r="D22" s="7"/>
      <c r="E22" s="7"/>
      <c r="F22" s="7"/>
      <c r="G22" s="7"/>
      <c r="H22" s="12">
        <f t="shared" si="0"/>
        <v>0</v>
      </c>
      <c r="I22" s="7"/>
      <c r="J22" s="7"/>
    </row>
    <row r="23" spans="1:10" ht="15.75" customHeight="1" x14ac:dyDescent="0.15">
      <c r="A23" s="30" t="s">
        <v>330</v>
      </c>
      <c r="B23" s="16" t="str">
        <f>HYPERLINK("http://codeforces.com/problemset/problem/276/C","CF276-D2-C")</f>
        <v>CF276-D2-C</v>
      </c>
      <c r="C23" s="7"/>
      <c r="D23" s="7"/>
      <c r="E23" s="7"/>
      <c r="F23" s="7"/>
      <c r="G23" s="7"/>
      <c r="H23" s="12">
        <f t="shared" si="0"/>
        <v>0</v>
      </c>
      <c r="I23" s="7"/>
      <c r="J23" s="7"/>
    </row>
    <row r="24" spans="1:10" ht="15.75" customHeight="1" x14ac:dyDescent="0.15">
      <c r="A24" s="30" t="s">
        <v>331</v>
      </c>
      <c r="B24" s="16" t="str">
        <f>HYPERLINK("http://codeforces.com/problemset/problem/3/C","CF3-D2-C")</f>
        <v>CF3-D2-C</v>
      </c>
      <c r="C24" s="7"/>
      <c r="D24" s="7"/>
      <c r="E24" s="7"/>
      <c r="F24" s="7"/>
      <c r="G24" s="7"/>
      <c r="H24" s="12">
        <f t="shared" si="0"/>
        <v>0</v>
      </c>
      <c r="I24" s="7"/>
      <c r="J24" s="7"/>
    </row>
    <row r="25" spans="1:10" ht="15.75" customHeight="1" x14ac:dyDescent="0.15">
      <c r="A25" s="30" t="s">
        <v>333</v>
      </c>
      <c r="B25" s="16" t="str">
        <f>HYPERLINK("http://codeforces.com/problemset/problem/41/C","CF41-D2-C")</f>
        <v>CF41-D2-C</v>
      </c>
      <c r="C25" s="7"/>
      <c r="D25" s="7"/>
      <c r="E25" s="7"/>
      <c r="F25" s="7"/>
      <c r="G25" s="7"/>
      <c r="H25" s="12">
        <f t="shared" si="0"/>
        <v>0</v>
      </c>
      <c r="I25" s="7"/>
      <c r="J25" s="7"/>
    </row>
    <row r="26" spans="1:10" ht="15.75" customHeight="1" x14ac:dyDescent="0.15">
      <c r="A26" s="30" t="s">
        <v>335</v>
      </c>
      <c r="B26" s="16" t="str">
        <f>HYPERLINK("http://codeforces.com/problemset/problem/405/C","CF405-D2-C")</f>
        <v>CF405-D2-C</v>
      </c>
      <c r="C26" s="7"/>
      <c r="D26" s="7"/>
      <c r="E26" s="7"/>
      <c r="F26" s="7"/>
      <c r="G26" s="7"/>
      <c r="H26" s="12">
        <f t="shared" si="0"/>
        <v>0</v>
      </c>
      <c r="I26" s="7"/>
      <c r="J26" s="7"/>
    </row>
    <row r="27" spans="1:10" ht="15.75" customHeight="1" x14ac:dyDescent="0.15">
      <c r="A27" s="30" t="s">
        <v>336</v>
      </c>
      <c r="B27" s="16" t="str">
        <f>HYPERLINK("http://codeforces.com/problemset/problem/313/C","CF313-D2-C")</f>
        <v>CF313-D2-C</v>
      </c>
      <c r="C27" s="7"/>
      <c r="D27" s="7"/>
      <c r="E27" s="7"/>
      <c r="F27" s="7"/>
      <c r="G27" s="7"/>
      <c r="H27" s="12">
        <f t="shared" si="0"/>
        <v>0</v>
      </c>
      <c r="I27" s="7"/>
      <c r="J27" s="7"/>
    </row>
    <row r="28" spans="1:10" ht="15.75" customHeight="1" x14ac:dyDescent="0.15">
      <c r="A28" s="5"/>
      <c r="B28" s="5"/>
      <c r="C28" s="7"/>
      <c r="D28" s="7"/>
      <c r="E28" s="7"/>
      <c r="F28" s="7"/>
      <c r="G28" s="7"/>
      <c r="H28" s="12">
        <f t="shared" si="0"/>
        <v>0</v>
      </c>
      <c r="I28" s="7"/>
      <c r="J28" s="10" t="str">
        <f>HYPERLINK("https://www.youtube.com/watch?v=6GzxGabB5MI","Watch - Graph Theory - Dijksra")</f>
        <v>Watch - Graph Theory - Dijksra</v>
      </c>
    </row>
    <row r="29" spans="1:10" ht="15.75" customHeight="1" x14ac:dyDescent="0.15">
      <c r="A29" s="5"/>
      <c r="B29" s="5"/>
      <c r="C29" s="7"/>
      <c r="D29" s="7"/>
      <c r="E29" s="7"/>
      <c r="F29" s="7"/>
      <c r="G29" s="7"/>
      <c r="H29" s="12">
        <f t="shared" si="0"/>
        <v>0</v>
      </c>
      <c r="I29" s="7"/>
      <c r="J29" s="10" t="str">
        <f>HYPERLINK("https://www.youtube.com/watch?v=g4CWwTOGxdM","Watch - Graph Theory - Bellmanford")</f>
        <v>Watch - Graph Theory - Bellmanford</v>
      </c>
    </row>
    <row r="30" spans="1:10" ht="15.75" customHeight="1" x14ac:dyDescent="0.15">
      <c r="A30" s="7"/>
      <c r="B30" s="7"/>
      <c r="C30" s="7"/>
      <c r="D30" s="7"/>
      <c r="E30" s="7"/>
      <c r="F30" s="7"/>
      <c r="G30" s="7"/>
      <c r="H30" s="12">
        <f t="shared" si="0"/>
        <v>0</v>
      </c>
      <c r="I30" s="7"/>
      <c r="J30" s="10" t="str">
        <f>HYPERLINK("https://www.youtube.com/watch?v=tcQky6O1em8","Watch - Graph Theory - MST - Prime")</f>
        <v>Watch - Graph Theory - MST - Prime</v>
      </c>
    </row>
    <row r="31" spans="1:10" ht="15.75" customHeight="1" x14ac:dyDescent="0.15">
      <c r="A31" s="30" t="s">
        <v>117</v>
      </c>
      <c r="B31" s="16" t="str">
        <f>HYPERLINK("http://codeforces.com/problemset/problem/137/C","CF137-D2-C")</f>
        <v>CF137-D2-C</v>
      </c>
      <c r="C31" s="7"/>
      <c r="D31" s="7"/>
      <c r="E31" s="7"/>
      <c r="F31" s="7"/>
      <c r="G31" s="7"/>
      <c r="H31" s="12">
        <f t="shared" si="0"/>
        <v>0</v>
      </c>
      <c r="I31" s="7"/>
      <c r="J31" s="7"/>
    </row>
    <row r="32" spans="1:10" ht="15.75" customHeight="1" x14ac:dyDescent="0.15">
      <c r="A32" s="30" t="s">
        <v>342</v>
      </c>
      <c r="B32" s="16" t="str">
        <f>HYPERLINK("http://codeforces.com/problemset/problem/439/C","CF439-D2-C")</f>
        <v>CF439-D2-C</v>
      </c>
      <c r="C32" s="7"/>
      <c r="D32" s="7"/>
      <c r="E32" s="7"/>
      <c r="F32" s="7"/>
      <c r="G32" s="7"/>
      <c r="H32" s="12">
        <f t="shared" si="0"/>
        <v>0</v>
      </c>
      <c r="I32" s="7"/>
      <c r="J32" s="7"/>
    </row>
    <row r="33" spans="1:10" ht="15.75" customHeight="1" x14ac:dyDescent="0.15">
      <c r="A33" s="30" t="s">
        <v>344</v>
      </c>
      <c r="B33" s="16" t="str">
        <f>HYPERLINK("http://codeforces.com/problemset/problem/4/C","CF4-D2-C")</f>
        <v>CF4-D2-C</v>
      </c>
      <c r="C33" s="7"/>
      <c r="D33" s="7"/>
      <c r="E33" s="7"/>
      <c r="F33" s="7"/>
      <c r="G33" s="7"/>
      <c r="H33" s="12">
        <f t="shared" si="0"/>
        <v>0</v>
      </c>
      <c r="I33" s="7"/>
      <c r="J33" s="7"/>
    </row>
    <row r="34" spans="1:10" ht="15.75" customHeight="1" x14ac:dyDescent="0.15">
      <c r="A34" s="30" t="s">
        <v>345</v>
      </c>
      <c r="B34" s="16" t="str">
        <f>HYPERLINK("http://codeforces.com/problemset/problem/437/C","CF437-D2-C")</f>
        <v>CF437-D2-C</v>
      </c>
      <c r="C34" s="7"/>
      <c r="D34" s="7"/>
      <c r="E34" s="7"/>
      <c r="F34" s="7"/>
      <c r="G34" s="7"/>
      <c r="H34" s="12">
        <f t="shared" si="0"/>
        <v>0</v>
      </c>
      <c r="I34" s="7"/>
      <c r="J34" s="7"/>
    </row>
    <row r="35" spans="1:10" ht="15.75" customHeight="1" x14ac:dyDescent="0.15">
      <c r="A35" s="30" t="s">
        <v>347</v>
      </c>
      <c r="B35" s="16" t="str">
        <f>HYPERLINK("http://codeforces.com/problemset/problem/467/C","CF467-D2-C")</f>
        <v>CF467-D2-C</v>
      </c>
      <c r="C35" s="7"/>
      <c r="D35" s="7"/>
      <c r="E35" s="7"/>
      <c r="F35" s="7"/>
      <c r="G35" s="7"/>
      <c r="H35" s="12">
        <f t="shared" si="0"/>
        <v>0</v>
      </c>
      <c r="I35" s="7"/>
      <c r="J35" s="7"/>
    </row>
    <row r="36" spans="1:10" ht="15.75" customHeight="1" x14ac:dyDescent="0.15">
      <c r="A36" s="30" t="s">
        <v>349</v>
      </c>
      <c r="B36" s="16" t="str">
        <f>HYPERLINK("http://codeforces.com/problemset/problem/476/C","CF476-D2-C")</f>
        <v>CF476-D2-C</v>
      </c>
      <c r="C36" s="7"/>
      <c r="D36" s="7"/>
      <c r="E36" s="7"/>
      <c r="F36" s="7"/>
      <c r="G36" s="7"/>
      <c r="H36" s="12">
        <f t="shared" si="0"/>
        <v>0</v>
      </c>
      <c r="I36" s="7"/>
      <c r="J36" s="7"/>
    </row>
    <row r="37" spans="1:10" ht="15.75" customHeight="1" x14ac:dyDescent="0.15">
      <c r="A37" s="30" t="s">
        <v>350</v>
      </c>
      <c r="B37" s="16" t="str">
        <f>HYPERLINK("http://codeforces.com/problemset/problem/501/C","CF501-D2-C")</f>
        <v>CF501-D2-C</v>
      </c>
      <c r="C37" s="7"/>
      <c r="D37" s="7"/>
      <c r="E37" s="7"/>
      <c r="F37" s="7"/>
      <c r="G37" s="7"/>
      <c r="H37" s="12">
        <f t="shared" si="0"/>
        <v>0</v>
      </c>
      <c r="I37" s="7"/>
      <c r="J37" s="7"/>
    </row>
    <row r="38" spans="1:10" ht="15.75" customHeight="1" x14ac:dyDescent="0.15">
      <c r="A38" s="30" t="s">
        <v>351</v>
      </c>
      <c r="B38" s="16" t="str">
        <f>HYPERLINK("http://codeforces.com/problemset/problem/402/C","CF402-D2-C")</f>
        <v>CF402-D2-C</v>
      </c>
      <c r="C38" s="7"/>
      <c r="D38" s="7"/>
      <c r="E38" s="7"/>
      <c r="F38" s="7"/>
      <c r="G38" s="7"/>
      <c r="H38" s="12">
        <f t="shared" si="0"/>
        <v>0</v>
      </c>
      <c r="I38" s="7"/>
      <c r="J38" s="7"/>
    </row>
    <row r="39" spans="1:10" ht="15.75" customHeight="1" x14ac:dyDescent="0.15">
      <c r="A39" s="30" t="s">
        <v>353</v>
      </c>
      <c r="B39" s="16" t="str">
        <f>HYPERLINK("http://codeforces.com/problemset/problem/558/C","CF558-D2-C")</f>
        <v>CF558-D2-C</v>
      </c>
      <c r="C39" s="7"/>
      <c r="D39" s="7"/>
      <c r="E39" s="7"/>
      <c r="F39" s="7"/>
      <c r="G39" s="7"/>
      <c r="H39" s="12">
        <f t="shared" si="0"/>
        <v>0</v>
      </c>
      <c r="I39" s="7"/>
      <c r="J39" s="7"/>
    </row>
    <row r="40" spans="1:10" ht="15.75" customHeight="1" x14ac:dyDescent="0.15">
      <c r="A40" s="30" t="s">
        <v>354</v>
      </c>
      <c r="B40" s="16" t="str">
        <f>HYPERLINK("http://codeforces.com/problemset/problem/435/C","CF435-D2-C")</f>
        <v>CF435-D2-C</v>
      </c>
      <c r="C40" s="7"/>
      <c r="D40" s="7"/>
      <c r="E40" s="7"/>
      <c r="F40" s="7"/>
      <c r="G40" s="7"/>
      <c r="H40" s="12">
        <f t="shared" si="0"/>
        <v>0</v>
      </c>
      <c r="I40" s="7"/>
      <c r="J40" s="7"/>
    </row>
    <row r="41" spans="1:10" ht="15.75" customHeight="1" x14ac:dyDescent="0.15">
      <c r="A41" s="5"/>
      <c r="B41" s="5"/>
      <c r="C41" s="7"/>
      <c r="D41" s="7"/>
      <c r="E41" s="7"/>
      <c r="F41" s="7"/>
      <c r="G41" s="7"/>
      <c r="H41" s="12">
        <f t="shared" si="0"/>
        <v>0</v>
      </c>
      <c r="I41" s="7"/>
      <c r="J41" s="13" t="str">
        <f>HYPERLINK("https://www.youtube.com/watch?v=bDlAqeWsKsg","Watch - DP - Consecutive Ranges Style")</f>
        <v>Watch - DP - Consecutive Ranges Style</v>
      </c>
    </row>
    <row r="42" spans="1:10" ht="15.75" customHeight="1" x14ac:dyDescent="0.15">
      <c r="A42" s="7"/>
      <c r="B42" s="7"/>
      <c r="C42" s="7"/>
      <c r="D42" s="7"/>
      <c r="E42" s="7"/>
      <c r="F42" s="7"/>
      <c r="G42" s="7"/>
      <c r="H42" s="12">
        <f t="shared" si="0"/>
        <v>0</v>
      </c>
      <c r="I42" s="7"/>
      <c r="J42" s="13" t="str">
        <f>HYPERLINK("https://www.youtube.com/watch?v=b4AC2jGNGEM","Watch - DP - Nested Ranges Style")</f>
        <v>Watch - DP - Nested Ranges Style</v>
      </c>
    </row>
    <row r="43" spans="1:10" ht="15.75" customHeight="1" x14ac:dyDescent="0.15">
      <c r="A43" s="7"/>
      <c r="B43" s="7"/>
      <c r="C43" s="7"/>
      <c r="D43" s="7"/>
      <c r="E43" s="7"/>
      <c r="F43" s="7"/>
      <c r="G43" s="7"/>
      <c r="H43" s="12">
        <f t="shared" si="0"/>
        <v>0</v>
      </c>
      <c r="I43" s="7"/>
      <c r="J43" s="14" t="str">
        <f>HYPERLINK("https://www.youtube.com/watch?v=pJbeTrSKl3Y","Watch - DP - General Ranges Style")</f>
        <v>Watch - DP - General Ranges Style</v>
      </c>
    </row>
    <row r="44" spans="1:10" ht="15.75" customHeight="1" x14ac:dyDescent="0.15">
      <c r="A44" s="30" t="s">
        <v>359</v>
      </c>
      <c r="B44" s="16" t="str">
        <f>HYPERLINK("http://codeforces.com/problemset/problem/515/C","CF515-D2-C")</f>
        <v>CF515-D2-C</v>
      </c>
      <c r="C44" s="7"/>
      <c r="D44" s="7"/>
      <c r="E44" s="7"/>
      <c r="F44" s="7"/>
      <c r="G44" s="7"/>
      <c r="H44" s="12">
        <f t="shared" si="0"/>
        <v>0</v>
      </c>
      <c r="I44" s="7"/>
      <c r="J44" s="7"/>
    </row>
    <row r="45" spans="1:10" ht="13" x14ac:dyDescent="0.15">
      <c r="A45" s="30" t="s">
        <v>361</v>
      </c>
      <c r="B45" s="16" t="str">
        <f>HYPERLINK("http://codeforces.com/problemset/problem/527/C","CF527-D2-C")</f>
        <v>CF527-D2-C</v>
      </c>
      <c r="C45" s="7"/>
      <c r="D45" s="7"/>
      <c r="E45" s="7"/>
      <c r="F45" s="7"/>
      <c r="G45" s="7"/>
      <c r="H45" s="12">
        <f t="shared" si="0"/>
        <v>0</v>
      </c>
      <c r="I45" s="7"/>
      <c r="J45" s="7"/>
    </row>
    <row r="46" spans="1:10" ht="13" x14ac:dyDescent="0.15">
      <c r="A46" s="30" t="s">
        <v>202</v>
      </c>
      <c r="B46" s="16" t="str">
        <f>HYPERLINK("http://codeforces.com/problemset/problem/417/C","CF417-D2-C")</f>
        <v>CF417-D2-C</v>
      </c>
      <c r="C46" s="7"/>
      <c r="D46" s="7"/>
      <c r="E46" s="7"/>
      <c r="F46" s="7"/>
      <c r="G46" s="7"/>
      <c r="H46" s="12">
        <f t="shared" si="0"/>
        <v>0</v>
      </c>
      <c r="I46" s="7"/>
      <c r="J46" s="7"/>
    </row>
    <row r="47" spans="1:10" ht="13" x14ac:dyDescent="0.15">
      <c r="A47" s="30" t="s">
        <v>364</v>
      </c>
      <c r="B47" s="16" t="str">
        <f>HYPERLINK("http://codeforces.com/problemset/problem/71/C","CF71-D2-C")</f>
        <v>CF71-D2-C</v>
      </c>
      <c r="C47" s="7"/>
      <c r="D47" s="7"/>
      <c r="E47" s="7"/>
      <c r="F47" s="7"/>
      <c r="G47" s="7"/>
      <c r="H47" s="12">
        <f t="shared" si="0"/>
        <v>0</v>
      </c>
      <c r="I47" s="7"/>
      <c r="J47" s="7"/>
    </row>
    <row r="48" spans="1:10" ht="13" x14ac:dyDescent="0.15">
      <c r="A48" s="30" t="s">
        <v>366</v>
      </c>
      <c r="B48" s="16" t="str">
        <f>HYPERLINK("http://codeforces.com/problemset/problem/379/C","CF379-D2-C")</f>
        <v>CF379-D2-C</v>
      </c>
      <c r="C48" s="7"/>
      <c r="D48" s="7"/>
      <c r="E48" s="7"/>
      <c r="F48" s="7"/>
      <c r="G48" s="7"/>
      <c r="H48" s="12">
        <f t="shared" si="0"/>
        <v>0</v>
      </c>
      <c r="I48" s="7"/>
      <c r="J48" s="7"/>
    </row>
    <row r="49" spans="1:10" ht="13" x14ac:dyDescent="0.15">
      <c r="A49" s="30" t="s">
        <v>368</v>
      </c>
      <c r="B49" s="16" t="str">
        <f>HYPERLINK("http://codeforces.com/problemset/problem/131/C","CF131-D2-C")</f>
        <v>CF131-D2-C</v>
      </c>
      <c r="C49" s="7"/>
      <c r="D49" s="7"/>
      <c r="E49" s="7"/>
      <c r="F49" s="7"/>
      <c r="G49" s="7"/>
      <c r="H49" s="12">
        <f t="shared" si="0"/>
        <v>0</v>
      </c>
      <c r="I49" s="7"/>
      <c r="J49" s="7"/>
    </row>
    <row r="50" spans="1:10" ht="13" x14ac:dyDescent="0.15">
      <c r="A50" s="30" t="s">
        <v>369</v>
      </c>
      <c r="B50" s="16" t="str">
        <f>HYPERLINK("http://codeforces.com/problemset/problem/471/C","CF471-D2-C")</f>
        <v>CF471-D2-C</v>
      </c>
      <c r="C50" s="7"/>
      <c r="D50" s="7"/>
      <c r="E50" s="7"/>
      <c r="F50" s="7"/>
      <c r="G50" s="7"/>
      <c r="H50" s="12">
        <f t="shared" si="0"/>
        <v>0</v>
      </c>
      <c r="I50" s="7"/>
      <c r="J50" s="7"/>
    </row>
    <row r="51" spans="1:10" ht="26" x14ac:dyDescent="0.15">
      <c r="A51" s="30" t="s">
        <v>370</v>
      </c>
      <c r="B51" s="16" t="str">
        <f>HYPERLINK("http://codeforces.com/problemset/problem/255/C","CF255-D2-C")</f>
        <v>CF255-D2-C</v>
      </c>
      <c r="C51" s="7"/>
      <c r="D51" s="7"/>
      <c r="E51" s="7"/>
      <c r="F51" s="7"/>
      <c r="G51" s="7"/>
      <c r="H51" s="12">
        <f t="shared" si="0"/>
        <v>0</v>
      </c>
      <c r="I51" s="7"/>
      <c r="J51" s="7"/>
    </row>
    <row r="52" spans="1:10" ht="13" x14ac:dyDescent="0.15">
      <c r="A52" s="30" t="s">
        <v>371</v>
      </c>
      <c r="B52" s="16" t="str">
        <f>HYPERLINK("http://codeforces.com/problemset/problem/478/C","CF478-D2-C")</f>
        <v>CF478-D2-C</v>
      </c>
      <c r="C52" s="7"/>
      <c r="D52" s="7"/>
      <c r="E52" s="7"/>
      <c r="F52" s="7"/>
      <c r="G52" s="7"/>
      <c r="H52" s="12">
        <f t="shared" si="0"/>
        <v>0</v>
      </c>
      <c r="I52" s="7"/>
      <c r="J52" s="7"/>
    </row>
    <row r="53" spans="1:10" ht="13" x14ac:dyDescent="0.15">
      <c r="A53" s="30" t="s">
        <v>372</v>
      </c>
      <c r="B53" s="16" t="str">
        <f>HYPERLINK("http://codeforces.com/problemset/problem/584/C","CF584-D2-C")</f>
        <v>CF584-D2-C</v>
      </c>
      <c r="C53" s="7"/>
      <c r="D53" s="7"/>
      <c r="E53" s="7"/>
      <c r="F53" s="7"/>
      <c r="G53" s="7"/>
      <c r="H53" s="12">
        <f t="shared" si="0"/>
        <v>0</v>
      </c>
      <c r="I53" s="7"/>
      <c r="J53" s="5"/>
    </row>
    <row r="54" spans="1:10" ht="13" x14ac:dyDescent="0.15">
      <c r="A54" s="7"/>
      <c r="B54" s="7"/>
      <c r="C54" s="7"/>
      <c r="D54" s="7"/>
      <c r="E54" s="7"/>
      <c r="F54" s="7"/>
      <c r="G54" s="7"/>
      <c r="H54" s="12">
        <f t="shared" si="0"/>
        <v>0</v>
      </c>
      <c r="I54" s="7"/>
      <c r="J54" s="16" t="str">
        <f>HYPERLINK("https://www.youtube.com/watch?v=HQ5ANfzSDn0","Watch - Graph Theory - MST - Kruskal")</f>
        <v>Watch - Graph Theory - MST - Kruskal</v>
      </c>
    </row>
    <row r="55" spans="1:10" ht="13" x14ac:dyDescent="0.15">
      <c r="A55" s="30" t="s">
        <v>374</v>
      </c>
      <c r="B55" s="16" t="str">
        <f>HYPERLINK("http://codeforces.com/problemset/problem/463/C","CF463-D2-C")</f>
        <v>CF463-D2-C</v>
      </c>
      <c r="C55" s="7"/>
      <c r="D55" s="7"/>
      <c r="E55" s="7"/>
      <c r="F55" s="7"/>
      <c r="G55" s="7"/>
      <c r="H55" s="12">
        <f t="shared" si="0"/>
        <v>0</v>
      </c>
      <c r="I55" s="7"/>
      <c r="J55" s="7"/>
    </row>
    <row r="56" spans="1:10" ht="13" x14ac:dyDescent="0.15">
      <c r="A56" s="30" t="s">
        <v>376</v>
      </c>
      <c r="B56" s="16" t="str">
        <f>HYPERLINK("http://codeforces.com/problemset/problem/490/C","CF490-D2-C")</f>
        <v>CF490-D2-C</v>
      </c>
      <c r="C56" s="7"/>
      <c r="D56" s="7"/>
      <c r="E56" s="7"/>
      <c r="F56" s="7"/>
      <c r="G56" s="7"/>
      <c r="H56" s="12">
        <f t="shared" si="0"/>
        <v>0</v>
      </c>
      <c r="I56" s="7"/>
      <c r="J56" s="7"/>
    </row>
    <row r="57" spans="1:10" ht="13" x14ac:dyDescent="0.15">
      <c r="A57" s="30" t="s">
        <v>378</v>
      </c>
      <c r="B57" s="16" t="str">
        <f>HYPERLINK("http://codeforces.com/problemset/problem/496/C","CF496-D2-C")</f>
        <v>CF496-D2-C</v>
      </c>
      <c r="C57" s="7"/>
      <c r="D57" s="7"/>
      <c r="E57" s="7"/>
      <c r="F57" s="7"/>
      <c r="G57" s="7"/>
      <c r="H57" s="12">
        <f t="shared" si="0"/>
        <v>0</v>
      </c>
      <c r="I57" s="7"/>
      <c r="J57" s="7"/>
    </row>
    <row r="58" spans="1:10" ht="13" x14ac:dyDescent="0.15">
      <c r="A58" s="30" t="s">
        <v>380</v>
      </c>
      <c r="B58" s="16" t="str">
        <f>HYPERLINK("http://codeforces.com/problemset/problem/219/C","CF219-D2-C")</f>
        <v>CF219-D2-C</v>
      </c>
      <c r="C58" s="7"/>
      <c r="D58" s="7"/>
      <c r="E58" s="7"/>
      <c r="F58" s="7"/>
      <c r="G58" s="7"/>
      <c r="H58" s="12">
        <f t="shared" si="0"/>
        <v>0</v>
      </c>
      <c r="I58" s="7"/>
      <c r="J58" s="7"/>
    </row>
    <row r="59" spans="1:10" ht="13" x14ac:dyDescent="0.15">
      <c r="A59" s="30" t="s">
        <v>382</v>
      </c>
      <c r="B59" s="16" t="str">
        <f>HYPERLINK("http://codeforces.com/problemset/problem/366/C","CF366-D2-C")</f>
        <v>CF366-D2-C</v>
      </c>
      <c r="C59" s="7"/>
      <c r="D59" s="7"/>
      <c r="E59" s="7"/>
      <c r="F59" s="7"/>
      <c r="G59" s="7"/>
      <c r="H59" s="12">
        <f t="shared" si="0"/>
        <v>0</v>
      </c>
      <c r="I59" s="7"/>
      <c r="J59" s="7"/>
    </row>
    <row r="60" spans="1:10" ht="13" x14ac:dyDescent="0.15">
      <c r="A60" s="30" t="s">
        <v>383</v>
      </c>
      <c r="B60" s="16" t="str">
        <f>HYPERLINK("http://codeforces.com/problemset/problem/363/C","CF363-D2-C")</f>
        <v>CF363-D2-C</v>
      </c>
      <c r="C60" s="7"/>
      <c r="D60" s="7"/>
      <c r="E60" s="7"/>
      <c r="F60" s="7"/>
      <c r="G60" s="7"/>
      <c r="H60" s="12">
        <f t="shared" si="0"/>
        <v>0</v>
      </c>
      <c r="I60" s="7"/>
      <c r="J60" s="7"/>
    </row>
    <row r="61" spans="1:10" ht="13" x14ac:dyDescent="0.15">
      <c r="A61" s="30" t="s">
        <v>385</v>
      </c>
      <c r="B61" s="16" t="str">
        <f>HYPERLINK("http://codeforces.com/problemset/problem/385/C","CF385-D2-C")</f>
        <v>CF385-D2-C</v>
      </c>
      <c r="C61" s="7"/>
      <c r="D61" s="7"/>
      <c r="E61" s="7"/>
      <c r="F61" s="7"/>
      <c r="G61" s="7"/>
      <c r="H61" s="12">
        <f t="shared" si="0"/>
        <v>0</v>
      </c>
      <c r="I61" s="7"/>
      <c r="J61" s="7"/>
    </row>
    <row r="62" spans="1:10" ht="13" x14ac:dyDescent="0.15">
      <c r="A62" s="30" t="s">
        <v>387</v>
      </c>
      <c r="B62" s="16" t="str">
        <f>HYPERLINK("http://codeforces.com/problemset/problem/387/C","CF387-D2-C")</f>
        <v>CF387-D2-C</v>
      </c>
      <c r="C62" s="7"/>
      <c r="D62" s="7"/>
      <c r="E62" s="7"/>
      <c r="F62" s="7"/>
      <c r="G62" s="7"/>
      <c r="H62" s="12">
        <f t="shared" si="0"/>
        <v>0</v>
      </c>
      <c r="I62" s="7"/>
      <c r="J62" s="7"/>
    </row>
    <row r="63" spans="1:10" ht="13" x14ac:dyDescent="0.15">
      <c r="A63" s="30" t="s">
        <v>389</v>
      </c>
      <c r="B63" s="16" t="str">
        <f>HYPERLINK("http://codeforces.com/problemset/problem/404/C","CF404-D2-C")</f>
        <v>CF404-D2-C</v>
      </c>
      <c r="C63" s="7"/>
      <c r="D63" s="7"/>
      <c r="E63" s="7"/>
      <c r="F63" s="7"/>
      <c r="G63" s="7"/>
      <c r="H63" s="12">
        <f t="shared" si="0"/>
        <v>0</v>
      </c>
      <c r="I63" s="7"/>
      <c r="J63" s="7"/>
    </row>
    <row r="64" spans="1:10" ht="26" x14ac:dyDescent="0.15">
      <c r="A64" s="30" t="s">
        <v>391</v>
      </c>
      <c r="B64" s="16" t="str">
        <f>HYPERLINK("http://codeforces.com/problemset/problem/505/C","CF505-D2-C")</f>
        <v>CF505-D2-C</v>
      </c>
      <c r="C64" s="7"/>
      <c r="D64" s="7"/>
      <c r="E64" s="7"/>
      <c r="F64" s="7"/>
      <c r="G64" s="7"/>
      <c r="H64" s="12">
        <f t="shared" si="0"/>
        <v>0</v>
      </c>
      <c r="I64" s="7"/>
      <c r="J64" s="5"/>
    </row>
    <row r="65" spans="1:10" ht="13" x14ac:dyDescent="0.15">
      <c r="A65" s="7"/>
      <c r="B65" s="7"/>
      <c r="C65" s="7"/>
      <c r="D65" s="7"/>
      <c r="E65" s="7"/>
      <c r="F65" s="7"/>
      <c r="G65" s="7"/>
      <c r="H65" s="12">
        <f t="shared" si="0"/>
        <v>0</v>
      </c>
      <c r="I65" s="7"/>
      <c r="J65" s="10" t="str">
        <f>HYPERLINK("https://www.youtube.com/watch?v=ZIJLCVn4KzQ","Watch - Graph Theory - Floyd Warshal")</f>
        <v>Watch - Graph Theory - Floyd Warshal</v>
      </c>
    </row>
    <row r="66" spans="1:10" ht="13" x14ac:dyDescent="0.15">
      <c r="A66" s="7"/>
      <c r="B66" s="7"/>
      <c r="C66" s="7"/>
      <c r="D66" s="7"/>
      <c r="E66" s="7"/>
      <c r="F66" s="7"/>
      <c r="G66" s="7"/>
      <c r="H66" s="12">
        <f t="shared" si="0"/>
        <v>0</v>
      </c>
      <c r="I66" s="7"/>
      <c r="J66" s="10" t="str">
        <f>HYPERLINK("https://www.youtube.com/watch?v=RASvnfG2SSE","Watch - Graph Theory - Tree Diameter")</f>
        <v>Watch - Graph Theory - Tree Diameter</v>
      </c>
    </row>
    <row r="67" spans="1:10" ht="13" x14ac:dyDescent="0.15">
      <c r="A67" s="30" t="s">
        <v>393</v>
      </c>
      <c r="B67" s="16" t="str">
        <f>HYPERLINK("http://codeforces.com/problemset/problem/534/C","CF534-D2-C")</f>
        <v>CF534-D2-C</v>
      </c>
      <c r="C67" s="7"/>
      <c r="D67" s="7"/>
      <c r="E67" s="7"/>
      <c r="F67" s="7"/>
      <c r="G67" s="7"/>
      <c r="H67" s="12">
        <f t="shared" si="0"/>
        <v>0</v>
      </c>
      <c r="I67" s="7"/>
      <c r="J67" s="7"/>
    </row>
    <row r="68" spans="1:10" ht="13" x14ac:dyDescent="0.15">
      <c r="A68" s="30" t="s">
        <v>394</v>
      </c>
      <c r="B68" s="16" t="str">
        <f>HYPERLINK("http://codeforces.com/problemset/problem/350/C","CF350-D2-C")</f>
        <v>CF350-D2-C</v>
      </c>
      <c r="C68" s="7"/>
      <c r="D68" s="7"/>
      <c r="E68" s="7"/>
      <c r="F68" s="7"/>
      <c r="G68" s="7"/>
      <c r="H68" s="12">
        <f t="shared" si="0"/>
        <v>0</v>
      </c>
      <c r="I68" s="7"/>
      <c r="J68" s="7"/>
    </row>
    <row r="69" spans="1:10" ht="13" x14ac:dyDescent="0.15">
      <c r="A69" s="30" t="s">
        <v>396</v>
      </c>
      <c r="B69" s="16" t="str">
        <f>HYPERLINK("http://codeforces.com/problemset/problem/432/C","CF432-D2-C")</f>
        <v>CF432-D2-C</v>
      </c>
      <c r="C69" s="7"/>
      <c r="D69" s="7"/>
      <c r="E69" s="7"/>
      <c r="F69" s="7"/>
      <c r="G69" s="7"/>
      <c r="H69" s="12">
        <f t="shared" si="0"/>
        <v>0</v>
      </c>
      <c r="I69" s="7"/>
      <c r="J69" s="7"/>
    </row>
    <row r="70" spans="1:10" ht="13" x14ac:dyDescent="0.15">
      <c r="A70" s="30" t="s">
        <v>398</v>
      </c>
      <c r="B70" s="16" t="str">
        <f>HYPERLINK("http://codeforces.com/problemset/problem/400/C","CF400-D2-C")</f>
        <v>CF400-D2-C</v>
      </c>
      <c r="C70" s="7"/>
      <c r="D70" s="7"/>
      <c r="E70" s="7"/>
      <c r="F70" s="7"/>
      <c r="G70" s="7"/>
      <c r="H70" s="12">
        <f t="shared" si="0"/>
        <v>0</v>
      </c>
      <c r="I70" s="7"/>
      <c r="J70" s="7"/>
    </row>
    <row r="71" spans="1:10" ht="13" x14ac:dyDescent="0.15">
      <c r="A71" s="30" t="s">
        <v>399</v>
      </c>
      <c r="B71" s="16" t="str">
        <f>HYPERLINK("http://codeforces.com/problemset/problem/526/C","CF526-D2-C")</f>
        <v>CF526-D2-C</v>
      </c>
      <c r="C71" s="7"/>
      <c r="D71" s="7"/>
      <c r="E71" s="7"/>
      <c r="F71" s="7"/>
      <c r="G71" s="7"/>
      <c r="H71" s="12">
        <f t="shared" si="0"/>
        <v>0</v>
      </c>
      <c r="I71" s="7"/>
      <c r="J71" s="7"/>
    </row>
    <row r="72" spans="1:10" ht="13" x14ac:dyDescent="0.15">
      <c r="A72" s="30" t="s">
        <v>401</v>
      </c>
      <c r="B72" s="16" t="str">
        <f>HYPERLINK("http://codeforces.com/problemset/problem/20/C","CF20-D2-C")</f>
        <v>CF20-D2-C</v>
      </c>
      <c r="C72" s="7"/>
      <c r="D72" s="7"/>
      <c r="E72" s="7"/>
      <c r="F72" s="7"/>
      <c r="G72" s="7"/>
      <c r="H72" s="12">
        <f t="shared" si="0"/>
        <v>0</v>
      </c>
      <c r="I72" s="7"/>
      <c r="J72" s="7"/>
    </row>
    <row r="73" spans="1:10" ht="13" x14ac:dyDescent="0.15">
      <c r="A73" s="30" t="s">
        <v>403</v>
      </c>
      <c r="B73" s="16" t="str">
        <f>HYPERLINK("http://codeforces.com/problemset/problem/242/C","CF242-D2-C")</f>
        <v>CF242-D2-C</v>
      </c>
      <c r="C73" s="7"/>
      <c r="D73" s="7"/>
      <c r="E73" s="7"/>
      <c r="F73" s="7"/>
      <c r="G73" s="7"/>
      <c r="H73" s="12">
        <f t="shared" si="0"/>
        <v>0</v>
      </c>
      <c r="I73" s="7"/>
      <c r="J73" s="5"/>
    </row>
    <row r="74" spans="1:10" ht="13" x14ac:dyDescent="0.15">
      <c r="A74" s="30" t="s">
        <v>405</v>
      </c>
      <c r="B74" s="16" t="str">
        <f>HYPERLINK("http://codeforces.com/problemset/problem/551/C","CF551-D2-C")</f>
        <v>CF551-D2-C</v>
      </c>
      <c r="C74" s="7"/>
      <c r="D74" s="7"/>
      <c r="E74" s="7"/>
      <c r="F74" s="7"/>
      <c r="G74" s="7"/>
      <c r="H74" s="12">
        <f t="shared" si="0"/>
        <v>0</v>
      </c>
      <c r="I74" s="7"/>
      <c r="J74" s="5"/>
    </row>
    <row r="75" spans="1:10" ht="13" x14ac:dyDescent="0.15">
      <c r="A75" s="30" t="s">
        <v>407</v>
      </c>
      <c r="B75" s="16" t="str">
        <f>HYPERLINK("http://codeforces.com/problemset/problem/460/C","CF460-D2-C")</f>
        <v>CF460-D2-C</v>
      </c>
      <c r="C75" s="7"/>
      <c r="D75" s="7"/>
      <c r="E75" s="7"/>
      <c r="F75" s="7"/>
      <c r="G75" s="7"/>
      <c r="H75" s="12">
        <f t="shared" si="0"/>
        <v>0</v>
      </c>
      <c r="I75" s="7"/>
      <c r="J75" s="7"/>
    </row>
    <row r="76" spans="1:10" ht="13" x14ac:dyDescent="0.15">
      <c r="A76" s="30" t="s">
        <v>408</v>
      </c>
      <c r="B76" s="16" t="str">
        <f>HYPERLINK("http://codeforces.com/problemset/problem/448/C","CF448-D2-C")</f>
        <v>CF448-D2-C</v>
      </c>
      <c r="C76" s="7"/>
      <c r="D76" s="7"/>
      <c r="E76" s="7"/>
      <c r="F76" s="7"/>
      <c r="G76" s="7"/>
      <c r="H76" s="12">
        <f t="shared" si="0"/>
        <v>0</v>
      </c>
      <c r="I76" s="7"/>
      <c r="J76" s="7"/>
    </row>
    <row r="77" spans="1:10" ht="13" x14ac:dyDescent="0.15">
      <c r="A77" s="7"/>
      <c r="B77" s="7"/>
      <c r="C77" s="7"/>
      <c r="D77" s="7"/>
      <c r="E77" s="7"/>
      <c r="F77" s="7"/>
      <c r="G77" s="7"/>
      <c r="H77" s="12">
        <f t="shared" si="0"/>
        <v>0</v>
      </c>
      <c r="I77" s="7"/>
      <c r="J77" s="10" t="str">
        <f>HYPERLINK("https://www.youtube.com/watch?v=lE09Ss_Sy0A","Watch - DP - Counting")</f>
        <v>Watch - DP - Counting</v>
      </c>
    </row>
    <row r="78" spans="1:10" ht="13" x14ac:dyDescent="0.15">
      <c r="A78" s="7"/>
      <c r="B78" s="7"/>
      <c r="C78" s="7"/>
      <c r="D78" s="7"/>
      <c r="E78" s="7"/>
      <c r="F78" s="7"/>
      <c r="G78" s="7"/>
      <c r="H78" s="12">
        <f t="shared" si="0"/>
        <v>0</v>
      </c>
      <c r="I78" s="7"/>
      <c r="J78" s="10" t="str">
        <f>HYPERLINK("https://www.youtube.com/watch?v=s3IGwpJwCTA","Watch - DP - Building Output")</f>
        <v>Watch - DP - Building Output</v>
      </c>
    </row>
    <row r="79" spans="1:10" ht="13" x14ac:dyDescent="0.15">
      <c r="A79" s="30" t="s">
        <v>412</v>
      </c>
      <c r="B79" s="16" t="str">
        <f>HYPERLINK("http://codeforces.com/problemset/problem/140/C","CF140-D2-C")</f>
        <v>CF140-D2-C</v>
      </c>
      <c r="C79" s="7"/>
      <c r="D79" s="7"/>
      <c r="E79" s="7"/>
      <c r="F79" s="7"/>
      <c r="G79" s="7"/>
      <c r="H79" s="12">
        <f t="shared" si="0"/>
        <v>0</v>
      </c>
      <c r="I79" s="7"/>
      <c r="J79" s="7"/>
    </row>
    <row r="80" spans="1:10" ht="13" x14ac:dyDescent="0.15">
      <c r="A80" s="30" t="s">
        <v>414</v>
      </c>
      <c r="B80" s="16" t="str">
        <f>HYPERLINK("http://codeforces.com/problemset/problem/237/C","CF237-D2-C")</f>
        <v>CF237-D2-C</v>
      </c>
      <c r="C80" s="7"/>
      <c r="D80" s="7"/>
      <c r="E80" s="7"/>
      <c r="F80" s="7"/>
      <c r="G80" s="7"/>
      <c r="H80" s="12">
        <f t="shared" si="0"/>
        <v>0</v>
      </c>
      <c r="I80" s="7"/>
      <c r="J80" s="7"/>
    </row>
    <row r="81" spans="1:10" ht="13" x14ac:dyDescent="0.15">
      <c r="A81" s="30" t="s">
        <v>415</v>
      </c>
      <c r="B81" s="16" t="str">
        <f>HYPERLINK("http://codeforces.com/problemset/problem/260/C","CF260-D2-C")</f>
        <v>CF260-D2-C</v>
      </c>
      <c r="C81" s="7"/>
      <c r="D81" s="7"/>
      <c r="E81" s="7"/>
      <c r="F81" s="7"/>
      <c r="G81" s="7"/>
      <c r="H81" s="12">
        <f t="shared" si="0"/>
        <v>0</v>
      </c>
      <c r="I81" s="7"/>
      <c r="J81" s="7"/>
    </row>
    <row r="82" spans="1:10" ht="13" x14ac:dyDescent="0.15">
      <c r="A82" s="30" t="s">
        <v>416</v>
      </c>
      <c r="B82" s="16" t="str">
        <f>HYPERLINK("http://codeforces.com/problemset/problem/520/C","CF520-D2-C")</f>
        <v>CF520-D2-C</v>
      </c>
      <c r="C82" s="7"/>
      <c r="D82" s="7"/>
      <c r="E82" s="7"/>
      <c r="F82" s="7"/>
      <c r="G82" s="7"/>
      <c r="H82" s="12">
        <f t="shared" si="0"/>
        <v>0</v>
      </c>
      <c r="I82" s="7"/>
      <c r="J82" s="5"/>
    </row>
    <row r="83" spans="1:10" ht="13" x14ac:dyDescent="0.15">
      <c r="A83" s="30" t="s">
        <v>417</v>
      </c>
      <c r="B83" s="16" t="str">
        <f>HYPERLINK("http://codeforces.com/problemset/problem/474/C","CF474-D2-C")</f>
        <v>CF474-D2-C</v>
      </c>
      <c r="C83" s="7"/>
      <c r="D83" s="7"/>
      <c r="E83" s="7"/>
      <c r="F83" s="7"/>
      <c r="G83" s="7"/>
      <c r="H83" s="12">
        <f t="shared" si="0"/>
        <v>0</v>
      </c>
      <c r="I83" s="7"/>
      <c r="J83" s="7"/>
    </row>
    <row r="84" spans="1:10" ht="13" x14ac:dyDescent="0.15">
      <c r="A84" s="30" t="s">
        <v>418</v>
      </c>
      <c r="B84" s="16" t="str">
        <f>HYPERLINK("http://codeforces.com/problemset/problem/524/C","CF524-D2-C")</f>
        <v>CF524-D2-C</v>
      </c>
      <c r="C84" s="7"/>
      <c r="D84" s="7"/>
      <c r="E84" s="7"/>
      <c r="F84" s="7"/>
      <c r="G84" s="7"/>
      <c r="H84" s="12">
        <f t="shared" si="0"/>
        <v>0</v>
      </c>
      <c r="I84" s="7"/>
      <c r="J84" s="7"/>
    </row>
    <row r="85" spans="1:10" ht="13" x14ac:dyDescent="0.15">
      <c r="A85" s="30" t="s">
        <v>420</v>
      </c>
      <c r="B85" s="16" t="str">
        <f>HYPERLINK("http://codeforces.com/problemset/problem/436/C","CF436-D2-C")</f>
        <v>CF436-D2-C</v>
      </c>
      <c r="C85" s="7"/>
      <c r="D85" s="7"/>
      <c r="E85" s="7"/>
      <c r="F85" s="7"/>
      <c r="G85" s="7"/>
      <c r="H85" s="12">
        <f t="shared" si="0"/>
        <v>0</v>
      </c>
      <c r="I85" s="7"/>
      <c r="J85" s="7"/>
    </row>
    <row r="86" spans="1:10" ht="13" x14ac:dyDescent="0.15">
      <c r="A86" s="30" t="s">
        <v>422</v>
      </c>
      <c r="B86" s="16" t="str">
        <f>HYPERLINK("http://codeforces.com/problemset/problem/337/C","CF337-D2-C")</f>
        <v>CF337-D2-C</v>
      </c>
      <c r="C86" s="7"/>
      <c r="D86" s="7"/>
      <c r="E86" s="7"/>
      <c r="F86" s="7"/>
      <c r="G86" s="7"/>
      <c r="H86" s="12">
        <f t="shared" si="0"/>
        <v>0</v>
      </c>
      <c r="I86" s="7"/>
      <c r="J86" s="7"/>
    </row>
    <row r="87" spans="1:10" ht="13" x14ac:dyDescent="0.15">
      <c r="A87" s="30" t="s">
        <v>423</v>
      </c>
      <c r="B87" s="16" t="str">
        <f>HYPERLINK("http://codeforces.com/problemset/problem/225/C","CF225-D2-C")</f>
        <v>CF225-D2-C</v>
      </c>
      <c r="C87" s="7"/>
      <c r="D87" s="7"/>
      <c r="E87" s="7"/>
      <c r="F87" s="7"/>
      <c r="G87" s="7"/>
      <c r="H87" s="12">
        <f t="shared" si="0"/>
        <v>0</v>
      </c>
      <c r="I87" s="7"/>
      <c r="J87" s="7"/>
    </row>
    <row r="88" spans="1:10" ht="13" x14ac:dyDescent="0.15">
      <c r="A88" s="30" t="s">
        <v>425</v>
      </c>
      <c r="B88" s="16" t="str">
        <f>HYPERLINK("http://codeforces.com/problemset/problem/557/C","CF557-D2-C")</f>
        <v>CF557-D2-C</v>
      </c>
      <c r="C88" s="7"/>
      <c r="D88" s="7"/>
      <c r="E88" s="7"/>
      <c r="F88" s="7"/>
      <c r="G88" s="7"/>
      <c r="H88" s="12">
        <f t="shared" si="0"/>
        <v>0</v>
      </c>
      <c r="I88" s="7"/>
      <c r="J88" s="5"/>
    </row>
    <row r="89" spans="1:10" ht="13" x14ac:dyDescent="0.15">
      <c r="A89" s="7"/>
      <c r="B89" s="7"/>
      <c r="C89" s="7"/>
      <c r="D89" s="7"/>
      <c r="E89" s="7"/>
      <c r="F89" s="7"/>
      <c r="G89" s="7"/>
      <c r="H89" s="12">
        <f t="shared" si="0"/>
        <v>0</v>
      </c>
      <c r="I89" s="7"/>
      <c r="J89" s="23" t="s">
        <v>185</v>
      </c>
    </row>
    <row r="90" spans="1:10" ht="13" x14ac:dyDescent="0.15">
      <c r="A90" s="24"/>
      <c r="B90" s="24"/>
      <c r="C90" s="24"/>
      <c r="D90" s="25"/>
      <c r="E90" s="25"/>
      <c r="F90" s="25"/>
      <c r="G90" s="25"/>
      <c r="H90" s="26">
        <f t="shared" si="0"/>
        <v>0</v>
      </c>
      <c r="I90" s="25"/>
      <c r="J90" s="25"/>
    </row>
    <row r="91" spans="1:10" ht="13" x14ac:dyDescent="0.15">
      <c r="A91" s="7"/>
      <c r="B91" s="7"/>
      <c r="C91" s="7"/>
      <c r="D91" s="96" t="s">
        <v>187</v>
      </c>
      <c r="E91" s="97"/>
      <c r="F91" s="97"/>
      <c r="G91" s="97"/>
      <c r="H91" s="12">
        <f t="shared" si="0"/>
        <v>0</v>
      </c>
      <c r="I91" s="98" t="s">
        <v>189</v>
      </c>
      <c r="J91" s="97"/>
    </row>
    <row r="92" spans="1:10" ht="13" x14ac:dyDescent="0.15">
      <c r="A92" s="24"/>
      <c r="B92" s="24"/>
      <c r="C92" s="24"/>
      <c r="D92" s="24"/>
      <c r="E92" s="24"/>
      <c r="F92" s="24"/>
      <c r="G92" s="24"/>
      <c r="H92" s="26">
        <f t="shared" si="0"/>
        <v>0</v>
      </c>
      <c r="I92" s="24"/>
      <c r="J92" s="24"/>
    </row>
    <row r="93" spans="1:10" ht="13" x14ac:dyDescent="0.15">
      <c r="A93" s="30" t="s">
        <v>429</v>
      </c>
      <c r="B93" s="16" t="str">
        <f>HYPERLINK("http://codeforces.com/problemset/problem/519/C","CF519-D2-C")</f>
        <v>CF519-D2-C</v>
      </c>
      <c r="C93" s="7"/>
      <c r="D93" s="7"/>
      <c r="E93" s="7"/>
      <c r="F93" s="7"/>
      <c r="G93" s="7"/>
      <c r="H93" s="12">
        <f t="shared" si="0"/>
        <v>0</v>
      </c>
      <c r="I93" s="7"/>
      <c r="J93" s="7"/>
    </row>
    <row r="94" spans="1:10" ht="26" x14ac:dyDescent="0.15">
      <c r="A94" s="30" t="s">
        <v>431</v>
      </c>
      <c r="B94" s="16" t="str">
        <f>HYPERLINK("http://codeforces.com/problemset/problem/489/C","CF489-D2-C")</f>
        <v>CF489-D2-C</v>
      </c>
      <c r="C94" s="7"/>
      <c r="D94" s="7"/>
      <c r="E94" s="7"/>
      <c r="F94" s="7"/>
      <c r="G94" s="7"/>
      <c r="H94" s="12">
        <f t="shared" si="0"/>
        <v>0</v>
      </c>
      <c r="I94" s="7"/>
      <c r="J94" s="7"/>
    </row>
    <row r="95" spans="1:10" ht="13" x14ac:dyDescent="0.15">
      <c r="A95" s="30" t="s">
        <v>433</v>
      </c>
      <c r="B95" s="16" t="str">
        <f>HYPERLINK("http://codeforces.com/problemset/problem/158/C","CF158-D2-C")</f>
        <v>CF158-D2-C</v>
      </c>
      <c r="C95" s="7"/>
      <c r="D95" s="7"/>
      <c r="E95" s="7"/>
      <c r="F95" s="7"/>
      <c r="G95" s="7"/>
      <c r="H95" s="12">
        <f t="shared" si="0"/>
        <v>0</v>
      </c>
      <c r="I95" s="7"/>
      <c r="J95" s="7"/>
    </row>
    <row r="96" spans="1:10" ht="13" x14ac:dyDescent="0.15">
      <c r="A96" s="30" t="s">
        <v>435</v>
      </c>
      <c r="B96" s="16" t="str">
        <f>HYPERLINK("http://codeforces.com/problemset/problem/546/C","CF546-D2-C")</f>
        <v>CF546-D2-C</v>
      </c>
      <c r="C96" s="7"/>
      <c r="D96" s="7"/>
      <c r="E96" s="7"/>
      <c r="F96" s="7"/>
      <c r="G96" s="7"/>
      <c r="H96" s="12">
        <f t="shared" si="0"/>
        <v>0</v>
      </c>
      <c r="I96" s="7"/>
      <c r="J96" s="7"/>
    </row>
    <row r="97" spans="1:10" ht="13" x14ac:dyDescent="0.15">
      <c r="A97" s="30" t="s">
        <v>437</v>
      </c>
      <c r="B97" s="16" t="str">
        <f>HYPERLINK("http://codeforces.com/problemset/problem/466/C","CF466-D2-C")</f>
        <v>CF466-D2-C</v>
      </c>
      <c r="C97" s="7"/>
      <c r="D97" s="7"/>
      <c r="E97" s="7"/>
      <c r="F97" s="7"/>
      <c r="G97" s="7"/>
      <c r="H97" s="12">
        <f t="shared" si="0"/>
        <v>0</v>
      </c>
      <c r="I97" s="7"/>
      <c r="J97" s="7"/>
    </row>
    <row r="98" spans="1:10" ht="13" x14ac:dyDescent="0.15">
      <c r="A98" s="30" t="s">
        <v>438</v>
      </c>
      <c r="B98" s="16" t="str">
        <f>HYPERLINK("http://codeforces.com/problemset/problem/545/C","CF545-D2-C")</f>
        <v>CF545-D2-C</v>
      </c>
      <c r="C98" s="7"/>
      <c r="D98" s="7"/>
      <c r="E98" s="7"/>
      <c r="F98" s="7"/>
      <c r="G98" s="7"/>
      <c r="H98" s="12">
        <f t="shared" si="0"/>
        <v>0</v>
      </c>
      <c r="I98" s="7"/>
      <c r="J98" s="7"/>
    </row>
    <row r="99" spans="1:10" ht="13" x14ac:dyDescent="0.15">
      <c r="A99" s="30" t="s">
        <v>439</v>
      </c>
      <c r="B99" s="16" t="str">
        <f>HYPERLINK("http://codeforces.com/problemset/problem/580/C","CF580-D2-C")</f>
        <v>CF580-D2-C</v>
      </c>
      <c r="C99" s="7"/>
      <c r="D99" s="7"/>
      <c r="E99" s="7"/>
      <c r="F99" s="7"/>
      <c r="G99" s="7"/>
      <c r="H99" s="12">
        <f t="shared" si="0"/>
        <v>0</v>
      </c>
      <c r="I99" s="7"/>
      <c r="J99" s="7"/>
    </row>
    <row r="100" spans="1:10" ht="13" x14ac:dyDescent="0.15">
      <c r="A100" s="30" t="s">
        <v>441</v>
      </c>
      <c r="B100" s="16" t="str">
        <f>HYPERLINK("http://codeforces.com/problemset/problem/581/C","CF581-D2-C")</f>
        <v>CF581-D2-C</v>
      </c>
      <c r="C100" s="7"/>
      <c r="D100" s="7"/>
      <c r="E100" s="7"/>
      <c r="F100" s="7"/>
      <c r="G100" s="7"/>
      <c r="H100" s="12">
        <f t="shared" si="0"/>
        <v>0</v>
      </c>
      <c r="I100" s="7"/>
      <c r="J100" s="7"/>
    </row>
    <row r="101" spans="1:10" ht="13" x14ac:dyDescent="0.15">
      <c r="A101" s="30" t="s">
        <v>443</v>
      </c>
      <c r="B101" s="16" t="str">
        <f>HYPERLINK("http://codeforces.com/problemset/problem/500/C","CF500-D2-C")</f>
        <v>CF500-D2-C</v>
      </c>
      <c r="C101" s="7"/>
      <c r="D101" s="7"/>
      <c r="E101" s="7"/>
      <c r="F101" s="7"/>
      <c r="G101" s="7"/>
      <c r="H101" s="12">
        <f t="shared" si="0"/>
        <v>0</v>
      </c>
      <c r="I101" s="7"/>
      <c r="J101" s="7"/>
    </row>
    <row r="102" spans="1:10" ht="13" x14ac:dyDescent="0.15">
      <c r="A102" s="30" t="s">
        <v>195</v>
      </c>
      <c r="B102" s="16" t="str">
        <f>HYPERLINK("http://codeforces.com/problemset/problem/401/C","CF401-D2-C")</f>
        <v>CF401-D2-C</v>
      </c>
      <c r="C102" s="7"/>
      <c r="D102" s="7"/>
      <c r="E102" s="7"/>
      <c r="F102" s="7"/>
      <c r="G102" s="7"/>
      <c r="H102" s="12">
        <f t="shared" si="0"/>
        <v>0</v>
      </c>
      <c r="I102" s="7"/>
      <c r="J102" s="7"/>
    </row>
    <row r="103" spans="1:10" ht="13" x14ac:dyDescent="0.15">
      <c r="A103" s="7"/>
      <c r="B103" s="7"/>
      <c r="C103" s="7"/>
      <c r="D103" s="7"/>
      <c r="E103" s="7"/>
      <c r="F103" s="7"/>
      <c r="G103" s="7"/>
      <c r="H103" s="12">
        <f t="shared" si="0"/>
        <v>0</v>
      </c>
      <c r="I103" s="7"/>
      <c r="J103" s="7"/>
    </row>
    <row r="104" spans="1:10" ht="13" x14ac:dyDescent="0.15">
      <c r="A104" s="30" t="s">
        <v>446</v>
      </c>
      <c r="B104" s="16" t="str">
        <f>HYPERLINK("http://codeforces.com/problemset/problem/431/C","CF431-D2-C")</f>
        <v>CF431-D2-C</v>
      </c>
      <c r="C104" s="7"/>
      <c r="D104" s="7"/>
      <c r="E104" s="7"/>
      <c r="F104" s="7"/>
      <c r="G104" s="7"/>
      <c r="H104" s="12">
        <f t="shared" si="0"/>
        <v>0</v>
      </c>
      <c r="I104" s="7"/>
      <c r="J104" s="7"/>
    </row>
    <row r="105" spans="1:10" ht="13" x14ac:dyDescent="0.15">
      <c r="A105" s="30" t="s">
        <v>448</v>
      </c>
      <c r="B105" s="16" t="str">
        <f>HYPERLINK("http://codeforces.com/problemset/problem/538/C","CF538-D2-C")</f>
        <v>CF538-D2-C</v>
      </c>
      <c r="C105" s="7"/>
      <c r="D105" s="7"/>
      <c r="E105" s="7"/>
      <c r="F105" s="7"/>
      <c r="G105" s="7"/>
      <c r="H105" s="12">
        <f t="shared" si="0"/>
        <v>0</v>
      </c>
      <c r="I105" s="7"/>
      <c r="J105" s="7"/>
    </row>
    <row r="106" spans="1:10" ht="13" x14ac:dyDescent="0.15">
      <c r="A106" s="30" t="s">
        <v>451</v>
      </c>
      <c r="B106" s="16" t="str">
        <f>HYPERLINK("http://codeforces.com/problemset/problem/510/C","CF510-D2-C")</f>
        <v>CF510-D2-C</v>
      </c>
      <c r="C106" s="7"/>
      <c r="D106" s="7"/>
      <c r="E106" s="7"/>
      <c r="F106" s="7"/>
      <c r="G106" s="7"/>
      <c r="H106" s="12">
        <f t="shared" si="0"/>
        <v>0</v>
      </c>
      <c r="I106" s="7"/>
      <c r="J106" s="7"/>
    </row>
    <row r="107" spans="1:10" ht="13" x14ac:dyDescent="0.15">
      <c r="A107" s="30" t="s">
        <v>453</v>
      </c>
      <c r="B107" s="16" t="str">
        <f>HYPERLINK("http://codeforces.com/problemset/problem/525/C","CF525-D2-C")</f>
        <v>CF525-D2-C</v>
      </c>
      <c r="C107" s="7"/>
      <c r="D107" s="7"/>
      <c r="E107" s="7"/>
      <c r="F107" s="7"/>
      <c r="G107" s="7"/>
      <c r="H107" s="12">
        <f t="shared" si="0"/>
        <v>0</v>
      </c>
      <c r="I107" s="7"/>
      <c r="J107" s="7"/>
    </row>
    <row r="108" spans="1:10" ht="13" x14ac:dyDescent="0.15">
      <c r="A108" s="30" t="s">
        <v>455</v>
      </c>
      <c r="B108" s="16" t="str">
        <f>HYPERLINK("http://codeforces.com/problemset/problem/268/C","CF268-D2-C")</f>
        <v>CF268-D2-C</v>
      </c>
      <c r="C108" s="7"/>
      <c r="D108" s="7"/>
      <c r="E108" s="7"/>
      <c r="F108" s="7"/>
      <c r="G108" s="7"/>
      <c r="H108" s="12">
        <f t="shared" si="0"/>
        <v>0</v>
      </c>
      <c r="I108" s="7"/>
      <c r="J108" s="7"/>
    </row>
    <row r="109" spans="1:10" ht="13" x14ac:dyDescent="0.15">
      <c r="A109" s="30" t="s">
        <v>457</v>
      </c>
      <c r="B109" s="16" t="str">
        <f>HYPERLINK("http://codeforces.com/problemset/problem/567/C","CF567-D2-C")</f>
        <v>CF567-D2-C</v>
      </c>
      <c r="C109" s="7"/>
      <c r="D109" s="7"/>
      <c r="E109" s="7"/>
      <c r="F109" s="7"/>
      <c r="G109" s="7"/>
      <c r="H109" s="12">
        <f t="shared" si="0"/>
        <v>0</v>
      </c>
      <c r="I109" s="7"/>
      <c r="J109" s="7"/>
    </row>
    <row r="110" spans="1:10" ht="13" x14ac:dyDescent="0.15">
      <c r="A110" s="30" t="s">
        <v>458</v>
      </c>
      <c r="B110" s="16" t="str">
        <f>HYPERLINK("http://codeforces.com/problemset/problem/441/C","CF441-D2-C")</f>
        <v>CF441-D2-C</v>
      </c>
      <c r="C110" s="7"/>
      <c r="D110" s="7"/>
      <c r="E110" s="7"/>
      <c r="F110" s="7"/>
      <c r="G110" s="7"/>
      <c r="H110" s="12">
        <f t="shared" si="0"/>
        <v>0</v>
      </c>
      <c r="I110" s="7"/>
      <c r="J110" s="7"/>
    </row>
    <row r="111" spans="1:10" ht="13" x14ac:dyDescent="0.15">
      <c r="A111" s="30" t="s">
        <v>460</v>
      </c>
      <c r="B111" s="16" t="str">
        <f>HYPERLINK("http://codeforces.com/problemset/problem/282/C","CF282-D2-C")</f>
        <v>CF282-D2-C</v>
      </c>
      <c r="C111" s="7"/>
      <c r="D111" s="7"/>
      <c r="E111" s="7"/>
      <c r="F111" s="7"/>
      <c r="G111" s="7"/>
      <c r="H111" s="12">
        <f t="shared" si="0"/>
        <v>0</v>
      </c>
      <c r="I111" s="7"/>
      <c r="J111" s="7"/>
    </row>
    <row r="112" spans="1:10" ht="13" x14ac:dyDescent="0.15">
      <c r="A112" s="30" t="s">
        <v>462</v>
      </c>
      <c r="B112" s="16" t="str">
        <f>HYPERLINK("http://codeforces.com/problemset/problem/486/C","CF486-D2-C")</f>
        <v>CF486-D2-C</v>
      </c>
      <c r="C112" s="7"/>
      <c r="D112" s="7"/>
      <c r="E112" s="7"/>
      <c r="F112" s="7"/>
      <c r="G112" s="7"/>
      <c r="H112" s="12">
        <f t="shared" si="0"/>
        <v>0</v>
      </c>
      <c r="I112" s="7"/>
      <c r="J112" s="7"/>
    </row>
    <row r="113" spans="1:10" ht="13" x14ac:dyDescent="0.15">
      <c r="A113" s="30" t="s">
        <v>465</v>
      </c>
      <c r="B113" s="16" t="str">
        <f>HYPERLINK("http://codeforces.com/problemset/problem/165/C","CF165-D2-C")</f>
        <v>CF165-D2-C</v>
      </c>
      <c r="C113" s="7"/>
      <c r="D113" s="7"/>
      <c r="E113" s="7"/>
      <c r="F113" s="7"/>
      <c r="G113" s="7"/>
      <c r="H113" s="12">
        <f t="shared" si="0"/>
        <v>0</v>
      </c>
      <c r="I113" s="7"/>
      <c r="J113" s="7"/>
    </row>
    <row r="114" spans="1:10" ht="13" x14ac:dyDescent="0.15">
      <c r="A114" s="7"/>
      <c r="B114" s="7"/>
      <c r="C114" s="7"/>
      <c r="D114" s="7"/>
      <c r="E114" s="7"/>
      <c r="F114" s="7"/>
      <c r="G114" s="7"/>
      <c r="H114" s="12">
        <f t="shared" si="0"/>
        <v>0</v>
      </c>
      <c r="I114" s="7"/>
      <c r="J114" s="7"/>
    </row>
    <row r="115" spans="1:10" ht="13" x14ac:dyDescent="0.15">
      <c r="A115" s="30" t="s">
        <v>467</v>
      </c>
      <c r="B115" s="16" t="str">
        <f>HYPERLINK("http://codeforces.com/problemset/problem/272/C","CF272-D2-C")</f>
        <v>CF272-D2-C</v>
      </c>
      <c r="C115" s="7"/>
      <c r="D115" s="7"/>
      <c r="E115" s="7"/>
      <c r="F115" s="7"/>
      <c r="G115" s="7"/>
      <c r="H115" s="12">
        <f t="shared" si="0"/>
        <v>0</v>
      </c>
      <c r="I115" s="7"/>
      <c r="J115" s="7"/>
    </row>
    <row r="116" spans="1:10" ht="13" x14ac:dyDescent="0.15">
      <c r="A116" s="30" t="s">
        <v>469</v>
      </c>
      <c r="B116" s="16" t="str">
        <f>HYPERLINK("http://codeforces.com/problemset/problem/508/C","CF508-D2-C")</f>
        <v>CF508-D2-C</v>
      </c>
      <c r="C116" s="7"/>
      <c r="D116" s="7"/>
      <c r="E116" s="7"/>
      <c r="F116" s="7"/>
      <c r="G116" s="7"/>
      <c r="H116" s="12">
        <f t="shared" si="0"/>
        <v>0</v>
      </c>
      <c r="I116" s="7"/>
      <c r="J116" s="7"/>
    </row>
    <row r="117" spans="1:10" ht="13" x14ac:dyDescent="0.15">
      <c r="A117" s="30" t="s">
        <v>472</v>
      </c>
      <c r="B117" s="16" t="str">
        <f>HYPERLINK("http://codeforces.com/problemset/problem/493/C","CF493-D2-C")</f>
        <v>CF493-D2-C</v>
      </c>
      <c r="C117" s="7"/>
      <c r="D117" s="7"/>
      <c r="E117" s="7"/>
      <c r="F117" s="7"/>
      <c r="G117" s="7"/>
      <c r="H117" s="12">
        <f t="shared" si="0"/>
        <v>0</v>
      </c>
      <c r="I117" s="7"/>
      <c r="J117" s="7"/>
    </row>
    <row r="118" spans="1:10" ht="13" x14ac:dyDescent="0.15">
      <c r="A118" s="30" t="s">
        <v>474</v>
      </c>
      <c r="B118" s="16" t="str">
        <f>HYPERLINK("http://codeforces.com/problemset/problem/6/C","CF6-D2-C")</f>
        <v>CF6-D2-C</v>
      </c>
      <c r="C118" s="7"/>
      <c r="D118" s="7"/>
      <c r="E118" s="7"/>
      <c r="F118" s="7"/>
      <c r="G118" s="7"/>
      <c r="H118" s="12">
        <f t="shared" si="0"/>
        <v>0</v>
      </c>
      <c r="I118" s="7"/>
      <c r="J118" s="7"/>
    </row>
    <row r="119" spans="1:10" ht="13" x14ac:dyDescent="0.15">
      <c r="A119" s="30" t="s">
        <v>476</v>
      </c>
      <c r="B119" s="16" t="str">
        <f>HYPERLINK("http://codeforces.com/problemset/problem/552/C","CF552-D2-C")</f>
        <v>CF552-D2-C</v>
      </c>
      <c r="C119" s="7"/>
      <c r="D119" s="7"/>
      <c r="E119" s="7"/>
      <c r="F119" s="7"/>
      <c r="G119" s="7"/>
      <c r="H119" s="12">
        <f t="shared" si="0"/>
        <v>0</v>
      </c>
      <c r="I119" s="7"/>
      <c r="J119" s="7"/>
    </row>
    <row r="120" spans="1:10" ht="13" x14ac:dyDescent="0.15">
      <c r="A120" s="30" t="s">
        <v>478</v>
      </c>
      <c r="B120" s="16" t="str">
        <f>HYPERLINK("http://codeforces.com/problemset/problem/507/C","CF507-D2-C")</f>
        <v>CF507-D2-C</v>
      </c>
      <c r="C120" s="7"/>
      <c r="D120" s="7"/>
      <c r="E120" s="7"/>
      <c r="F120" s="7"/>
      <c r="G120" s="7"/>
      <c r="H120" s="12">
        <f t="shared" si="0"/>
        <v>0</v>
      </c>
      <c r="I120" s="7"/>
      <c r="J120" s="7"/>
    </row>
    <row r="121" spans="1:10" ht="13" x14ac:dyDescent="0.15">
      <c r="A121" s="30" t="s">
        <v>480</v>
      </c>
      <c r="B121" s="16" t="str">
        <f>HYPERLINK("http://codeforces.com/problemset/problem/9/C","CF9-D2-C")</f>
        <v>CF9-D2-C</v>
      </c>
      <c r="C121" s="7"/>
      <c r="D121" s="7"/>
      <c r="E121" s="7"/>
      <c r="F121" s="7"/>
      <c r="G121" s="7"/>
      <c r="H121" s="12">
        <f t="shared" si="0"/>
        <v>0</v>
      </c>
      <c r="I121" s="7"/>
      <c r="J121" s="7"/>
    </row>
    <row r="122" spans="1:10" ht="13" x14ac:dyDescent="0.15">
      <c r="A122" s="30" t="s">
        <v>482</v>
      </c>
      <c r="B122" s="16" t="str">
        <f>HYPERLINK("http://codeforces.com/problemset/problem/152/C","CF152-D2-C")</f>
        <v>CF152-D2-C</v>
      </c>
      <c r="C122" s="7"/>
      <c r="D122" s="7"/>
      <c r="E122" s="7"/>
      <c r="F122" s="7"/>
      <c r="G122" s="7"/>
      <c r="H122" s="12">
        <f t="shared" si="0"/>
        <v>0</v>
      </c>
      <c r="I122" s="7"/>
      <c r="J122" s="7"/>
    </row>
    <row r="123" spans="1:10" ht="13" x14ac:dyDescent="0.15">
      <c r="A123" s="30" t="s">
        <v>484</v>
      </c>
      <c r="B123" s="16" t="str">
        <f>HYPERLINK("http://codeforces.com/problemset/problem/540/C","CF540-D2-C")</f>
        <v>CF540-D2-C</v>
      </c>
      <c r="C123" s="7"/>
      <c r="D123" s="7"/>
      <c r="E123" s="7"/>
      <c r="F123" s="7"/>
      <c r="G123" s="7"/>
      <c r="H123" s="12">
        <f t="shared" si="0"/>
        <v>0</v>
      </c>
      <c r="I123" s="7"/>
      <c r="J123" s="7"/>
    </row>
    <row r="124" spans="1:10" ht="13" x14ac:dyDescent="0.15">
      <c r="A124" s="30" t="s">
        <v>486</v>
      </c>
      <c r="B124" s="16" t="str">
        <f>HYPERLINK("http://codeforces.com/problemset/problem/369/C","CF369-D2-C")</f>
        <v>CF369-D2-C</v>
      </c>
      <c r="C124" s="7"/>
      <c r="D124" s="7"/>
      <c r="E124" s="7"/>
      <c r="F124" s="7"/>
      <c r="G124" s="7"/>
      <c r="H124" s="12">
        <f t="shared" si="0"/>
        <v>0</v>
      </c>
      <c r="I124" s="7"/>
      <c r="J124" s="7"/>
    </row>
    <row r="125" spans="1:10" ht="13" x14ac:dyDescent="0.15">
      <c r="A125" s="7"/>
      <c r="B125" s="7"/>
      <c r="C125" s="7"/>
      <c r="D125" s="7"/>
      <c r="E125" s="7"/>
      <c r="F125" s="7"/>
      <c r="G125" s="7"/>
      <c r="H125" s="12">
        <f t="shared" si="0"/>
        <v>0</v>
      </c>
      <c r="I125" s="7"/>
      <c r="J125" s="7"/>
    </row>
    <row r="126" spans="1:10" ht="13" x14ac:dyDescent="0.15">
      <c r="A126" s="30" t="s">
        <v>488</v>
      </c>
      <c r="B126" s="16" t="str">
        <f>HYPERLINK("http://codeforces.com/problemset/problem/339/C","CF339-D2-C")</f>
        <v>CF339-D2-C</v>
      </c>
      <c r="C126" s="7"/>
      <c r="D126" s="7"/>
      <c r="E126" s="7"/>
      <c r="F126" s="7"/>
      <c r="G126" s="7"/>
      <c r="H126" s="12">
        <f t="shared" si="0"/>
        <v>0</v>
      </c>
      <c r="I126" s="7"/>
      <c r="J126" s="7"/>
    </row>
    <row r="127" spans="1:10" ht="13" x14ac:dyDescent="0.15">
      <c r="A127" s="30" t="s">
        <v>490</v>
      </c>
      <c r="B127" s="16" t="str">
        <f>HYPERLINK("http://codeforces.com/problemset/problem/459/C","CF459-D2-C")</f>
        <v>CF459-D2-C</v>
      </c>
      <c r="C127" s="7"/>
      <c r="D127" s="7"/>
      <c r="E127" s="7"/>
      <c r="F127" s="7"/>
      <c r="G127" s="7"/>
      <c r="H127" s="12">
        <f t="shared" si="0"/>
        <v>0</v>
      </c>
      <c r="I127" s="7"/>
      <c r="J127" s="7"/>
    </row>
    <row r="128" spans="1:10" ht="13" x14ac:dyDescent="0.15">
      <c r="A128" s="30" t="s">
        <v>492</v>
      </c>
      <c r="B128" s="16" t="str">
        <f>HYPERLINK("http://codeforces.com/problemset/problem/382/C","CF382-D2-C")</f>
        <v>CF382-D2-C</v>
      </c>
      <c r="C128" s="7"/>
      <c r="D128" s="7"/>
      <c r="E128" s="7"/>
      <c r="F128" s="7"/>
      <c r="G128" s="7"/>
      <c r="H128" s="12">
        <f t="shared" si="0"/>
        <v>0</v>
      </c>
      <c r="I128" s="7"/>
      <c r="J128" s="7"/>
    </row>
    <row r="129" spans="1:10" ht="13" x14ac:dyDescent="0.15">
      <c r="A129" s="30" t="s">
        <v>494</v>
      </c>
      <c r="B129" s="16" t="str">
        <f>HYPERLINK("http://codeforces.com/problemset/problem/535/C","CF535-D2-C")</f>
        <v>CF535-D2-C</v>
      </c>
      <c r="C129" s="7"/>
      <c r="D129" s="7"/>
      <c r="E129" s="7"/>
      <c r="F129" s="7"/>
      <c r="G129" s="7"/>
      <c r="H129" s="12">
        <f t="shared" si="0"/>
        <v>0</v>
      </c>
      <c r="I129" s="7"/>
      <c r="J129" s="7"/>
    </row>
    <row r="130" spans="1:10" ht="13" x14ac:dyDescent="0.15">
      <c r="A130" s="30" t="s">
        <v>496</v>
      </c>
      <c r="B130" s="16" t="str">
        <f>HYPERLINK("http://codeforces.com/problemset/problem/451/C","CF451-D2-C")</f>
        <v>CF451-D2-C</v>
      </c>
      <c r="C130" s="7"/>
      <c r="D130" s="7"/>
      <c r="E130" s="7"/>
      <c r="F130" s="7"/>
      <c r="G130" s="7"/>
      <c r="H130" s="12">
        <f t="shared" si="0"/>
        <v>0</v>
      </c>
      <c r="I130" s="7"/>
      <c r="J130" s="7"/>
    </row>
    <row r="131" spans="1:10" ht="13" x14ac:dyDescent="0.15">
      <c r="A131" s="30" t="s">
        <v>497</v>
      </c>
      <c r="B131" s="16" t="str">
        <f>HYPERLINK("http://codeforces.com/problemset/problem/353/C","CF353-D2-C")</f>
        <v>CF353-D2-C</v>
      </c>
      <c r="C131" s="7"/>
      <c r="D131" s="7"/>
      <c r="E131" s="7"/>
      <c r="F131" s="7"/>
      <c r="G131" s="7"/>
      <c r="H131" s="12">
        <f t="shared" si="0"/>
        <v>0</v>
      </c>
      <c r="I131" s="7"/>
      <c r="J131" s="7"/>
    </row>
    <row r="132" spans="1:10" ht="13" x14ac:dyDescent="0.15">
      <c r="A132" s="30" t="s">
        <v>498</v>
      </c>
      <c r="B132" s="16" t="str">
        <f>HYPERLINK("http://codeforces.com/problemset/problem/234/C","CF234-D2-C")</f>
        <v>CF234-D2-C</v>
      </c>
      <c r="C132" s="7"/>
      <c r="D132" s="7"/>
      <c r="E132" s="7"/>
      <c r="F132" s="7"/>
      <c r="G132" s="7"/>
      <c r="H132" s="12">
        <f t="shared" si="0"/>
        <v>0</v>
      </c>
      <c r="I132" s="7"/>
      <c r="J132" s="7"/>
    </row>
    <row r="133" spans="1:10" ht="13" x14ac:dyDescent="0.15">
      <c r="A133" s="30" t="s">
        <v>500</v>
      </c>
      <c r="B133" s="16" t="str">
        <f>HYPERLINK("http://codeforces.com/problemset/problem/166/C","CF166-D2-C")</f>
        <v>CF166-D2-C</v>
      </c>
      <c r="C133" s="7"/>
      <c r="D133" s="7"/>
      <c r="E133" s="7"/>
      <c r="F133" s="7"/>
      <c r="G133" s="7"/>
      <c r="H133" s="12">
        <f t="shared" si="0"/>
        <v>0</v>
      </c>
      <c r="I133" s="7"/>
      <c r="J133" s="7"/>
    </row>
    <row r="134" spans="1:10" ht="13" x14ac:dyDescent="0.15">
      <c r="A134" s="30" t="s">
        <v>502</v>
      </c>
      <c r="B134" s="16" t="str">
        <f>HYPERLINK("http://codeforces.com/problemset/problem/371/C","CF371-D2-C")</f>
        <v>CF371-D2-C</v>
      </c>
      <c r="C134" s="7"/>
      <c r="D134" s="7"/>
      <c r="E134" s="7"/>
      <c r="F134" s="7"/>
      <c r="G134" s="7"/>
      <c r="H134" s="12">
        <f t="shared" si="0"/>
        <v>0</v>
      </c>
      <c r="I134" s="7"/>
      <c r="J134" s="7"/>
    </row>
    <row r="135" spans="1:10" ht="13" x14ac:dyDescent="0.15">
      <c r="A135" s="7"/>
      <c r="B135" s="7"/>
      <c r="C135" s="7"/>
      <c r="D135" s="7"/>
      <c r="E135" s="7"/>
      <c r="F135" s="7"/>
      <c r="G135" s="7"/>
      <c r="H135" s="12">
        <f t="shared" si="0"/>
        <v>0</v>
      </c>
      <c r="I135" s="7"/>
      <c r="J135" s="7"/>
    </row>
    <row r="136" spans="1:10" ht="13" x14ac:dyDescent="0.15">
      <c r="A136" s="30" t="s">
        <v>504</v>
      </c>
      <c r="B136" s="16" t="str">
        <f>HYPERLINK("http://codeforces.com/problemset/problem/427/C","CF427-D2-C")</f>
        <v>CF427-D2-C</v>
      </c>
      <c r="C136" s="7"/>
      <c r="D136" s="7"/>
      <c r="E136" s="7"/>
      <c r="F136" s="7"/>
      <c r="G136" s="7"/>
      <c r="H136" s="12">
        <f t="shared" si="0"/>
        <v>0</v>
      </c>
      <c r="I136" s="7"/>
      <c r="J136" s="7"/>
    </row>
    <row r="137" spans="1:10" ht="13" x14ac:dyDescent="0.15">
      <c r="A137" s="30" t="s">
        <v>506</v>
      </c>
      <c r="B137" s="16" t="str">
        <f>HYPERLINK("http://codeforces.com/problemset/problem/18/C","CF18-D2-C")</f>
        <v>CF18-D2-C</v>
      </c>
      <c r="C137" s="7"/>
      <c r="D137" s="7"/>
      <c r="E137" s="7"/>
      <c r="F137" s="7"/>
      <c r="G137" s="7"/>
      <c r="H137" s="12">
        <f t="shared" si="0"/>
        <v>0</v>
      </c>
      <c r="I137" s="7"/>
      <c r="J137" s="7"/>
    </row>
    <row r="138" spans="1:10" ht="13" x14ac:dyDescent="0.15">
      <c r="A138" s="30" t="s">
        <v>507</v>
      </c>
      <c r="B138" s="16" t="str">
        <f>HYPERLINK("http://codeforces.com/problemset/problem/279/C","CF279-D2-C")</f>
        <v>CF279-D2-C</v>
      </c>
      <c r="C138" s="7"/>
      <c r="D138" s="7"/>
      <c r="E138" s="7"/>
      <c r="F138" s="7"/>
      <c r="G138" s="7"/>
      <c r="H138" s="12">
        <f t="shared" si="0"/>
        <v>0</v>
      </c>
      <c r="I138" s="7"/>
      <c r="J138" s="7"/>
    </row>
    <row r="139" spans="1:10" ht="13" x14ac:dyDescent="0.15">
      <c r="A139" s="30" t="s">
        <v>509</v>
      </c>
      <c r="B139" s="16" t="str">
        <f>HYPERLINK("http://codeforces.com/problemset/problem/144/C","CF144-D2-C")</f>
        <v>CF144-D2-C</v>
      </c>
      <c r="C139" s="7"/>
      <c r="D139" s="7"/>
      <c r="E139" s="7"/>
      <c r="F139" s="7"/>
      <c r="G139" s="7"/>
      <c r="H139" s="12">
        <f t="shared" si="0"/>
        <v>0</v>
      </c>
      <c r="I139" s="7"/>
      <c r="J139" s="7"/>
    </row>
    <row r="140" spans="1:10" ht="13" x14ac:dyDescent="0.15">
      <c r="A140" s="30" t="s">
        <v>511</v>
      </c>
      <c r="B140" s="16" t="str">
        <f>HYPERLINK("http://codeforces.com/problemset/problem/120/C","CF120-D2-C")</f>
        <v>CF120-D2-C</v>
      </c>
      <c r="C140" s="7"/>
      <c r="D140" s="7"/>
      <c r="E140" s="7"/>
      <c r="F140" s="7"/>
      <c r="G140" s="7"/>
      <c r="H140" s="12">
        <f t="shared" si="0"/>
        <v>0</v>
      </c>
      <c r="I140" s="7"/>
      <c r="J140" s="7"/>
    </row>
    <row r="141" spans="1:10" ht="13" x14ac:dyDescent="0.15">
      <c r="A141" s="30" t="s">
        <v>513</v>
      </c>
      <c r="B141" s="16" t="str">
        <f>HYPERLINK("http://codeforces.com/problemset/problem/271/C","CF271-D2-C")</f>
        <v>CF271-D2-C</v>
      </c>
      <c r="C141" s="7"/>
      <c r="D141" s="7"/>
      <c r="E141" s="7"/>
      <c r="F141" s="7"/>
      <c r="G141" s="7"/>
      <c r="H141" s="12">
        <f t="shared" si="0"/>
        <v>0</v>
      </c>
      <c r="I141" s="7"/>
      <c r="J141" s="7"/>
    </row>
    <row r="142" spans="1:10" ht="26" x14ac:dyDescent="0.15">
      <c r="A142" s="30" t="s">
        <v>514</v>
      </c>
      <c r="B142" s="16" t="str">
        <f>HYPERLINK("http://codeforces.com/problemset/problem/5/C","CF5-D2-C")</f>
        <v>CF5-D2-C</v>
      </c>
      <c r="C142" s="7"/>
      <c r="D142" s="7"/>
      <c r="E142" s="7"/>
      <c r="F142" s="7"/>
      <c r="G142" s="7"/>
      <c r="H142" s="12">
        <f t="shared" si="0"/>
        <v>0</v>
      </c>
      <c r="I142" s="7"/>
      <c r="J142" s="7"/>
    </row>
    <row r="143" spans="1:10" ht="13" x14ac:dyDescent="0.15">
      <c r="A143" s="30" t="s">
        <v>516</v>
      </c>
      <c r="B143" s="16" t="str">
        <f>HYPERLINK("http://codeforces.com/problemset/problem/412/C","CF412-D2-C")</f>
        <v>CF412-D2-C</v>
      </c>
      <c r="C143" s="7"/>
      <c r="D143" s="7"/>
      <c r="E143" s="7"/>
      <c r="F143" s="7"/>
      <c r="G143" s="7"/>
      <c r="H143" s="12">
        <f t="shared" si="0"/>
        <v>0</v>
      </c>
      <c r="I143" s="7"/>
      <c r="J143" s="7"/>
    </row>
    <row r="144" spans="1:10" ht="13" x14ac:dyDescent="0.15">
      <c r="A144" s="30" t="s">
        <v>518</v>
      </c>
      <c r="B144" s="16" t="str">
        <f>HYPERLINK("http://codeforces.com/problemset/problem/231/C","CF231-D2-C")</f>
        <v>CF231-D2-C</v>
      </c>
      <c r="C144" s="7"/>
      <c r="D144" s="7"/>
      <c r="E144" s="7"/>
      <c r="F144" s="7"/>
      <c r="G144" s="7"/>
      <c r="H144" s="12">
        <f t="shared" si="0"/>
        <v>0</v>
      </c>
      <c r="I144" s="7"/>
      <c r="J144" s="7"/>
    </row>
    <row r="145" spans="1:10" ht="13" x14ac:dyDescent="0.15">
      <c r="A145" s="7"/>
      <c r="B145" s="7"/>
      <c r="C145" s="7"/>
      <c r="D145" s="7"/>
      <c r="E145" s="7"/>
      <c r="F145" s="7"/>
      <c r="G145" s="7"/>
      <c r="H145" s="12">
        <f t="shared" si="0"/>
        <v>0</v>
      </c>
      <c r="I145" s="7"/>
      <c r="J145" s="7"/>
    </row>
    <row r="146" spans="1:10" ht="13" x14ac:dyDescent="0.15">
      <c r="A146" s="30" t="s">
        <v>520</v>
      </c>
      <c r="B146" s="16" t="str">
        <f>HYPERLINK("http://codeforces.com/problemset/problem/246/C","CF246-D2-C")</f>
        <v>CF246-D2-C</v>
      </c>
      <c r="C146" s="7"/>
      <c r="D146" s="7"/>
      <c r="E146" s="7"/>
      <c r="F146" s="7"/>
      <c r="G146" s="7"/>
      <c r="H146" s="12">
        <f t="shared" si="0"/>
        <v>0</v>
      </c>
      <c r="I146" s="7"/>
      <c r="J146" s="7"/>
    </row>
    <row r="147" spans="1:10" ht="13" x14ac:dyDescent="0.15">
      <c r="A147" s="30" t="s">
        <v>522</v>
      </c>
      <c r="B147" s="16" t="str">
        <f>HYPERLINK("http://codeforces.com/problemset/problem/327/C","CF327-D2-C")</f>
        <v>CF327-D2-C</v>
      </c>
      <c r="C147" s="7"/>
      <c r="D147" s="7"/>
      <c r="E147" s="7"/>
      <c r="F147" s="7"/>
      <c r="G147" s="7"/>
      <c r="H147" s="12">
        <f t="shared" si="0"/>
        <v>0</v>
      </c>
      <c r="I147" s="7"/>
      <c r="J147" s="7"/>
    </row>
    <row r="148" spans="1:10" ht="13" x14ac:dyDescent="0.15">
      <c r="A148" s="30" t="s">
        <v>523</v>
      </c>
      <c r="B148" s="16" t="str">
        <f>HYPERLINK("http://codeforces.com/problemset/problem/514/C","CF514-D2-C")</f>
        <v>CF514-D2-C</v>
      </c>
      <c r="C148" s="7"/>
      <c r="D148" s="7"/>
      <c r="E148" s="7"/>
      <c r="F148" s="7"/>
      <c r="G148" s="7"/>
      <c r="H148" s="12">
        <f t="shared" si="0"/>
        <v>0</v>
      </c>
      <c r="I148" s="7"/>
      <c r="J148" s="7"/>
    </row>
    <row r="149" spans="1:10" ht="13" x14ac:dyDescent="0.15">
      <c r="A149" s="30" t="s">
        <v>525</v>
      </c>
      <c r="B149" s="16" t="str">
        <f>HYPERLINK("http://codeforces.com/problemset/problem/424/C","CF424-D2-C")</f>
        <v>CF424-D2-C</v>
      </c>
      <c r="C149" s="7"/>
      <c r="D149" s="7"/>
      <c r="E149" s="7"/>
      <c r="F149" s="7"/>
      <c r="G149" s="7"/>
      <c r="H149" s="12">
        <f t="shared" si="0"/>
        <v>0</v>
      </c>
      <c r="I149" s="7"/>
      <c r="J149" s="7"/>
    </row>
    <row r="150" spans="1:10" ht="13" x14ac:dyDescent="0.15">
      <c r="A150" s="30" t="s">
        <v>527</v>
      </c>
      <c r="B150" s="16" t="str">
        <f>HYPERLINK("http://codeforces.com/problemset/problem/291/C","CF291-D2-C")</f>
        <v>CF291-D2-C</v>
      </c>
      <c r="C150" s="7"/>
      <c r="D150" s="7"/>
      <c r="E150" s="7"/>
      <c r="F150" s="7"/>
      <c r="G150" s="7"/>
      <c r="H150" s="12">
        <f t="shared" si="0"/>
        <v>0</v>
      </c>
      <c r="I150" s="7"/>
      <c r="J150" s="7"/>
    </row>
    <row r="151" spans="1:10" ht="13" x14ac:dyDescent="0.15">
      <c r="A151" s="30" t="s">
        <v>529</v>
      </c>
      <c r="B151" s="16" t="str">
        <f>HYPERLINK("http://codeforces.com/problemset/problem/300/C","CF300-D2-C")</f>
        <v>CF300-D2-C</v>
      </c>
      <c r="C151" s="7"/>
      <c r="D151" s="7"/>
      <c r="E151" s="7"/>
      <c r="F151" s="7"/>
      <c r="G151" s="7"/>
      <c r="H151" s="12">
        <f t="shared" si="0"/>
        <v>0</v>
      </c>
      <c r="I151" s="7"/>
      <c r="J151" s="7"/>
    </row>
    <row r="152" spans="1:10" ht="13" x14ac:dyDescent="0.15">
      <c r="A152" s="30" t="s">
        <v>531</v>
      </c>
      <c r="B152" s="16" t="str">
        <f>HYPERLINK("http://codeforces.com/problemset/problem/160/C","CF160-D2-C")</f>
        <v>CF160-D2-C</v>
      </c>
      <c r="C152" s="7"/>
      <c r="D152" s="7"/>
      <c r="E152" s="7"/>
      <c r="F152" s="7"/>
      <c r="G152" s="7"/>
      <c r="H152" s="12">
        <f t="shared" si="0"/>
        <v>0</v>
      </c>
      <c r="I152" s="7"/>
      <c r="J152" s="7"/>
    </row>
    <row r="153" spans="1:10" ht="13" x14ac:dyDescent="0.15">
      <c r="A153" s="30" t="s">
        <v>532</v>
      </c>
      <c r="B153" s="16" t="str">
        <f>HYPERLINK("http://codeforces.com/problemset/problem/148/C","CF148-D2-C")</f>
        <v>CF148-D2-C</v>
      </c>
      <c r="C153" s="7"/>
      <c r="D153" s="7"/>
      <c r="E153" s="7"/>
      <c r="F153" s="7"/>
      <c r="G153" s="7"/>
      <c r="H153" s="12">
        <f t="shared" si="0"/>
        <v>0</v>
      </c>
      <c r="I153" s="7"/>
      <c r="J153" s="7"/>
    </row>
    <row r="154" spans="1:10" ht="13" x14ac:dyDescent="0.15">
      <c r="A154" s="7"/>
      <c r="B154" s="7"/>
      <c r="C154" s="7"/>
      <c r="D154" s="7"/>
      <c r="E154" s="7"/>
      <c r="F154" s="7"/>
      <c r="G154" s="7"/>
      <c r="H154" s="12">
        <f t="shared" si="0"/>
        <v>0</v>
      </c>
      <c r="I154" s="7"/>
      <c r="J154" s="7"/>
    </row>
    <row r="155" spans="1:10" ht="13" x14ac:dyDescent="0.15">
      <c r="A155" s="30" t="s">
        <v>534</v>
      </c>
      <c r="B155" s="16" t="str">
        <f>HYPERLINK("http://codeforces.com/problemset/problem/106/C","CF106-D2-C")</f>
        <v>CF106-D2-C</v>
      </c>
      <c r="C155" s="7"/>
      <c r="D155" s="7"/>
      <c r="E155" s="7"/>
      <c r="F155" s="7"/>
      <c r="G155" s="7"/>
      <c r="H155" s="12">
        <f t="shared" si="0"/>
        <v>0</v>
      </c>
      <c r="I155" s="7"/>
      <c r="J155" s="7"/>
    </row>
    <row r="156" spans="1:10" ht="13" x14ac:dyDescent="0.15">
      <c r="A156" s="30" t="s">
        <v>536</v>
      </c>
      <c r="B156" s="16" t="str">
        <f>HYPERLINK("http://codeforces.com/problemset/problem/433/C","CF433-D2-C")</f>
        <v>CF433-D2-C</v>
      </c>
      <c r="C156" s="7"/>
      <c r="D156" s="7"/>
      <c r="E156" s="7"/>
      <c r="F156" s="7"/>
      <c r="G156" s="7"/>
      <c r="H156" s="12">
        <f t="shared" si="0"/>
        <v>0</v>
      </c>
      <c r="I156" s="7"/>
      <c r="J156" s="7"/>
    </row>
    <row r="157" spans="1:10" ht="13" x14ac:dyDescent="0.15">
      <c r="A157" s="30" t="s">
        <v>538</v>
      </c>
      <c r="B157" s="16" t="str">
        <f>HYPERLINK("http://codeforces.com/problemset/problem/305/C","CF305-D2-C")</f>
        <v>CF305-D2-C</v>
      </c>
      <c r="C157" s="7"/>
      <c r="D157" s="7"/>
      <c r="E157" s="7"/>
      <c r="F157" s="7"/>
      <c r="G157" s="7"/>
      <c r="H157" s="12">
        <f t="shared" si="0"/>
        <v>0</v>
      </c>
      <c r="I157" s="7"/>
      <c r="J157" s="7"/>
    </row>
    <row r="158" spans="1:10" ht="26" x14ac:dyDescent="0.15">
      <c r="A158" s="30" t="s">
        <v>540</v>
      </c>
      <c r="B158" s="16" t="str">
        <f>HYPERLINK("http://codeforces.com/problemset/problem/336/C","CF336-D2-C")</f>
        <v>CF336-D2-C</v>
      </c>
      <c r="C158" s="7"/>
      <c r="D158" s="7"/>
      <c r="E158" s="7"/>
      <c r="F158" s="7"/>
      <c r="G158" s="7"/>
      <c r="H158" s="12">
        <f t="shared" si="0"/>
        <v>0</v>
      </c>
      <c r="I158" s="7"/>
      <c r="J158" s="7"/>
    </row>
    <row r="159" spans="1:10" ht="13" x14ac:dyDescent="0.15">
      <c r="A159" s="30" t="s">
        <v>542</v>
      </c>
      <c r="B159" s="16" t="str">
        <f>HYPERLINK("http://codeforces.com/problemset/problem/180/C","CF180-D2-C")</f>
        <v>CF180-D2-C</v>
      </c>
      <c r="C159" s="7"/>
      <c r="D159" s="7"/>
      <c r="E159" s="7"/>
      <c r="F159" s="7"/>
      <c r="G159" s="7"/>
      <c r="H159" s="12">
        <f t="shared" si="0"/>
        <v>0</v>
      </c>
      <c r="I159" s="7"/>
      <c r="J159" s="7"/>
    </row>
    <row r="160" spans="1:10" ht="13" x14ac:dyDescent="0.15">
      <c r="A160" s="30" t="s">
        <v>544</v>
      </c>
      <c r="B160" s="16" t="str">
        <f>HYPERLINK("http://codeforces.com/problemset/problem/257/C","CF257-D2-C")</f>
        <v>CF257-D2-C</v>
      </c>
      <c r="C160" s="7"/>
      <c r="D160" s="7"/>
      <c r="E160" s="7"/>
      <c r="F160" s="7"/>
      <c r="G160" s="7"/>
      <c r="H160" s="12">
        <f t="shared" si="0"/>
        <v>0</v>
      </c>
      <c r="I160" s="7"/>
      <c r="J160" s="7"/>
    </row>
  </sheetData>
  <mergeCells count="2">
    <mergeCell ref="D91:G91"/>
    <mergeCell ref="I91:J91"/>
  </mergeCells>
  <conditionalFormatting sqref="C3:C5 C10:C160">
    <cfRule type="cellIs" dxfId="53" priority="1" operator="equal">
      <formula>"AC"</formula>
    </cfRule>
  </conditionalFormatting>
  <conditionalFormatting sqref="C3:C5 C10:C11">
    <cfRule type="containsText" dxfId="52" priority="2" operator="containsText" text="WA">
      <formula>NOT(ISERROR(SEARCH(("WA"),(C3))))</formula>
    </cfRule>
  </conditionalFormatting>
  <conditionalFormatting sqref="C13:C160">
    <cfRule type="containsText" dxfId="51" priority="3" operator="containsText" text="WA">
      <formula>NOT(ISERROR(SEARCH(("WA"),(C13))))</formula>
    </cfRule>
  </conditionalFormatting>
  <conditionalFormatting sqref="C3:C5 C10:C11">
    <cfRule type="containsText" dxfId="50" priority="4" operator="containsText" text="TLE">
      <formula>NOT(ISERROR(SEARCH(("TLE"),(C3))))</formula>
    </cfRule>
  </conditionalFormatting>
  <conditionalFormatting sqref="C13:C160">
    <cfRule type="containsText" dxfId="49" priority="5" operator="containsText" text="TLE">
      <formula>NOT(ISERROR(SEARCH(("TLE"),(C13))))</formula>
    </cfRule>
  </conditionalFormatting>
  <conditionalFormatting sqref="C3:C5 C10:C11">
    <cfRule type="containsText" dxfId="48" priority="6" operator="containsText" text="RTE">
      <formula>NOT(ISERROR(SEARCH(("RTE"),(C3))))</formula>
    </cfRule>
  </conditionalFormatting>
  <conditionalFormatting sqref="C13:C160">
    <cfRule type="containsText" dxfId="47" priority="7" operator="containsText" text="RTE">
      <formula>NOT(ISERROR(SEARCH(("RTE"),(C13))))</formula>
    </cfRule>
  </conditionalFormatting>
  <conditionalFormatting sqref="C3:C5 C10:C11">
    <cfRule type="containsText" dxfId="46" priority="8" operator="containsText" text="CS">
      <formula>NOT(ISERROR(SEARCH(("CS"),(C3))))</formula>
    </cfRule>
  </conditionalFormatting>
  <conditionalFormatting sqref="C13:C160">
    <cfRule type="containsText" dxfId="45" priority="9" operator="containsText" text="CS">
      <formula>NOT(ISERROR(SEARCH(("CS"),(C13))))</formula>
    </cfRule>
  </conditionalFormatting>
  <hyperlinks>
    <hyperlink ref="J3" r:id="rId1" display="https://www.youtube.com/watch?v=ZNYQrKpR42g"/>
    <hyperlink ref="J4" r:id="rId2" display="https://www.youtube.com/watch?v=2G7RzlxTNPo"/>
    <hyperlink ref="B5" r:id="rId3" display="http://codeforces.com/problemset/problem/285/C"/>
    <hyperlink ref="B6" r:id="rId4" display="http://codeforces.com/problemset/problem/479/C"/>
    <hyperlink ref="B7" r:id="rId5" display="http://codeforces.com/problemset/problem/492/C"/>
    <hyperlink ref="B8" r:id="rId6" display="http://codeforces.com/problemset/problem/203/C"/>
    <hyperlink ref="B9" r:id="rId7" display="http://codeforces.com/problemset/problem/43/C"/>
    <hyperlink ref="B10" r:id="rId8" display="http://codeforces.com/problemset/problem/53/C"/>
    <hyperlink ref="B11" r:id="rId9" display="http://codeforces.com/problemset/problem/34/C"/>
    <hyperlink ref="B12" r:id="rId10" display="http://codeforces.com/problemset/problem/12/C"/>
    <hyperlink ref="B13" r:id="rId11" display="http://codeforces.com/problemset/problem/518/C"/>
    <hyperlink ref="B14" r:id="rId12" display="http://codeforces.com/problemset/problem/416/C"/>
    <hyperlink ref="J15" r:id="rId13" display="https://www.youtube.com/watch?v=hLXVhRzqq18"/>
    <hyperlink ref="J16" r:id="rId14" display="https://www.youtube.com/watch?v=vAqaki1BhS0"/>
    <hyperlink ref="J17" r:id="rId15" display="https://www.youtube.com/watch?v=PrXbn8-zw14"/>
    <hyperlink ref="B18" r:id="rId16" display="http://codeforces.com/problemset/problem/523/C"/>
    <hyperlink ref="B19" r:id="rId17" display="http://codeforces.com/problemset/problem/472/C"/>
    <hyperlink ref="B20" r:id="rId18" display="http://codeforces.com/problemset/problem/550/C"/>
    <hyperlink ref="B21" r:id="rId19" display="http://codeforces.com/problemset/problem/149/C"/>
    <hyperlink ref="B22" r:id="rId20" display="http://codeforces.com/problemset/problem/570/C"/>
    <hyperlink ref="B23" r:id="rId21" display="http://codeforces.com/problemset/problem/276/C"/>
    <hyperlink ref="B24" r:id="rId22" display="http://codeforces.com/problemset/problem/3/C"/>
    <hyperlink ref="B25" r:id="rId23" display="http://codeforces.com/problemset/problem/41/C"/>
    <hyperlink ref="B26" r:id="rId24" display="http://codeforces.com/problemset/problem/405/C"/>
    <hyperlink ref="B27" r:id="rId25" display="http://codeforces.com/problemset/problem/313/C"/>
    <hyperlink ref="J28" r:id="rId26" display="https://www.youtube.com/watch?v=6GzxGabB5MI"/>
    <hyperlink ref="J29" r:id="rId27" display="https://www.youtube.com/watch?v=g4CWwTOGxdM"/>
    <hyperlink ref="J30" r:id="rId28" display="https://www.youtube.com/watch?v=tcQky6O1em8"/>
    <hyperlink ref="B31" r:id="rId29" display="http://codeforces.com/problemset/problem/137/C"/>
    <hyperlink ref="B32" r:id="rId30" display="http://codeforces.com/problemset/problem/439/C"/>
    <hyperlink ref="B33" r:id="rId31" display="http://codeforces.com/problemset/problem/4/C"/>
    <hyperlink ref="B34" r:id="rId32" display="http://codeforces.com/problemset/problem/437/C"/>
    <hyperlink ref="B35" r:id="rId33" display="http://codeforces.com/problemset/problem/467/C"/>
    <hyperlink ref="B36" r:id="rId34" display="http://codeforces.com/problemset/problem/476/C"/>
    <hyperlink ref="B37" r:id="rId35" display="http://codeforces.com/problemset/problem/501/C"/>
    <hyperlink ref="B38" r:id="rId36" display="http://codeforces.com/problemset/problem/402/C"/>
    <hyperlink ref="B39" r:id="rId37" display="http://codeforces.com/problemset/problem/558/C"/>
    <hyperlink ref="B40" r:id="rId38" display="http://codeforces.com/problemset/problem/435/C"/>
    <hyperlink ref="J41" r:id="rId39" display="https://www.youtube.com/watch?v=bDlAqeWsKsg"/>
    <hyperlink ref="J42" r:id="rId40" display="https://www.youtube.com/watch?v=b4AC2jGNGEM"/>
    <hyperlink ref="J43" r:id="rId41" display="https://www.youtube.com/watch?v=pJbeTrSKl3Y"/>
    <hyperlink ref="B44" r:id="rId42" display="http://codeforces.com/problemset/problem/515/C"/>
    <hyperlink ref="B45" r:id="rId43" display="http://codeforces.com/problemset/problem/527/C"/>
    <hyperlink ref="B46" r:id="rId44" display="http://codeforces.com/problemset/problem/417/C"/>
    <hyperlink ref="B47" r:id="rId45" display="http://codeforces.com/problemset/problem/71/C"/>
    <hyperlink ref="B48" r:id="rId46" display="http://codeforces.com/problemset/problem/379/C"/>
    <hyperlink ref="B49" r:id="rId47" display="http://codeforces.com/problemset/problem/131/C"/>
    <hyperlink ref="B50" r:id="rId48" display="http://codeforces.com/problemset/problem/471/C"/>
    <hyperlink ref="B51" r:id="rId49" display="http://codeforces.com/problemset/problem/255/C"/>
    <hyperlink ref="B52" r:id="rId50" display="http://codeforces.com/problemset/problem/478/C"/>
    <hyperlink ref="B53" r:id="rId51" display="http://codeforces.com/problemset/problem/584/C"/>
    <hyperlink ref="J54" r:id="rId52" display="https://www.youtube.com/watch?v=HQ5ANfzSDn0"/>
    <hyperlink ref="B55" r:id="rId53" display="http://codeforces.com/problemset/problem/463/C"/>
    <hyperlink ref="B56" r:id="rId54" display="http://codeforces.com/problemset/problem/490/C"/>
    <hyperlink ref="B57" r:id="rId55" display="http://codeforces.com/problemset/problem/496/C"/>
    <hyperlink ref="B58" r:id="rId56" display="http://codeforces.com/problemset/problem/219/C"/>
    <hyperlink ref="B59" r:id="rId57" display="http://codeforces.com/problemset/problem/366/C"/>
    <hyperlink ref="B60" r:id="rId58" display="http://codeforces.com/problemset/problem/363/C"/>
    <hyperlink ref="B61" r:id="rId59" display="http://codeforces.com/problemset/problem/385/C"/>
    <hyperlink ref="B62" r:id="rId60" display="http://codeforces.com/problemset/problem/387/C"/>
    <hyperlink ref="B63" r:id="rId61" display="http://codeforces.com/problemset/problem/404/C"/>
    <hyperlink ref="B64" r:id="rId62" display="http://codeforces.com/problemset/problem/505/C"/>
    <hyperlink ref="J65" r:id="rId63" display="https://www.youtube.com/watch?v=ZIJLCVn4KzQ"/>
    <hyperlink ref="J66" r:id="rId64" display="https://www.youtube.com/watch?v=RASvnfG2SSE"/>
    <hyperlink ref="B67" r:id="rId65" display="http://codeforces.com/problemset/problem/534/C"/>
    <hyperlink ref="B68" r:id="rId66" display="http://codeforces.com/problemset/problem/350/C"/>
    <hyperlink ref="B69" r:id="rId67" display="http://codeforces.com/problemset/problem/432/C"/>
    <hyperlink ref="B70" r:id="rId68" display="http://codeforces.com/problemset/problem/400/C"/>
    <hyperlink ref="B71" r:id="rId69" display="http://codeforces.com/problemset/problem/526/C"/>
    <hyperlink ref="B72" r:id="rId70" display="http://codeforces.com/problemset/problem/20/C"/>
    <hyperlink ref="B73" r:id="rId71" display="http://codeforces.com/problemset/problem/242/C"/>
    <hyperlink ref="B74" r:id="rId72" display="http://codeforces.com/problemset/problem/551/C"/>
    <hyperlink ref="B75" r:id="rId73" display="http://codeforces.com/problemset/problem/460/C"/>
    <hyperlink ref="B76" r:id="rId74" display="http://codeforces.com/problemset/problem/448/C"/>
    <hyperlink ref="J77" r:id="rId75" display="https://www.youtube.com/watch?v=lE09Ss_Sy0A"/>
    <hyperlink ref="J78" r:id="rId76" display="https://www.youtube.com/watch?v=s3IGwpJwCTA"/>
    <hyperlink ref="B79" r:id="rId77" display="http://codeforces.com/problemset/problem/140/C"/>
    <hyperlink ref="B80" r:id="rId78" display="http://codeforces.com/problemset/problem/237/C"/>
    <hyperlink ref="B81" r:id="rId79" display="http://codeforces.com/problemset/problem/260/C"/>
    <hyperlink ref="B82" r:id="rId80" display="http://codeforces.com/problemset/problem/520/C"/>
    <hyperlink ref="B83" r:id="rId81" display="http://codeforces.com/problemset/problem/474/C"/>
    <hyperlink ref="B84" r:id="rId82" display="http://codeforces.com/problemset/problem/524/C"/>
    <hyperlink ref="B85" r:id="rId83" display="http://codeforces.com/problemset/problem/436/C"/>
    <hyperlink ref="B86" r:id="rId84" display="http://codeforces.com/problemset/problem/337/C"/>
    <hyperlink ref="B87" r:id="rId85" display="http://codeforces.com/problemset/problem/225/C"/>
    <hyperlink ref="B88" r:id="rId86" display="http://codeforces.com/problemset/problem/557/C"/>
    <hyperlink ref="B93" r:id="rId87" display="http://codeforces.com/problemset/problem/519/C"/>
    <hyperlink ref="B94" r:id="rId88" display="http://codeforces.com/problemset/problem/489/C"/>
    <hyperlink ref="B95" r:id="rId89" display="http://codeforces.com/problemset/problem/158/C"/>
    <hyperlink ref="B96" r:id="rId90" display="http://codeforces.com/problemset/problem/546/C"/>
    <hyperlink ref="B97" r:id="rId91" display="http://codeforces.com/problemset/problem/466/C"/>
    <hyperlink ref="B98" r:id="rId92" display="http://codeforces.com/problemset/problem/545/C"/>
    <hyperlink ref="B99" r:id="rId93" display="http://codeforces.com/problemset/problem/580/C"/>
    <hyperlink ref="B100" r:id="rId94" display="http://codeforces.com/problemset/problem/581/C"/>
    <hyperlink ref="B101" r:id="rId95" display="http://codeforces.com/problemset/problem/500/C"/>
    <hyperlink ref="B102" r:id="rId96" display="http://codeforces.com/problemset/problem/401/C"/>
    <hyperlink ref="B104" r:id="rId97" display="http://codeforces.com/problemset/problem/431/C"/>
    <hyperlink ref="B105" r:id="rId98" display="http://codeforces.com/problemset/problem/538/C"/>
    <hyperlink ref="B106" r:id="rId99" display="http://codeforces.com/problemset/problem/510/C"/>
    <hyperlink ref="B107" r:id="rId100" display="http://codeforces.com/problemset/problem/525/C"/>
    <hyperlink ref="B108" r:id="rId101" display="http://codeforces.com/problemset/problem/268/C"/>
    <hyperlink ref="B109" r:id="rId102" display="http://codeforces.com/problemset/problem/567/C"/>
    <hyperlink ref="B110" r:id="rId103" display="http://codeforces.com/problemset/problem/441/C"/>
    <hyperlink ref="B111" r:id="rId104" display="http://codeforces.com/problemset/problem/282/C"/>
    <hyperlink ref="B112" r:id="rId105" display="http://codeforces.com/problemset/problem/486/C"/>
    <hyperlink ref="B113" r:id="rId106" display="http://codeforces.com/problemset/problem/165/C"/>
    <hyperlink ref="B115" r:id="rId107" display="http://codeforces.com/problemset/problem/272/C"/>
    <hyperlink ref="B116" r:id="rId108" display="http://codeforces.com/problemset/problem/508/C"/>
    <hyperlink ref="B117" r:id="rId109" display="http://codeforces.com/problemset/problem/493/C"/>
    <hyperlink ref="B118" r:id="rId110" display="http://codeforces.com/problemset/problem/6/C"/>
    <hyperlink ref="B119" r:id="rId111" display="http://codeforces.com/problemset/problem/552/C"/>
    <hyperlink ref="B120" r:id="rId112" display="http://codeforces.com/problemset/problem/507/C"/>
    <hyperlink ref="B121" r:id="rId113" display="http://codeforces.com/problemset/problem/9/C"/>
    <hyperlink ref="B122" r:id="rId114" display="http://codeforces.com/problemset/problem/152/C"/>
    <hyperlink ref="B123" r:id="rId115" display="http://codeforces.com/problemset/problem/540/C"/>
    <hyperlink ref="B124" r:id="rId116" display="http://codeforces.com/problemset/problem/369/C"/>
    <hyperlink ref="B126" r:id="rId117" display="http://codeforces.com/problemset/problem/339/C"/>
    <hyperlink ref="B127" r:id="rId118" display="http://codeforces.com/problemset/problem/459/C"/>
    <hyperlink ref="B128" r:id="rId119" display="http://codeforces.com/problemset/problem/382/C"/>
    <hyperlink ref="B129" r:id="rId120" display="http://codeforces.com/problemset/problem/535/C"/>
    <hyperlink ref="B130" r:id="rId121" display="http://codeforces.com/problemset/problem/451/C"/>
    <hyperlink ref="B131" r:id="rId122" display="http://codeforces.com/problemset/problem/353/C"/>
    <hyperlink ref="B132" r:id="rId123" display="http://codeforces.com/problemset/problem/234/C"/>
    <hyperlink ref="B133" r:id="rId124" display="http://codeforces.com/problemset/problem/166/C"/>
    <hyperlink ref="B134" r:id="rId125" display="http://codeforces.com/problemset/problem/371/C"/>
    <hyperlink ref="B136" r:id="rId126" display="http://codeforces.com/problemset/problem/427/C"/>
    <hyperlink ref="B137" r:id="rId127" display="http://codeforces.com/problemset/problem/18/C"/>
    <hyperlink ref="B138" r:id="rId128" display="http://codeforces.com/problemset/problem/279/C"/>
    <hyperlink ref="B139" r:id="rId129" display="http://codeforces.com/problemset/problem/144/C"/>
    <hyperlink ref="B140" r:id="rId130" display="http://codeforces.com/problemset/problem/120/C"/>
    <hyperlink ref="B141" r:id="rId131" display="http://codeforces.com/problemset/problem/271/C"/>
    <hyperlink ref="B142" r:id="rId132" display="http://codeforces.com/problemset/problem/5/C"/>
    <hyperlink ref="B143" r:id="rId133" display="http://codeforces.com/problemset/problem/412/C"/>
    <hyperlink ref="B144" r:id="rId134" display="http://codeforces.com/problemset/problem/231/C"/>
    <hyperlink ref="B146" r:id="rId135" display="http://codeforces.com/problemset/problem/246/C"/>
    <hyperlink ref="B147" r:id="rId136" display="http://codeforces.com/problemset/problem/327/C"/>
    <hyperlink ref="B148" r:id="rId137" display="http://codeforces.com/problemset/problem/514/C"/>
    <hyperlink ref="B149" r:id="rId138" display="http://codeforces.com/problemset/problem/424/C"/>
    <hyperlink ref="B150" r:id="rId139" display="http://codeforces.com/problemset/problem/291/C"/>
    <hyperlink ref="B151" r:id="rId140" display="http://codeforces.com/problemset/problem/300/C"/>
    <hyperlink ref="B152" r:id="rId141" display="http://codeforces.com/problemset/problem/160/C"/>
    <hyperlink ref="B153" r:id="rId142" display="http://codeforces.com/problemset/problem/148/C"/>
    <hyperlink ref="B155" r:id="rId143" display="http://codeforces.com/problemset/problem/106/C"/>
    <hyperlink ref="B156" r:id="rId144" display="http://codeforces.com/problemset/problem/433/C"/>
    <hyperlink ref="B157" r:id="rId145" display="http://codeforces.com/problemset/problem/305/C"/>
    <hyperlink ref="B158" r:id="rId146" display="http://codeforces.com/problemset/problem/336/C"/>
    <hyperlink ref="B159" r:id="rId147" display="http://codeforces.com/problemset/problem/180/C"/>
    <hyperlink ref="B160" r:id="rId148" display="http://codeforces.com/problemset/problem/257/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7.33203125" defaultRowHeight="15.75" customHeight="1" x14ac:dyDescent="0.15"/>
  <cols>
    <col min="1" max="1" width="25.1640625" customWidth="1"/>
    <col min="3" max="3" width="6.83203125" customWidth="1"/>
    <col min="4" max="4" width="13" customWidth="1"/>
    <col min="5" max="5" width="8.5" customWidth="1"/>
    <col min="6" max="6" width="8.6640625" customWidth="1"/>
    <col min="7" max="7" width="10" customWidth="1"/>
    <col min="8" max="8" width="8.5" customWidth="1"/>
    <col min="9" max="9" width="10" customWidth="1"/>
    <col min="10" max="10" width="161.5" customWidth="1"/>
  </cols>
  <sheetData>
    <row r="1" spans="1:10" ht="15.75" customHeight="1" x14ac:dyDescent="0.15">
      <c r="A1" s="1" t="s">
        <v>0</v>
      </c>
      <c r="B1" s="1" t="s">
        <v>4</v>
      </c>
      <c r="C1" s="2" t="s">
        <v>2</v>
      </c>
      <c r="D1" s="3" t="s">
        <v>5</v>
      </c>
      <c r="E1" s="3" t="s">
        <v>7</v>
      </c>
      <c r="F1" s="2" t="s">
        <v>8</v>
      </c>
      <c r="G1" s="3" t="s">
        <v>9</v>
      </c>
      <c r="H1" s="3" t="s">
        <v>10</v>
      </c>
      <c r="I1" s="2" t="s">
        <v>11</v>
      </c>
      <c r="J1" s="4" t="s">
        <v>13</v>
      </c>
    </row>
    <row r="2" spans="1:10" ht="15.75" customHeight="1" x14ac:dyDescent="0.15">
      <c r="A2" s="5"/>
      <c r="B2" s="5" t="s">
        <v>14</v>
      </c>
      <c r="C2" s="8">
        <f>COUNTIF(C3:C10003, "AC")</f>
        <v>0</v>
      </c>
      <c r="D2" s="9" t="e">
        <f ca="1">SUMPRODUCT(D3:D10003,INT(EQ(C3:C10003, "AC")))/MAX(1, C2)</f>
        <v>#NAME?</v>
      </c>
      <c r="E2" s="9" t="e">
        <f ca="1">SUMPRODUCT(E3:E10003,INT(EQ(C3:C10003, "AC")))/MAX(1, C2)</f>
        <v>#NAME?</v>
      </c>
      <c r="F2" s="9" t="e">
        <f ca="1">SUMPRODUCT(F3:F10003,INT(EQ(C3:C10003, "AC")))/MAX(1, C2)</f>
        <v>#NAME?</v>
      </c>
      <c r="G2" s="9" t="e">
        <f ca="1">SUMPRODUCT(G3:G10003,INT(EQ(C3:C10003, "AC")))/MAX(1, C2)</f>
        <v>#NAME?</v>
      </c>
      <c r="H2" s="9" t="e">
        <f ca="1">SUMPRODUCT(H3:H10003,INT(EQ(C3:C10003, "AC")))/MAX(1, C2)</f>
        <v>#NAME?</v>
      </c>
      <c r="I2" s="9" t="e">
        <f ca="1">SUMPRODUCT(I3:I10003,INT(EQ(C3:C10003, "AC")))/MAX(1, C2)</f>
        <v>#NAME?</v>
      </c>
      <c r="J2" s="11">
        <f>COUNTIFS(C4:C10005, "&lt;&gt;AC", C4:C10005, "&lt;&gt;")</f>
        <v>0</v>
      </c>
    </row>
    <row r="3" spans="1:10" ht="15.75" customHeight="1" x14ac:dyDescent="0.15">
      <c r="A3" s="7"/>
      <c r="B3" s="7"/>
      <c r="C3" s="5"/>
      <c r="D3" s="5"/>
      <c r="E3" s="5"/>
      <c r="F3" s="5"/>
      <c r="G3" s="5"/>
      <c r="H3" s="12">
        <f t="shared" ref="H3:H201" si="0">SUM(E3:G3)</f>
        <v>0</v>
      </c>
      <c r="I3" s="5"/>
      <c r="J3" s="10" t="str">
        <f>HYPERLINK("https://www.youtube.com/watch?v=7z1498LTCgg","Watch - Thinking - Brainstorm - Rank - Approach ")</f>
        <v xml:space="preserve">Watch - Thinking - Brainstorm - Rank - Approach </v>
      </c>
    </row>
    <row r="4" spans="1:10" ht="15.75" customHeight="1" x14ac:dyDescent="0.15">
      <c r="A4" s="7"/>
      <c r="B4" s="7"/>
      <c r="C4" s="5"/>
      <c r="D4" s="5"/>
      <c r="E4" s="5"/>
      <c r="F4" s="5"/>
      <c r="G4" s="5"/>
      <c r="H4" s="12">
        <f t="shared" si="0"/>
        <v>0</v>
      </c>
      <c r="I4" s="5"/>
      <c r="J4" s="10" t="str">
        <f>HYPERLINK("https://www.youtube.com/watch?v=Tm_Vlkv4mOo","Watch - Thinking - Concretely - Symbolically - Pictorially ")</f>
        <v xml:space="preserve">Watch - Thinking - Concretely - Symbolically - Pictorially </v>
      </c>
    </row>
    <row r="5" spans="1:10" ht="15.75" customHeight="1" x14ac:dyDescent="0.15">
      <c r="A5" s="5"/>
      <c r="B5" s="5"/>
      <c r="C5" s="5"/>
      <c r="D5" s="5"/>
      <c r="E5" s="5"/>
      <c r="F5" s="5"/>
      <c r="G5" s="5"/>
      <c r="H5" s="12">
        <f t="shared" si="0"/>
        <v>0</v>
      </c>
      <c r="I5" s="5"/>
      <c r="J5" s="16" t="str">
        <f>HYPERLINK("https://www.youtube.com/watch?v=6Fx8T_NBA7Q","Watch - Thinking - Problem Constraints ")</f>
        <v xml:space="preserve">Watch - Thinking - Problem Constraints </v>
      </c>
    </row>
    <row r="6" spans="1:10" ht="15.75" customHeight="1" x14ac:dyDescent="0.15">
      <c r="A6" s="5"/>
      <c r="B6" s="5"/>
      <c r="C6" s="5"/>
      <c r="D6" s="5"/>
      <c r="E6" s="17"/>
      <c r="F6" s="5"/>
      <c r="G6" s="5"/>
      <c r="H6" s="18">
        <f t="shared" si="0"/>
        <v>0</v>
      </c>
      <c r="I6" s="5"/>
      <c r="J6" s="16" t="str">
        <f>HYPERLINK("https://www.youtube.com/watch?v=F0hmrbOW8nw","Watch - Thinking - Problem Abstraction ")</f>
        <v xml:space="preserve">Watch - Thinking - Problem Abstraction </v>
      </c>
    </row>
    <row r="7" spans="1:10" ht="15.75" customHeight="1" x14ac:dyDescent="0.15">
      <c r="A7" s="31" t="str">
        <f>HYPERLINK("https://community.topcoder.com/stat?c=problem_statement&amp;pm=9839&amp;rd=13504","ArithmeticProgression")</f>
        <v>ArithmeticProgression</v>
      </c>
      <c r="B7" s="19" t="s">
        <v>332</v>
      </c>
      <c r="C7" s="5"/>
      <c r="D7" s="5"/>
      <c r="E7" s="17"/>
      <c r="F7" s="5"/>
      <c r="G7" s="5"/>
      <c r="H7" s="18">
        <f t="shared" si="0"/>
        <v>0</v>
      </c>
      <c r="I7" s="5"/>
      <c r="J7" s="7"/>
    </row>
    <row r="8" spans="1:10" ht="15.75" customHeight="1" x14ac:dyDescent="0.15">
      <c r="A8" s="31" t="str">
        <f>HYPERLINK("https://community.topcoder.com/stat?c=problem_statement&amp;pm=10268&amp;rd=13696","FindingSquareInTable")</f>
        <v>FindingSquareInTable</v>
      </c>
      <c r="B8" s="19" t="s">
        <v>334</v>
      </c>
      <c r="C8" s="5"/>
      <c r="D8" s="5"/>
      <c r="E8" s="5"/>
      <c r="F8" s="5"/>
      <c r="G8" s="5"/>
      <c r="H8" s="12">
        <f t="shared" si="0"/>
        <v>0</v>
      </c>
      <c r="I8" s="5"/>
      <c r="J8" s="7"/>
    </row>
    <row r="9" spans="1:10" ht="15.75" customHeight="1" x14ac:dyDescent="0.15">
      <c r="A9" s="32" t="str">
        <f>HYPERLINK("https://community.topcoder.com/stat?c=problem_statement&amp;pm=10862&amp;rd=14150","LotteryCheating")</f>
        <v>LotteryCheating</v>
      </c>
      <c r="B9" s="19" t="s">
        <v>337</v>
      </c>
      <c r="C9" s="5"/>
      <c r="D9" s="5"/>
      <c r="E9" s="5"/>
      <c r="F9" s="5"/>
      <c r="G9" s="5"/>
      <c r="H9" s="12">
        <f t="shared" si="0"/>
        <v>0</v>
      </c>
      <c r="I9" s="5"/>
      <c r="J9" s="7"/>
    </row>
    <row r="10" spans="1:10" ht="15.75" customHeight="1" x14ac:dyDescent="0.15">
      <c r="A10" s="32" t="str">
        <f>HYPERLINK("https://community.topcoder.com/stat?c=problem_statement&amp;pm=8444&amp;rd=11120","CandidateKeys")</f>
        <v>CandidateKeys</v>
      </c>
      <c r="B10" s="19" t="s">
        <v>338</v>
      </c>
      <c r="C10" s="5"/>
      <c r="D10" s="7"/>
      <c r="E10" s="7"/>
      <c r="F10" s="7"/>
      <c r="G10" s="7"/>
      <c r="H10" s="12">
        <f t="shared" si="0"/>
        <v>0</v>
      </c>
      <c r="I10" s="7"/>
      <c r="J10" s="7"/>
    </row>
    <row r="11" spans="1:10" ht="15.75" customHeight="1" x14ac:dyDescent="0.15">
      <c r="A11" s="32" t="str">
        <f>HYPERLINK("https://community.topcoder.com/stat?c=problem_statement&amp;pm=11064&amp;rd=14159","InternetSecurity")</f>
        <v>InternetSecurity</v>
      </c>
      <c r="B11" s="19" t="s">
        <v>339</v>
      </c>
      <c r="C11" s="5"/>
      <c r="D11" s="7"/>
      <c r="E11" s="7"/>
      <c r="F11" s="7"/>
      <c r="G11" s="7"/>
      <c r="H11" s="12">
        <f t="shared" si="0"/>
        <v>0</v>
      </c>
      <c r="I11" s="7"/>
      <c r="J11" s="7"/>
    </row>
    <row r="12" spans="1:10" ht="15.75" customHeight="1" x14ac:dyDescent="0.15">
      <c r="A12" s="32" t="str">
        <f>HYPERLINK("https://community.topcoder.com/stat?c=problem_statement&amp;pm=8374&amp;rd=10793","SyllableSorting")</f>
        <v>SyllableSorting</v>
      </c>
      <c r="B12" s="19" t="s">
        <v>340</v>
      </c>
      <c r="C12" s="5"/>
      <c r="D12" s="7"/>
      <c r="E12" s="7"/>
      <c r="F12" s="7"/>
      <c r="G12" s="7"/>
      <c r="H12" s="12">
        <f t="shared" si="0"/>
        <v>0</v>
      </c>
      <c r="I12" s="7"/>
      <c r="J12" s="7"/>
    </row>
    <row r="13" spans="1:10" ht="15.75" customHeight="1" x14ac:dyDescent="0.15">
      <c r="A13" s="32" t="str">
        <f>HYPERLINK("https://community.topcoder.com/stat?c=problem_statement&amp;pm=7397&amp;rd=10665","KLastNonZeroDigits")</f>
        <v>KLastNonZeroDigits</v>
      </c>
      <c r="B13" s="19" t="s">
        <v>341</v>
      </c>
      <c r="C13" s="5"/>
      <c r="D13" s="7"/>
      <c r="E13" s="7"/>
      <c r="F13" s="7"/>
      <c r="G13" s="7"/>
      <c r="H13" s="12">
        <f t="shared" si="0"/>
        <v>0</v>
      </c>
      <c r="I13" s="7"/>
      <c r="J13" s="7"/>
    </row>
    <row r="14" spans="1:10" ht="15.75" customHeight="1" x14ac:dyDescent="0.15">
      <c r="A14" s="32" t="str">
        <f>HYPERLINK("https://community.topcoder.com/stat?c=problem_statement&amp;pm=8414&amp;rd=10804","TheDiceGame")</f>
        <v>TheDiceGame</v>
      </c>
      <c r="B14" s="19" t="s">
        <v>343</v>
      </c>
      <c r="C14" s="5"/>
      <c r="D14" s="7"/>
      <c r="E14" s="7"/>
      <c r="F14" s="7"/>
      <c r="G14" s="7"/>
      <c r="H14" s="12">
        <f t="shared" si="0"/>
        <v>0</v>
      </c>
      <c r="I14" s="7"/>
      <c r="J14" s="7"/>
    </row>
    <row r="15" spans="1:10" ht="15.75" customHeight="1" x14ac:dyDescent="0.15">
      <c r="A15" s="33" t="str">
        <f>HYPERLINK("https://community.topcoder.com/stat?c=problem_statement&amp;pm=10195&amp;rd=13695","MagicWords")</f>
        <v>MagicWords</v>
      </c>
      <c r="B15" s="27" t="s">
        <v>346</v>
      </c>
      <c r="C15" s="5"/>
      <c r="D15" s="7"/>
      <c r="E15" s="7"/>
      <c r="F15" s="7"/>
      <c r="G15" s="7"/>
      <c r="H15" s="12">
        <f t="shared" si="0"/>
        <v>0</v>
      </c>
      <c r="I15" s="7"/>
      <c r="J15" s="5"/>
    </row>
    <row r="16" spans="1:10" ht="15.75" customHeight="1" x14ac:dyDescent="0.15">
      <c r="A16" s="33" t="str">
        <f>HYPERLINK("https://community.topcoder.com/stat?c=problem_statement&amp;pm=11035&amp;rd=14236","MovieSeating")</f>
        <v>MovieSeating</v>
      </c>
      <c r="B16" s="27" t="s">
        <v>348</v>
      </c>
      <c r="C16" s="5"/>
      <c r="D16" s="7"/>
      <c r="E16" s="7"/>
      <c r="F16" s="7"/>
      <c r="G16" s="7"/>
      <c r="H16" s="12">
        <f t="shared" si="0"/>
        <v>0</v>
      </c>
      <c r="I16" s="7"/>
      <c r="J16" s="5"/>
    </row>
    <row r="17" spans="1:10" ht="15.75" customHeight="1" x14ac:dyDescent="0.15">
      <c r="A17" s="5"/>
      <c r="B17" s="5"/>
      <c r="C17" s="5"/>
      <c r="D17" s="7"/>
      <c r="E17" s="7"/>
      <c r="F17" s="7"/>
      <c r="G17" s="7"/>
      <c r="H17" s="12">
        <f t="shared" si="0"/>
        <v>0</v>
      </c>
      <c r="I17" s="7"/>
      <c r="J17" s="14" t="str">
        <f>HYPERLINK("https://www.youtube.com/watch?v=IGaJWl0jPY4","Watch - Trie Data Structure")</f>
        <v>Watch - Trie Data Structure</v>
      </c>
    </row>
    <row r="18" spans="1:10" ht="15.75" customHeight="1" x14ac:dyDescent="0.15">
      <c r="A18" s="5"/>
      <c r="B18" s="5"/>
      <c r="C18" s="5"/>
      <c r="D18" s="7"/>
      <c r="E18" s="7"/>
      <c r="F18" s="7"/>
      <c r="G18" s="7"/>
      <c r="H18" s="12">
        <f t="shared" si="0"/>
        <v>0</v>
      </c>
      <c r="I18" s="7"/>
      <c r="J18" s="16" t="str">
        <f>HYPERLINK("https://www.youtube.com/watch?v=xVMe4JSEQo0&amp;index=14&amp;list=PLPt2dINI2MIb4OXlJ_EEwIDV9WVUpRQ5K","Watch - Strongly Connected Componenets / Brides / Art points - 4 videos")</f>
        <v>Watch - Strongly Connected Componenets / Brides / Art points - 4 videos</v>
      </c>
    </row>
    <row r="19" spans="1:10" ht="15.75" customHeight="1" x14ac:dyDescent="0.15">
      <c r="A19" s="32" t="str">
        <f>HYPERLINK("https://community.topcoder.com/stat?c=problem_statement&amp;pm=11308&amp;rd=14552","P8XGraphBuilder")</f>
        <v>P8XGraphBuilder</v>
      </c>
      <c r="B19" s="19" t="s">
        <v>352</v>
      </c>
      <c r="C19" s="5"/>
      <c r="D19" s="7"/>
      <c r="E19" s="7"/>
      <c r="F19" s="7"/>
      <c r="G19" s="7"/>
      <c r="H19" s="12">
        <f t="shared" si="0"/>
        <v>0</v>
      </c>
      <c r="I19" s="7"/>
      <c r="J19" s="7"/>
    </row>
    <row r="20" spans="1:10" ht="15.75" customHeight="1" x14ac:dyDescent="0.15">
      <c r="A20" s="32" t="str">
        <f>HYPERLINK("https://community.topcoder.com/stat?c=problem_statement&amp;pm=8427&amp;rd=12178","FactoVisors")</f>
        <v>FactoVisors</v>
      </c>
      <c r="B20" s="19" t="s">
        <v>355</v>
      </c>
      <c r="C20" s="5"/>
      <c r="D20" s="7"/>
      <c r="E20" s="7"/>
      <c r="F20" s="7"/>
      <c r="G20" s="7"/>
      <c r="H20" s="12">
        <f t="shared" si="0"/>
        <v>0</v>
      </c>
      <c r="I20" s="7"/>
      <c r="J20" s="7"/>
    </row>
    <row r="21" spans="1:10" ht="15.75" customHeight="1" x14ac:dyDescent="0.15">
      <c r="A21" s="32" t="str">
        <f>HYPERLINK("https://community.topcoder.com/stat?c=problem_statement&amp;pm=11434&amp;rd=14437","DivideAndShift")</f>
        <v>DivideAndShift</v>
      </c>
      <c r="B21" s="19" t="s">
        <v>356</v>
      </c>
      <c r="C21" s="5"/>
      <c r="D21" s="7"/>
      <c r="E21" s="7"/>
      <c r="F21" s="7"/>
      <c r="G21" s="7"/>
      <c r="H21" s="12">
        <f t="shared" si="0"/>
        <v>0</v>
      </c>
      <c r="I21" s="7"/>
      <c r="J21" s="7"/>
    </row>
    <row r="22" spans="1:10" ht="15.75" customHeight="1" x14ac:dyDescent="0.15">
      <c r="A22" s="32" t="str">
        <f>HYPERLINK("https://community.topcoder.com/stat?c=problem_statement&amp;pm=12033&amp;rd=15172","RotatingBot")</f>
        <v>RotatingBot</v>
      </c>
      <c r="B22" s="19" t="s">
        <v>357</v>
      </c>
      <c r="C22" s="5"/>
      <c r="D22" s="7"/>
      <c r="E22" s="7"/>
      <c r="F22" s="7"/>
      <c r="G22" s="7"/>
      <c r="H22" s="12">
        <f t="shared" si="0"/>
        <v>0</v>
      </c>
      <c r="I22" s="7"/>
      <c r="J22" s="7"/>
    </row>
    <row r="23" spans="1:10" ht="15.75" customHeight="1" x14ac:dyDescent="0.15">
      <c r="A23" s="32" t="str">
        <f>HYPERLINK("https://community.topcoder.com/stat?c=round_overview&amp;er=5&amp;rd=14144","TheTriangleBothDivs")</f>
        <v>TheTriangleBothDivs</v>
      </c>
      <c r="B23" s="19" t="s">
        <v>358</v>
      </c>
      <c r="C23" s="5"/>
      <c r="D23" s="7"/>
      <c r="E23" s="7"/>
      <c r="F23" s="7"/>
      <c r="G23" s="7"/>
      <c r="H23" s="12">
        <f t="shared" si="0"/>
        <v>0</v>
      </c>
      <c r="I23" s="7"/>
      <c r="J23" s="7"/>
    </row>
    <row r="24" spans="1:10" ht="15.75" customHeight="1" x14ac:dyDescent="0.15">
      <c r="A24" s="32" t="str">
        <f>HYPERLINK("https://community.topcoder.com/stat?c=problem_statement&amp;pm=8527&amp;rd=11121","MarblesRegroupingEasy")</f>
        <v>MarblesRegroupingEasy</v>
      </c>
      <c r="B24" s="19" t="s">
        <v>360</v>
      </c>
      <c r="C24" s="5"/>
      <c r="D24" s="7"/>
      <c r="E24" s="7"/>
      <c r="F24" s="7"/>
      <c r="G24" s="7"/>
      <c r="H24" s="12">
        <f t="shared" si="0"/>
        <v>0</v>
      </c>
      <c r="I24" s="7"/>
      <c r="J24" s="7"/>
    </row>
    <row r="25" spans="1:10" ht="15.75" customHeight="1" x14ac:dyDescent="0.15">
      <c r="A25" s="32" t="str">
        <f>HYPERLINK("https://community.topcoder.com/stat?c=problem_statement&amp;pm=12521&amp;rd=15497","EllysRoomAssignmentsDiv2")</f>
        <v>EllysRoomAssignmentsDiv2</v>
      </c>
      <c r="B25" s="19" t="s">
        <v>362</v>
      </c>
      <c r="C25" s="5"/>
      <c r="D25" s="7"/>
      <c r="E25" s="7"/>
      <c r="F25" s="7"/>
      <c r="G25" s="7"/>
      <c r="H25" s="12">
        <f t="shared" si="0"/>
        <v>0</v>
      </c>
      <c r="I25" s="7"/>
      <c r="J25" s="7"/>
    </row>
    <row r="26" spans="1:10" ht="15.75" customHeight="1" x14ac:dyDescent="0.15">
      <c r="A26" s="32" t="str">
        <f>HYPERLINK("https://community.topcoder.com/stat?c=problem_statement&amp;pm=11855&amp;rd=14731","Over9000Rocks")</f>
        <v>Over9000Rocks</v>
      </c>
      <c r="B26" s="19" t="s">
        <v>363</v>
      </c>
      <c r="C26" s="5"/>
      <c r="D26" s="7"/>
      <c r="E26" s="7"/>
      <c r="F26" s="7"/>
      <c r="G26" s="7"/>
      <c r="H26" s="12">
        <f t="shared" si="0"/>
        <v>0</v>
      </c>
      <c r="I26" s="7"/>
      <c r="J26" s="7"/>
    </row>
    <row r="27" spans="1:10" ht="15.75" customHeight="1" x14ac:dyDescent="0.15">
      <c r="A27" s="33" t="str">
        <f>HYPERLINK("https://community.topcoder.com/stat?c=problem_statement&amp;pm=10992&amp;rd=14239","OneRegister")</f>
        <v>OneRegister</v>
      </c>
      <c r="B27" s="27" t="s">
        <v>365</v>
      </c>
      <c r="C27" s="5"/>
      <c r="D27" s="7"/>
      <c r="E27" s="7"/>
      <c r="F27" s="7"/>
      <c r="G27" s="7"/>
      <c r="H27" s="12">
        <f t="shared" si="0"/>
        <v>0</v>
      </c>
      <c r="I27" s="7"/>
      <c r="J27" s="5"/>
    </row>
    <row r="28" spans="1:10" ht="15.75" customHeight="1" x14ac:dyDescent="0.15">
      <c r="A28" s="33" t="str">
        <f>HYPERLINK("https://community.topcoder.com/stat?c=problem_statement&amp;pm=8594&amp;rd=11128","RoughStrings")</f>
        <v>RoughStrings</v>
      </c>
      <c r="B28" s="27" t="s">
        <v>367</v>
      </c>
      <c r="C28" s="5"/>
      <c r="D28" s="7"/>
      <c r="E28" s="7"/>
      <c r="F28" s="7"/>
      <c r="G28" s="7"/>
      <c r="H28" s="12">
        <f t="shared" si="0"/>
        <v>0</v>
      </c>
      <c r="I28" s="7"/>
      <c r="J28" s="5"/>
    </row>
    <row r="29" spans="1:10" ht="15.75" customHeight="1" x14ac:dyDescent="0.15">
      <c r="A29" s="5"/>
      <c r="B29" s="5"/>
      <c r="C29" s="5"/>
      <c r="D29" s="7"/>
      <c r="E29" s="7"/>
      <c r="F29" s="7"/>
      <c r="G29" s="7"/>
      <c r="H29" s="12">
        <f t="shared" si="0"/>
        <v>0</v>
      </c>
      <c r="I29" s="7"/>
      <c r="J29" s="16" t="str">
        <f>HYPERLINK("https://www.youtube.com/watch?v=0wlc8Rhyybo","Watch - Thinking - Problem Reverse")</f>
        <v>Watch - Thinking - Problem Reverse</v>
      </c>
    </row>
    <row r="30" spans="1:10" ht="15.75" customHeight="1" x14ac:dyDescent="0.15">
      <c r="A30" s="5"/>
      <c r="B30" s="5"/>
      <c r="C30" s="5"/>
      <c r="D30" s="7"/>
      <c r="E30" s="7"/>
      <c r="F30" s="7"/>
      <c r="G30" s="7"/>
      <c r="H30" s="12">
        <f t="shared" si="0"/>
        <v>0</v>
      </c>
      <c r="I30" s="7"/>
      <c r="J30" s="14" t="str">
        <f>HYPERLINK("https://www.youtube.com/watch?v=5zILiqyQ2ts","Watch - Thinking - Incrementally")</f>
        <v>Watch - Thinking - Incrementally</v>
      </c>
    </row>
    <row r="31" spans="1:10" ht="15.75" customHeight="1" x14ac:dyDescent="0.15">
      <c r="A31" s="5"/>
      <c r="B31" s="5"/>
      <c r="C31" s="5"/>
      <c r="D31" s="7"/>
      <c r="E31" s="7"/>
      <c r="F31" s="7"/>
      <c r="G31" s="7"/>
      <c r="H31" s="12">
        <f t="shared" si="0"/>
        <v>0</v>
      </c>
      <c r="I31" s="7"/>
      <c r="J31" s="14" t="str">
        <f>HYPERLINK("https://www.youtube.com/watch?v=9fwHOeebIgc","Watch - Thinking - Problem Domain re-interpretation")</f>
        <v>Watch - Thinking - Problem Domain re-interpretation</v>
      </c>
    </row>
    <row r="32" spans="1:10" ht="15.75" customHeight="1" x14ac:dyDescent="0.15">
      <c r="A32" s="5"/>
      <c r="B32" s="5"/>
      <c r="C32" s="5"/>
      <c r="D32" s="7"/>
      <c r="E32" s="7"/>
      <c r="F32" s="7"/>
      <c r="G32" s="7"/>
      <c r="H32" s="12">
        <f t="shared" si="0"/>
        <v>0</v>
      </c>
      <c r="I32" s="7"/>
      <c r="J32" s="14" t="str">
        <f>HYPERLINK("https://www.youtube.com/watch?v=YUIwEX8UEN0","Watch - Thinking - Search Space and Output Analysis")</f>
        <v>Watch - Thinking - Search Space and Output Analysis</v>
      </c>
    </row>
    <row r="33" spans="1:10" ht="15.75" customHeight="1" x14ac:dyDescent="0.15">
      <c r="A33" s="32" t="str">
        <f>HYPERLINK("https://community.topcoder.com/stat?c=problem_statement&amp;pm=8319&amp;rd=10805","CollectingRiders")</f>
        <v>CollectingRiders</v>
      </c>
      <c r="B33" s="19" t="s">
        <v>373</v>
      </c>
      <c r="C33" s="5"/>
      <c r="D33" s="7"/>
      <c r="E33" s="7"/>
      <c r="F33" s="7"/>
      <c r="G33" s="7"/>
      <c r="H33" s="12">
        <f t="shared" si="0"/>
        <v>0</v>
      </c>
      <c r="I33" s="7"/>
      <c r="J33" s="7"/>
    </row>
    <row r="34" spans="1:10" ht="15.75" customHeight="1" x14ac:dyDescent="0.15">
      <c r="A34" s="32" t="str">
        <f>HYPERLINK("https://community.topcoder.com/stat?c=problem_statement&amp;pm=8817&amp;rd=12182","AddElectricalWires")</f>
        <v>AddElectricalWires</v>
      </c>
      <c r="B34" s="19" t="s">
        <v>375</v>
      </c>
      <c r="C34" s="5"/>
      <c r="D34" s="7"/>
      <c r="E34" s="7"/>
      <c r="F34" s="7"/>
      <c r="G34" s="7"/>
      <c r="H34" s="12">
        <f t="shared" si="0"/>
        <v>0</v>
      </c>
      <c r="I34" s="7"/>
      <c r="J34" s="7"/>
    </row>
    <row r="35" spans="1:10" ht="15.75" customHeight="1" x14ac:dyDescent="0.15">
      <c r="A35" s="32" t="str">
        <f>HYPERLINK("https://community.topcoder.com/stat?c=problem_statement&amp;pm=10688&amp;rd=13907","TheBasketballDivTwo")</f>
        <v>TheBasketballDivTwo</v>
      </c>
      <c r="B35" s="19" t="s">
        <v>377</v>
      </c>
      <c r="C35" s="5"/>
      <c r="D35" s="7"/>
      <c r="E35" s="7"/>
      <c r="F35" s="7"/>
      <c r="G35" s="7"/>
      <c r="H35" s="12">
        <f t="shared" si="0"/>
        <v>0</v>
      </c>
      <c r="I35" s="7"/>
      <c r="J35" s="7"/>
    </row>
    <row r="36" spans="1:10" ht="15.75" customHeight="1" x14ac:dyDescent="0.15">
      <c r="A36" s="32" t="str">
        <f>HYPERLINK("https://community.topcoder.com/stat?c=problem_statement&amp;pm=11342&amp;rd=14429","MafiaGame")</f>
        <v>MafiaGame</v>
      </c>
      <c r="B36" s="19" t="s">
        <v>379</v>
      </c>
      <c r="C36" s="5"/>
      <c r="D36" s="7"/>
      <c r="E36" s="7"/>
      <c r="F36" s="7"/>
      <c r="G36" s="7"/>
      <c r="H36" s="12">
        <f t="shared" si="0"/>
        <v>0</v>
      </c>
      <c r="I36" s="7"/>
      <c r="J36" s="7"/>
    </row>
    <row r="37" spans="1:10" ht="15.75" customHeight="1" x14ac:dyDescent="0.15">
      <c r="A37" s="32" t="str">
        <f>HYPERLINK("https://community.topcoder.com/stat?c=problem_statement&amp;pm=11887&amp;rd=14733","AntsMeet")</f>
        <v>AntsMeet</v>
      </c>
      <c r="B37" s="19" t="s">
        <v>381</v>
      </c>
      <c r="C37" s="5"/>
      <c r="D37" s="7"/>
      <c r="E37" s="7"/>
      <c r="F37" s="7"/>
      <c r="G37" s="7"/>
      <c r="H37" s="12">
        <f t="shared" si="0"/>
        <v>0</v>
      </c>
      <c r="I37" s="7"/>
      <c r="J37" s="7"/>
    </row>
    <row r="38" spans="1:10" ht="15.75" customHeight="1" x14ac:dyDescent="0.15">
      <c r="A38" s="32" t="str">
        <f>HYPERLINK("https://community.topcoder.com/stat?c=problem_statement&amp;pm=12588&amp;rd=15501","SurveillanceSystem")</f>
        <v>SurveillanceSystem</v>
      </c>
      <c r="B38" s="19" t="s">
        <v>384</v>
      </c>
      <c r="C38" s="5"/>
      <c r="D38" s="7"/>
      <c r="E38" s="7"/>
      <c r="F38" s="7"/>
      <c r="G38" s="7"/>
      <c r="H38" s="12">
        <f t="shared" si="0"/>
        <v>0</v>
      </c>
      <c r="I38" s="7"/>
      <c r="J38" s="7"/>
    </row>
    <row r="39" spans="1:10" ht="15.75" customHeight="1" x14ac:dyDescent="0.15">
      <c r="A39" s="33" t="str">
        <f>HYPERLINK("https://community.topcoder.com/stat?c=problem_statement&amp;pm=8763&amp;rd=12172","StrongPrimePower")</f>
        <v>StrongPrimePower</v>
      </c>
      <c r="B39" s="27" t="s">
        <v>386</v>
      </c>
      <c r="C39" s="5"/>
      <c r="D39" s="7"/>
      <c r="E39" s="7"/>
      <c r="F39" s="7"/>
      <c r="G39" s="7"/>
      <c r="H39" s="12">
        <f t="shared" si="0"/>
        <v>0</v>
      </c>
      <c r="I39" s="7"/>
      <c r="J39" s="5"/>
    </row>
    <row r="40" spans="1:10" ht="15.75" customHeight="1" x14ac:dyDescent="0.15">
      <c r="A40" s="33" t="str">
        <f>HYPERLINK("https://community.topcoder.com/stat?c=problem_statement&amp;pm=10369&amp;rd=13699","TheSwap")</f>
        <v>TheSwap</v>
      </c>
      <c r="B40" s="27" t="s">
        <v>388</v>
      </c>
      <c r="C40" s="5"/>
      <c r="D40" s="7"/>
      <c r="E40" s="7"/>
      <c r="F40" s="7"/>
      <c r="G40" s="7"/>
      <c r="H40" s="12">
        <f t="shared" si="0"/>
        <v>0</v>
      </c>
      <c r="I40" s="7"/>
      <c r="J40" s="5"/>
    </row>
    <row r="41" spans="1:10" ht="15.75" customHeight="1" x14ac:dyDescent="0.15">
      <c r="A41" s="32" t="str">
        <f>HYPERLINK("https://community.topcoder.com/stat?c=problem_statement&amp;pm=11934&amp;rd=14734","PatrolRoute")</f>
        <v>PatrolRoute</v>
      </c>
      <c r="B41" s="19" t="s">
        <v>390</v>
      </c>
      <c r="C41" s="5"/>
      <c r="D41" s="7"/>
      <c r="E41" s="7"/>
      <c r="F41" s="7"/>
      <c r="G41" s="7"/>
      <c r="H41" s="12">
        <f t="shared" si="0"/>
        <v>0</v>
      </c>
      <c r="I41" s="7"/>
      <c r="J41" s="7"/>
    </row>
    <row r="42" spans="1:10" ht="15.75" customHeight="1" x14ac:dyDescent="0.15">
      <c r="A42" s="31" t="str">
        <f>HYPERLINK("https://community.topcoder.com/stat?c=problem_statement&amp;pm=12025&amp;rd=14737","StrIIRec")</f>
        <v>StrIIRec</v>
      </c>
      <c r="B42" s="19" t="s">
        <v>392</v>
      </c>
      <c r="C42" s="5"/>
      <c r="D42" s="7"/>
      <c r="E42" s="7"/>
      <c r="F42" s="7"/>
      <c r="G42" s="7"/>
      <c r="H42" s="12">
        <f t="shared" si="0"/>
        <v>0</v>
      </c>
      <c r="I42" s="7"/>
      <c r="J42" s="7"/>
    </row>
    <row r="43" spans="1:10" ht="15.75" customHeight="1" x14ac:dyDescent="0.15">
      <c r="A43" s="5"/>
      <c r="B43" s="5"/>
      <c r="C43" s="5"/>
      <c r="D43" s="7"/>
      <c r="E43" s="7"/>
      <c r="F43" s="7"/>
      <c r="G43" s="7"/>
      <c r="H43" s="12">
        <f t="shared" si="0"/>
        <v>0</v>
      </c>
      <c r="I43" s="7"/>
      <c r="J43" s="14" t="str">
        <f>HYPERLINK("https://www.youtube.com/watch?v=QuOiEwefssM","Watch - Graph Theory - Maximum Flow - 1")</f>
        <v>Watch - Graph Theory - Maximum Flow - 1</v>
      </c>
    </row>
    <row r="44" spans="1:10" ht="15.75" customHeight="1" x14ac:dyDescent="0.15">
      <c r="A44" s="5"/>
      <c r="B44" s="5"/>
      <c r="C44" s="5"/>
      <c r="D44" s="7"/>
      <c r="E44" s="7"/>
      <c r="F44" s="7"/>
      <c r="G44" s="7"/>
      <c r="H44" s="12">
        <f t="shared" si="0"/>
        <v>0</v>
      </c>
      <c r="I44" s="7"/>
      <c r="J44" s="14" t="str">
        <f>HYPERLINK("https://www.youtube.com/watch?v=eF5bfvC8O38","Watch - Graph Theory - Maximum Flow - 2")</f>
        <v>Watch - Graph Theory - Maximum Flow - 2</v>
      </c>
    </row>
    <row r="45" spans="1:10" ht="13" x14ac:dyDescent="0.15">
      <c r="A45" s="31" t="str">
        <f>HYPERLINK("https://community.topcoder.com/stat?c=problem_statement&amp;pm=10724&amp;rd=14149","ColorfulStrings")</f>
        <v>ColorfulStrings</v>
      </c>
      <c r="B45" s="19" t="s">
        <v>395</v>
      </c>
      <c r="C45" s="5"/>
      <c r="D45" s="7"/>
      <c r="E45" s="7"/>
      <c r="F45" s="7"/>
      <c r="G45" s="7"/>
      <c r="H45" s="12">
        <f t="shared" si="0"/>
        <v>0</v>
      </c>
      <c r="I45" s="7"/>
      <c r="J45" s="7"/>
    </row>
    <row r="46" spans="1:10" ht="13" x14ac:dyDescent="0.15">
      <c r="A46" s="31" t="str">
        <f>HYPERLINK("https://community.topcoder.com/stat?c=problem_statement&amp;pm=10823&amp;rd=14151","LateProfessor")</f>
        <v>LateProfessor</v>
      </c>
      <c r="B46" s="19" t="s">
        <v>397</v>
      </c>
      <c r="C46" s="5"/>
      <c r="D46" s="7"/>
      <c r="E46" s="7"/>
      <c r="F46" s="7"/>
      <c r="G46" s="7"/>
      <c r="H46" s="12">
        <f t="shared" si="0"/>
        <v>0</v>
      </c>
      <c r="I46" s="7"/>
      <c r="J46" s="7"/>
    </row>
    <row r="47" spans="1:10" ht="13" x14ac:dyDescent="0.15">
      <c r="A47" s="31" t="str">
        <f>HYPERLINK("https://community.topcoder.com/stat?c=problem_statement&amp;pm=12314&amp;rd=15183","ICPCBalloons")</f>
        <v>ICPCBalloons</v>
      </c>
      <c r="B47" s="19" t="s">
        <v>400</v>
      </c>
      <c r="C47" s="5"/>
      <c r="D47" s="7"/>
      <c r="E47" s="7"/>
      <c r="F47" s="7"/>
      <c r="G47" s="7"/>
      <c r="H47" s="12">
        <f t="shared" si="0"/>
        <v>0</v>
      </c>
      <c r="I47" s="7"/>
      <c r="J47" s="7"/>
    </row>
    <row r="48" spans="1:10" ht="13" x14ac:dyDescent="0.15">
      <c r="A48" s="31" t="str">
        <f>HYPERLINK("https://community.topcoder.com/stat?c=problem_statement&amp;pm=12146&amp;rd=15174","FoxPaintingBalls")</f>
        <v>FoxPaintingBalls</v>
      </c>
      <c r="B48" s="19" t="s">
        <v>402</v>
      </c>
      <c r="C48" s="5"/>
      <c r="D48" s="7"/>
      <c r="E48" s="7"/>
      <c r="F48" s="7"/>
      <c r="G48" s="7"/>
      <c r="H48" s="12">
        <f t="shared" si="0"/>
        <v>0</v>
      </c>
      <c r="I48" s="7"/>
      <c r="J48" s="7"/>
    </row>
    <row r="49" spans="1:10" ht="13" x14ac:dyDescent="0.15">
      <c r="A49" s="31" t="str">
        <f>HYPERLINK("https://community.topcoder.com/stat?c=problem_statement&amp;pm=11774&amp;rd=14724","NoRepeatPlaylist")</f>
        <v>NoRepeatPlaylist</v>
      </c>
      <c r="B49" s="19" t="s">
        <v>404</v>
      </c>
      <c r="C49" s="5"/>
      <c r="D49" s="7"/>
      <c r="E49" s="7"/>
      <c r="F49" s="7"/>
      <c r="G49" s="7"/>
      <c r="H49" s="12">
        <f t="shared" si="0"/>
        <v>0</v>
      </c>
      <c r="I49" s="7"/>
      <c r="J49" s="7"/>
    </row>
    <row r="50" spans="1:10" ht="13" x14ac:dyDescent="0.15">
      <c r="A50" s="31" t="str">
        <f>HYPERLINK("https://community.topcoder.com/stat?c=problem_statement&amp;pm=12296&amp;rd=15182","TomekPhone")</f>
        <v>TomekPhone</v>
      </c>
      <c r="B50" s="19" t="s">
        <v>406</v>
      </c>
      <c r="C50" s="5"/>
      <c r="D50" s="7"/>
      <c r="E50" s="7"/>
      <c r="F50" s="7"/>
      <c r="G50" s="7"/>
      <c r="H50" s="12">
        <f t="shared" si="0"/>
        <v>0</v>
      </c>
      <c r="I50" s="7"/>
      <c r="J50" s="7"/>
    </row>
    <row r="51" spans="1:10" ht="13" x14ac:dyDescent="0.15">
      <c r="A51" s="34" t="str">
        <f>HYPERLINK("https://community.topcoder.com/stat?c=problem_statement&amp;pm=11842&amp;rd=14732","ImportantSequence")</f>
        <v>ImportantSequence</v>
      </c>
      <c r="B51" s="27" t="s">
        <v>409</v>
      </c>
      <c r="C51" s="5"/>
      <c r="D51" s="7"/>
      <c r="E51" s="7"/>
      <c r="F51" s="7"/>
      <c r="G51" s="7"/>
      <c r="H51" s="12">
        <f t="shared" si="0"/>
        <v>0</v>
      </c>
      <c r="I51" s="7"/>
      <c r="J51" s="5"/>
    </row>
    <row r="52" spans="1:10" ht="13" x14ac:dyDescent="0.15">
      <c r="A52" s="34" t="str">
        <f>HYPERLINK("https://community.topcoder.com/stat?c=problem_statement&amp;pm=7716&amp;rd=10768","BrokenButtons")</f>
        <v>BrokenButtons</v>
      </c>
      <c r="B52" s="27" t="s">
        <v>410</v>
      </c>
      <c r="C52" s="5"/>
      <c r="D52" s="7"/>
      <c r="E52" s="7"/>
      <c r="F52" s="7"/>
      <c r="G52" s="7"/>
      <c r="H52" s="12">
        <f t="shared" si="0"/>
        <v>0</v>
      </c>
      <c r="I52" s="7"/>
      <c r="J52" s="5"/>
    </row>
    <row r="53" spans="1:10" ht="13" x14ac:dyDescent="0.15">
      <c r="A53" s="31" t="str">
        <f>HYPERLINK("https://community.topcoder.com/stat?c=problem_statement&amp;pm=12201&amp;rd=15181","HyperKnight")</f>
        <v>HyperKnight</v>
      </c>
      <c r="B53" s="19" t="s">
        <v>411</v>
      </c>
      <c r="C53" s="5"/>
      <c r="D53" s="7"/>
      <c r="E53" s="7"/>
      <c r="F53" s="7"/>
      <c r="G53" s="7"/>
      <c r="H53" s="12">
        <f t="shared" si="0"/>
        <v>0</v>
      </c>
      <c r="I53" s="7"/>
      <c r="J53" s="7"/>
    </row>
    <row r="54" spans="1:10" ht="13" x14ac:dyDescent="0.15">
      <c r="A54" s="31" t="str">
        <f>HYPERLINK("https://community.topcoder.com/stat?c=problem_statement&amp;pm=9976&amp;rd=13514","TheTower")</f>
        <v>TheTower</v>
      </c>
      <c r="B54" s="19" t="s">
        <v>413</v>
      </c>
      <c r="C54" s="5"/>
      <c r="D54" s="7"/>
      <c r="E54" s="7"/>
      <c r="F54" s="7"/>
      <c r="G54" s="7"/>
      <c r="H54" s="12">
        <f t="shared" si="0"/>
        <v>0</v>
      </c>
      <c r="I54" s="7"/>
      <c r="J54" s="7"/>
    </row>
    <row r="55" spans="1:10" ht="13" x14ac:dyDescent="0.15">
      <c r="A55" s="5"/>
      <c r="B55" s="5"/>
      <c r="C55" s="5"/>
      <c r="D55" s="7"/>
      <c r="E55" s="7"/>
      <c r="F55" s="7"/>
      <c r="G55" s="7"/>
      <c r="H55" s="12">
        <f t="shared" si="0"/>
        <v>0</v>
      </c>
      <c r="I55" s="7"/>
      <c r="J55" s="14" t="str">
        <f>HYPERLINK("https://www.youtube.com/watch?v=TP8QXP6PBqM","Watch - Thinking - Observations Discovery ")</f>
        <v xml:space="preserve">Watch - Thinking - Observations Discovery </v>
      </c>
    </row>
    <row r="56" spans="1:10" ht="13" x14ac:dyDescent="0.15">
      <c r="A56" s="5"/>
      <c r="B56" s="5"/>
      <c r="C56" s="5"/>
      <c r="D56" s="7"/>
      <c r="E56" s="7"/>
      <c r="F56" s="7"/>
      <c r="G56" s="7"/>
      <c r="H56" s="12">
        <f t="shared" si="0"/>
        <v>0</v>
      </c>
      <c r="I56" s="7"/>
      <c r="J56" s="14" t="str">
        <f>HYPERLINK("https://www.youtube.com/watch?v=fT4JZU5hO58","Watch - Thinking - Misc - Solution Verification - Implementation")</f>
        <v>Watch - Thinking - Misc - Solution Verification - Implementation</v>
      </c>
    </row>
    <row r="57" spans="1:10" ht="13" x14ac:dyDescent="0.15">
      <c r="A57" s="5"/>
      <c r="B57" s="5"/>
      <c r="C57" s="5"/>
      <c r="D57" s="7"/>
      <c r="E57" s="7"/>
      <c r="F57" s="7"/>
      <c r="G57" s="7"/>
      <c r="H57" s="12">
        <f t="shared" si="0"/>
        <v>0</v>
      </c>
      <c r="I57" s="7"/>
      <c r="J57" s="14" t="str">
        <f>HYPERLINK("https://www.youtube.com/watch?v=uKSLJw0ZUd8","Watch - Thinking - Error Inspection - History - Contest Strategy ")</f>
        <v xml:space="preserve">Watch - Thinking - Error Inspection - History - Contest Strategy </v>
      </c>
    </row>
    <row r="58" spans="1:10" ht="13" x14ac:dyDescent="0.15">
      <c r="A58" s="5"/>
      <c r="B58" s="5"/>
      <c r="C58" s="5"/>
      <c r="D58" s="7"/>
      <c r="E58" s="7"/>
      <c r="F58" s="7"/>
      <c r="G58" s="7"/>
      <c r="H58" s="12">
        <f t="shared" si="0"/>
        <v>0</v>
      </c>
      <c r="I58" s="7"/>
      <c r="J58" s="14" t="str">
        <f>HYPERLINK("https://www.youtube.com/watch?v=f_lt366qTZc","Watch - Thinking - Let's Put All Together ")</f>
        <v xml:space="preserve">Watch - Thinking - Let's Put All Together </v>
      </c>
    </row>
    <row r="59" spans="1:10" ht="13" x14ac:dyDescent="0.15">
      <c r="A59" s="31" t="str">
        <f>HYPERLINK("https://community.topcoder.com/stat?c=problem_statement&amp;pm=11197&amp;rd=14241","TheBoringStoreDivTwo")</f>
        <v>TheBoringStoreDivTwo</v>
      </c>
      <c r="B59" s="19" t="s">
        <v>419</v>
      </c>
      <c r="C59" s="5"/>
      <c r="D59" s="7"/>
      <c r="E59" s="7"/>
      <c r="F59" s="7"/>
      <c r="G59" s="7"/>
      <c r="H59" s="12">
        <f t="shared" si="0"/>
        <v>0</v>
      </c>
      <c r="I59" s="7"/>
      <c r="J59" s="7"/>
    </row>
    <row r="60" spans="1:10" ht="13" x14ac:dyDescent="0.15">
      <c r="A60" s="31" t="str">
        <f>HYPERLINK("https://community.topcoder.com/stat?c=problem_statement&amp;pm=12812&amp;rd=15706","AstronomicalRecordsEasy")</f>
        <v>AstronomicalRecordsEasy</v>
      </c>
      <c r="B60" s="19" t="s">
        <v>421</v>
      </c>
      <c r="C60" s="5"/>
      <c r="D60" s="7"/>
      <c r="E60" s="7"/>
      <c r="F60" s="7"/>
      <c r="G60" s="7"/>
      <c r="H60" s="12">
        <f t="shared" si="0"/>
        <v>0</v>
      </c>
      <c r="I60" s="7"/>
      <c r="J60" s="7"/>
    </row>
    <row r="61" spans="1:10" ht="13" x14ac:dyDescent="0.15">
      <c r="A61" s="31" t="str">
        <f>HYPERLINK("https://community.topcoder.com/stat?c=problem_statement&amp;pm=10618&amp;rd=13902","TheCardShufflingDivTwo")</f>
        <v>TheCardShufflingDivTwo</v>
      </c>
      <c r="B61" s="19" t="s">
        <v>424</v>
      </c>
      <c r="C61" s="5"/>
      <c r="D61" s="7"/>
      <c r="E61" s="7"/>
      <c r="F61" s="7"/>
      <c r="G61" s="7"/>
      <c r="H61" s="12">
        <f t="shared" si="0"/>
        <v>0</v>
      </c>
      <c r="I61" s="7"/>
      <c r="J61" s="7"/>
    </row>
    <row r="62" spans="1:10" ht="13" x14ac:dyDescent="0.15">
      <c r="A62" s="31" t="str">
        <f>HYPERLINK("https://community.topcoder.com/stat?c=problem_statement&amp;pm=10547&amp;rd=13903","OddDivisors")</f>
        <v>OddDivisors</v>
      </c>
      <c r="B62" s="19" t="s">
        <v>426</v>
      </c>
      <c r="C62" s="5"/>
      <c r="D62" s="7"/>
      <c r="E62" s="7"/>
      <c r="F62" s="7"/>
      <c r="G62" s="7"/>
      <c r="H62" s="12">
        <f t="shared" si="0"/>
        <v>0</v>
      </c>
      <c r="I62" s="7"/>
      <c r="J62" s="7"/>
    </row>
    <row r="63" spans="1:10" ht="13" x14ac:dyDescent="0.15">
      <c r="A63" s="34" t="str">
        <f>HYPERLINK("https://community.topcoder.com/stat?c=problem_statement&amp;pm=11535&amp;rd=14542","CompositeSmash")</f>
        <v>CompositeSmash</v>
      </c>
      <c r="B63" s="27" t="s">
        <v>427</v>
      </c>
      <c r="C63" s="5"/>
      <c r="D63" s="7"/>
      <c r="E63" s="7"/>
      <c r="F63" s="7"/>
      <c r="G63" s="7"/>
      <c r="H63" s="12">
        <f t="shared" si="0"/>
        <v>0</v>
      </c>
      <c r="I63" s="7"/>
      <c r="J63" s="5"/>
    </row>
    <row r="64" spans="1:10" ht="13" x14ac:dyDescent="0.15">
      <c r="A64" s="34" t="str">
        <f>HYPERLINK("https://community.topcoder.com/stat?c=problem_statement&amp;pm=12575&amp;rd=15500","EelAndRabbit")</f>
        <v>EelAndRabbit</v>
      </c>
      <c r="B64" s="27" t="s">
        <v>428</v>
      </c>
      <c r="C64" s="5"/>
      <c r="D64" s="7"/>
      <c r="E64" s="7"/>
      <c r="F64" s="7"/>
      <c r="G64" s="7"/>
      <c r="H64" s="12">
        <f t="shared" si="0"/>
        <v>0</v>
      </c>
      <c r="I64" s="7"/>
      <c r="J64" s="5"/>
    </row>
    <row r="65" spans="1:10" ht="13" x14ac:dyDescent="0.15">
      <c r="A65" s="31" t="str">
        <f>HYPERLINK("https://community.topcoder.com/stat?c=problem_statement&amp;pm=12610&amp;rd=15503","IDNumberVerification")</f>
        <v>IDNumberVerification</v>
      </c>
      <c r="B65" s="19" t="s">
        <v>430</v>
      </c>
      <c r="C65" s="5"/>
      <c r="D65" s="7"/>
      <c r="E65" s="7"/>
      <c r="F65" s="7"/>
      <c r="G65" s="7"/>
      <c r="H65" s="12">
        <f t="shared" si="0"/>
        <v>0</v>
      </c>
      <c r="I65" s="7"/>
      <c r="J65" s="7"/>
    </row>
    <row r="66" spans="1:10" ht="13" x14ac:dyDescent="0.15">
      <c r="A66" s="31" t="str">
        <f>HYPERLINK("https://community.topcoder.com/stat?c=problem_statement&amp;pm=11485&amp;rd=14536","Zoo")</f>
        <v>Zoo</v>
      </c>
      <c r="B66" s="19" t="s">
        <v>432</v>
      </c>
      <c r="C66" s="5"/>
      <c r="D66" s="7"/>
      <c r="E66" s="7"/>
      <c r="F66" s="7"/>
      <c r="G66" s="7"/>
      <c r="H66" s="12">
        <f t="shared" si="0"/>
        <v>0</v>
      </c>
      <c r="I66" s="7"/>
      <c r="J66" s="7"/>
    </row>
    <row r="67" spans="1:10" ht="13" x14ac:dyDescent="0.15">
      <c r="A67" s="31" t="str">
        <f>HYPERLINK("https://community.topcoder.com/stat?c=problem_statement&amp;pm=11295&amp;rd=14537","MysteriousRestaurant")</f>
        <v>MysteriousRestaurant</v>
      </c>
      <c r="B67" s="19" t="s">
        <v>434</v>
      </c>
      <c r="C67" s="5"/>
      <c r="D67" s="7"/>
      <c r="E67" s="7"/>
      <c r="F67" s="7"/>
      <c r="G67" s="7"/>
      <c r="H67" s="12">
        <f t="shared" si="0"/>
        <v>0</v>
      </c>
      <c r="I67" s="7"/>
      <c r="J67" s="7"/>
    </row>
    <row r="68" spans="1:10" ht="13" x14ac:dyDescent="0.15">
      <c r="A68" s="31" t="str">
        <f>HYPERLINK("https://community.topcoder.com/stat?c=problem_statement&amp;pm=11665&amp;rd=14550","DropCoins")</f>
        <v>DropCoins</v>
      </c>
      <c r="B68" s="19" t="s">
        <v>436</v>
      </c>
      <c r="C68" s="5"/>
      <c r="D68" s="7"/>
      <c r="E68" s="7"/>
      <c r="F68" s="7"/>
      <c r="G68" s="7"/>
      <c r="H68" s="12">
        <f t="shared" si="0"/>
        <v>0</v>
      </c>
      <c r="I68" s="7"/>
      <c r="J68" s="7"/>
    </row>
    <row r="69" spans="1:10" ht="13" x14ac:dyDescent="0.15">
      <c r="A69" s="5"/>
      <c r="B69" s="5"/>
      <c r="C69" s="5"/>
      <c r="D69" s="7"/>
      <c r="E69" s="7"/>
      <c r="F69" s="7"/>
      <c r="G69" s="7"/>
      <c r="H69" s="12">
        <f t="shared" si="0"/>
        <v>0</v>
      </c>
      <c r="I69" s="7"/>
      <c r="J69" s="35" t="str">
        <f>HYPERLINK("https://www.youtube.com/watch?v=71lp43FM7xU","Watch - Bipartite Matching")</f>
        <v>Watch - Bipartite Matching</v>
      </c>
    </row>
    <row r="70" spans="1:10" ht="13" x14ac:dyDescent="0.15">
      <c r="A70" s="5"/>
      <c r="B70" s="5"/>
      <c r="C70" s="5"/>
      <c r="D70" s="7"/>
      <c r="E70" s="7"/>
      <c r="F70" s="7"/>
      <c r="G70" s="7"/>
      <c r="H70" s="12">
        <f t="shared" si="0"/>
        <v>0</v>
      </c>
      <c r="I70" s="7"/>
      <c r="J70" s="16" t="str">
        <f>HYPERLINK("https://www.youtube.com/watch?v=p8MFuDxvnuo","Watch - Euler Tour")</f>
        <v>Watch - Euler Tour</v>
      </c>
    </row>
    <row r="71" spans="1:10" ht="13" x14ac:dyDescent="0.15">
      <c r="A71" s="31" t="str">
        <f>HYPERLINK("https://community.topcoder.com/stat?c=problem_statement&amp;pm=11464&amp;rd=14439","TheLuckyGameDivTwo")</f>
        <v>TheLuckyGameDivTwo</v>
      </c>
      <c r="B71" s="19" t="s">
        <v>440</v>
      </c>
      <c r="C71" s="5"/>
      <c r="D71" s="7"/>
      <c r="E71" s="7"/>
      <c r="F71" s="7"/>
      <c r="G71" s="7"/>
      <c r="H71" s="12">
        <f t="shared" si="0"/>
        <v>0</v>
      </c>
      <c r="I71" s="7"/>
      <c r="J71" s="7"/>
    </row>
    <row r="72" spans="1:10" ht="13" x14ac:dyDescent="0.15">
      <c r="A72" s="31" t="str">
        <f>HYPERLINK("https://community.topcoder.com/stat?c=problem_statement&amp;pm=11951&amp;rd=14736","BoardSplitting")</f>
        <v>BoardSplitting</v>
      </c>
      <c r="B72" s="19" t="s">
        <v>442</v>
      </c>
      <c r="C72" s="5"/>
      <c r="D72" s="7"/>
      <c r="E72" s="7"/>
      <c r="F72" s="7"/>
      <c r="G72" s="7"/>
      <c r="H72" s="12">
        <f t="shared" si="0"/>
        <v>0</v>
      </c>
      <c r="I72" s="7"/>
      <c r="J72" s="7"/>
    </row>
    <row r="73" spans="1:10" ht="13" x14ac:dyDescent="0.15">
      <c r="A73" s="31" t="str">
        <f>HYPERLINK("https://community.topcoder.com/stat?c=problem_statement&amp;pm=12928&amp;rd=15820","PilingRectsDiv2")</f>
        <v>PilingRectsDiv2</v>
      </c>
      <c r="B73" s="19" t="s">
        <v>444</v>
      </c>
      <c r="C73" s="5"/>
      <c r="D73" s="7"/>
      <c r="E73" s="7"/>
      <c r="F73" s="7"/>
      <c r="G73" s="7"/>
      <c r="H73" s="12">
        <f t="shared" si="0"/>
        <v>0</v>
      </c>
      <c r="I73" s="7"/>
      <c r="J73" s="7"/>
    </row>
    <row r="74" spans="1:10" ht="13" x14ac:dyDescent="0.15">
      <c r="A74" s="31" t="str">
        <f>HYPERLINK("https://community.topcoder.com/stat?c=problem_statement&amp;pm=11910&amp;rd=14735","EllysXors")</f>
        <v>EllysXors</v>
      </c>
      <c r="B74" s="19" t="s">
        <v>445</v>
      </c>
      <c r="C74" s="5"/>
      <c r="D74" s="7"/>
      <c r="E74" s="7"/>
      <c r="F74" s="7"/>
      <c r="G74" s="7"/>
      <c r="H74" s="12">
        <f t="shared" si="0"/>
        <v>0</v>
      </c>
      <c r="I74" s="7"/>
      <c r="J74" s="7"/>
    </row>
    <row r="75" spans="1:10" ht="13" x14ac:dyDescent="0.15">
      <c r="A75" s="34" t="str">
        <f>HYPERLINK("https://community.topcoder.com/stat?c=problem_statement&amp;pm=12707&amp;rd=15700","GUMIAndSongsDiv2")</f>
        <v>GUMIAndSongsDiv2</v>
      </c>
      <c r="B75" s="27" t="s">
        <v>447</v>
      </c>
      <c r="C75" s="5"/>
      <c r="D75" s="7"/>
      <c r="E75" s="7"/>
      <c r="F75" s="7"/>
      <c r="G75" s="7"/>
      <c r="H75" s="12">
        <f t="shared" si="0"/>
        <v>0</v>
      </c>
      <c r="I75" s="7"/>
      <c r="J75" s="5"/>
    </row>
    <row r="76" spans="1:10" ht="13" x14ac:dyDescent="0.15">
      <c r="A76" s="31" t="str">
        <f>HYPERLINK("https://community.topcoder.com/stat?c=problem_statement&amp;pm=9823&amp;rd=12181","OrderedSuperString")</f>
        <v>OrderedSuperString</v>
      </c>
      <c r="B76" s="19" t="s">
        <v>449</v>
      </c>
      <c r="C76" s="5"/>
      <c r="D76" s="7"/>
      <c r="E76" s="7"/>
      <c r="F76" s="7"/>
      <c r="G76" s="7"/>
      <c r="H76" s="12">
        <f t="shared" si="0"/>
        <v>0</v>
      </c>
      <c r="I76" s="7"/>
      <c r="J76" s="7"/>
    </row>
    <row r="77" spans="1:10" ht="13" x14ac:dyDescent="0.15">
      <c r="A77" s="31" t="str">
        <f>HYPERLINK("https://community.topcoder.com/stat?c=problem_statement&amp;pm=11502&amp;rd=14538","YetAnotherIncredibleMachine")</f>
        <v>YetAnotherIncredibleMachine</v>
      </c>
      <c r="B77" s="19" t="s">
        <v>450</v>
      </c>
      <c r="C77" s="5"/>
      <c r="D77" s="7"/>
      <c r="E77" s="7"/>
      <c r="F77" s="7"/>
      <c r="G77" s="7"/>
      <c r="H77" s="12">
        <f t="shared" si="0"/>
        <v>0</v>
      </c>
      <c r="I77" s="7"/>
      <c r="J77" s="7"/>
    </row>
    <row r="78" spans="1:10" ht="13" x14ac:dyDescent="0.15">
      <c r="A78" s="31" t="str">
        <f>HYPERLINK("https://community.topcoder.com/stat?c=problem_statement&amp;pm=12732&amp;rd=15701","GearsDiv2")</f>
        <v>GearsDiv2</v>
      </c>
      <c r="B78" s="19" t="s">
        <v>452</v>
      </c>
      <c r="C78" s="5"/>
      <c r="D78" s="7"/>
      <c r="E78" s="7"/>
      <c r="F78" s="7"/>
      <c r="G78" s="7"/>
      <c r="H78" s="12">
        <f t="shared" si="0"/>
        <v>0</v>
      </c>
      <c r="I78" s="7"/>
      <c r="J78" s="7"/>
    </row>
    <row r="79" spans="1:10" ht="13" x14ac:dyDescent="0.15">
      <c r="A79" s="31" t="str">
        <f>HYPERLINK("https://community.topcoder.com/stat?c=problem_statement&amp;pm=12613&amp;rd=15696","Egalitarianism")</f>
        <v>Egalitarianism</v>
      </c>
      <c r="B79" s="19" t="s">
        <v>454</v>
      </c>
      <c r="C79" s="5"/>
      <c r="D79" s="7"/>
      <c r="E79" s="7"/>
      <c r="F79" s="7"/>
      <c r="G79" s="7"/>
      <c r="H79" s="12">
        <f t="shared" si="0"/>
        <v>0</v>
      </c>
      <c r="I79" s="7"/>
      <c r="J79" s="7"/>
    </row>
    <row r="80" spans="1:10" ht="13" x14ac:dyDescent="0.15">
      <c r="A80" s="31" t="str">
        <f>HYPERLINK("https://community.topcoder.com/stat?c=problem_statement&amp;pm=11315&amp;rd=14436","CubeStickers")</f>
        <v>CubeStickers</v>
      </c>
      <c r="B80" s="19" t="s">
        <v>456</v>
      </c>
      <c r="C80" s="5"/>
      <c r="D80" s="7"/>
      <c r="E80" s="7"/>
      <c r="F80" s="7"/>
      <c r="G80" s="7"/>
      <c r="H80" s="12">
        <f t="shared" si="0"/>
        <v>0</v>
      </c>
      <c r="I80" s="7"/>
      <c r="J80" s="7"/>
    </row>
    <row r="81" spans="1:10" ht="13" x14ac:dyDescent="0.15">
      <c r="A81" s="5"/>
      <c r="B81" s="5"/>
      <c r="C81" s="5"/>
      <c r="D81" s="7"/>
      <c r="E81" s="7"/>
      <c r="F81" s="7"/>
      <c r="G81" s="7"/>
      <c r="H81" s="12">
        <f t="shared" si="0"/>
        <v>0</v>
      </c>
      <c r="I81" s="7"/>
      <c r="J81" s="16" t="str">
        <f>HYPERLINK("https://www.youtube.com/watch?v=Z-1Z-1utYuI","Watch - Search Techniques - Ternary Search")</f>
        <v>Watch - Search Techniques - Ternary Search</v>
      </c>
    </row>
    <row r="82" spans="1:10" ht="13" x14ac:dyDescent="0.15">
      <c r="A82" s="5"/>
      <c r="B82" s="5"/>
      <c r="C82" s="5"/>
      <c r="D82" s="7"/>
      <c r="E82" s="7"/>
      <c r="F82" s="7"/>
      <c r="G82" s="7"/>
      <c r="H82" s="12">
        <f t="shared" si="0"/>
        <v>0</v>
      </c>
      <c r="I82" s="7"/>
      <c r="J82" s="16" t="str">
        <f>HYPERLINK("https://www.youtube.com/watch?v=62oWdABsCRc","Watch - Search Techniques - Meet in Middle")</f>
        <v>Watch - Search Techniques - Meet in Middle</v>
      </c>
    </row>
    <row r="83" spans="1:10" ht="13" x14ac:dyDescent="0.15">
      <c r="A83" s="5"/>
      <c r="B83" s="5"/>
      <c r="C83" s="5"/>
      <c r="D83" s="7"/>
      <c r="E83" s="7"/>
      <c r="F83" s="7"/>
      <c r="G83" s="7"/>
      <c r="H83" s="12">
        <f t="shared" si="0"/>
        <v>0</v>
      </c>
      <c r="I83" s="7"/>
      <c r="J83" s="16" t="str">
        <f>HYPERLINK("https://www.youtube.com/watch?v=bXbm6UUzqB8","Watch - Search Techniques - Branch and Bound")</f>
        <v>Watch - Search Techniques - Branch and Bound</v>
      </c>
    </row>
    <row r="84" spans="1:10" ht="13" x14ac:dyDescent="0.15">
      <c r="A84" s="31" t="str">
        <f>HYPERLINK("https://community.topcoder.com/stat?c=problem_statement&amp;pm=11292&amp;rd=14422","StonesGame")</f>
        <v>StonesGame</v>
      </c>
      <c r="B84" s="19" t="s">
        <v>459</v>
      </c>
      <c r="C84" s="5"/>
      <c r="D84" s="7"/>
      <c r="E84" s="7"/>
      <c r="F84" s="7"/>
      <c r="G84" s="7"/>
      <c r="H84" s="12">
        <f t="shared" si="0"/>
        <v>0</v>
      </c>
      <c r="I84" s="7"/>
      <c r="J84" s="7"/>
    </row>
    <row r="85" spans="1:10" ht="13" x14ac:dyDescent="0.15">
      <c r="A85" s="31" t="str">
        <f>HYPERLINK("https://community.topcoder.com/stat?c=problem_statement&amp;pm=11835&amp;rd=15180","Stamp")</f>
        <v>Stamp</v>
      </c>
      <c r="B85" s="19" t="s">
        <v>461</v>
      </c>
      <c r="C85" s="5"/>
      <c r="D85" s="7"/>
      <c r="E85" s="7"/>
      <c r="F85" s="7"/>
      <c r="G85" s="7"/>
      <c r="H85" s="12">
        <f t="shared" si="0"/>
        <v>0</v>
      </c>
      <c r="I85" s="7"/>
      <c r="J85" s="5"/>
    </row>
    <row r="86" spans="1:10" ht="13" x14ac:dyDescent="0.15">
      <c r="A86" s="31" t="str">
        <f>HYPERLINK("https://community.topcoder.com/stat?c=problem_statement&amp;pm=10589&amp;rd=14147","AgeEncoding")</f>
        <v>AgeEncoding</v>
      </c>
      <c r="B86" s="19" t="s">
        <v>463</v>
      </c>
      <c r="C86" s="5"/>
      <c r="D86" s="7"/>
      <c r="E86" s="7"/>
      <c r="F86" s="7"/>
      <c r="G86" s="7"/>
      <c r="H86" s="12">
        <f t="shared" si="0"/>
        <v>0</v>
      </c>
      <c r="I86" s="7"/>
      <c r="J86" s="5"/>
    </row>
    <row r="87" spans="1:10" ht="13" x14ac:dyDescent="0.15">
      <c r="A87" s="31" t="str">
        <f>HYPERLINK("https://community.topcoder.com/stat?c=problem_statement&amp;pm=7901&amp;rd=10765","AverageProblem")</f>
        <v>AverageProblem</v>
      </c>
      <c r="B87" s="19" t="s">
        <v>464</v>
      </c>
      <c r="C87" s="5"/>
      <c r="D87" s="7"/>
      <c r="E87" s="7"/>
      <c r="F87" s="7"/>
      <c r="G87" s="7"/>
      <c r="H87" s="12">
        <f t="shared" si="0"/>
        <v>0</v>
      </c>
      <c r="I87" s="7"/>
      <c r="J87" s="5"/>
    </row>
    <row r="88" spans="1:10" ht="13" x14ac:dyDescent="0.15">
      <c r="A88" s="31" t="str">
        <f>HYPERLINK("https://community.topcoder.com/stat?c=problem_statement&amp;pm=11364&amp;rd=15037","FoxAndGCDLCM")</f>
        <v>FoxAndGCDLCM</v>
      </c>
      <c r="B88" s="19" t="s">
        <v>466</v>
      </c>
      <c r="C88" s="5"/>
      <c r="D88" s="7"/>
      <c r="E88" s="7"/>
      <c r="F88" s="7"/>
      <c r="G88" s="7"/>
      <c r="H88" s="12">
        <f t="shared" si="0"/>
        <v>0</v>
      </c>
      <c r="I88" s="7"/>
      <c r="J88" s="5"/>
    </row>
    <row r="89" spans="1:10" ht="13" x14ac:dyDescent="0.15">
      <c r="A89" s="31" t="str">
        <f>HYPERLINK("https://community.topcoder.com/stat?c=problem_statement&amp;pm=12870&amp;rd=15711","BigFatInteger2")</f>
        <v>BigFatInteger2</v>
      </c>
      <c r="B89" s="19" t="s">
        <v>468</v>
      </c>
      <c r="C89" s="5"/>
      <c r="D89" s="7"/>
      <c r="E89" s="7"/>
      <c r="F89" s="7"/>
      <c r="G89" s="7"/>
      <c r="H89" s="12">
        <f t="shared" si="0"/>
        <v>0</v>
      </c>
      <c r="I89" s="7"/>
      <c r="J89" s="5"/>
    </row>
    <row r="90" spans="1:10" ht="13" x14ac:dyDescent="0.15">
      <c r="A90" s="31" t="str">
        <f>HYPERLINK("https://community.topcoder.com/stat?c=problem_statement&amp;pm=12743&amp;rd=15702","FoxAndGo")</f>
        <v>FoxAndGo</v>
      </c>
      <c r="B90" s="19" t="s">
        <v>470</v>
      </c>
      <c r="C90" s="5"/>
      <c r="D90" s="7"/>
      <c r="E90" s="7"/>
      <c r="F90" s="7"/>
      <c r="G90" s="7"/>
      <c r="H90" s="12">
        <f t="shared" si="0"/>
        <v>0</v>
      </c>
      <c r="I90" s="7"/>
      <c r="J90" s="5"/>
    </row>
    <row r="91" spans="1:10" ht="13" x14ac:dyDescent="0.15">
      <c r="A91" s="31" t="str">
        <f>HYPERLINK("https://community.topcoder.com/stat?c=problem_statement&amp;pm=12355&amp;rd=15486","PenguinPals")</f>
        <v>PenguinPals</v>
      </c>
      <c r="B91" s="19" t="s">
        <v>471</v>
      </c>
      <c r="C91" s="5"/>
      <c r="D91" s="7"/>
      <c r="E91" s="7"/>
      <c r="F91" s="7"/>
      <c r="G91" s="7"/>
      <c r="H91" s="12">
        <f t="shared" si="0"/>
        <v>0</v>
      </c>
      <c r="I91" s="7"/>
      <c r="J91" s="5"/>
    </row>
    <row r="92" spans="1:10" ht="13" x14ac:dyDescent="0.15">
      <c r="A92" s="31" t="str">
        <f>HYPERLINK("https://community.topcoder.com/stat?c=problem_statement&amp;pm=12137&amp;rd=15173","ColorfulChocolates")</f>
        <v>ColorfulChocolates</v>
      </c>
      <c r="B92" s="19" t="s">
        <v>473</v>
      </c>
      <c r="C92" s="5"/>
      <c r="D92" s="7"/>
      <c r="E92" s="7"/>
      <c r="F92" s="7"/>
      <c r="G92" s="7"/>
      <c r="H92" s="12">
        <f t="shared" si="0"/>
        <v>0</v>
      </c>
      <c r="I92" s="7"/>
      <c r="J92" s="5"/>
    </row>
    <row r="93" spans="1:10" ht="13" x14ac:dyDescent="0.15">
      <c r="A93" s="31" t="str">
        <f>HYPERLINK("https://community.topcoder.com/stat?c=problem_statement&amp;pm=12523&amp;rd=15499","UndoHistory")</f>
        <v>UndoHistory</v>
      </c>
      <c r="B93" s="19" t="s">
        <v>475</v>
      </c>
      <c r="C93" s="5"/>
      <c r="D93" s="7"/>
      <c r="E93" s="7"/>
      <c r="F93" s="7"/>
      <c r="G93" s="7"/>
      <c r="H93" s="12">
        <f t="shared" si="0"/>
        <v>0</v>
      </c>
      <c r="I93" s="7"/>
      <c r="J93" s="5"/>
    </row>
    <row r="94" spans="1:10" ht="13" x14ac:dyDescent="0.15">
      <c r="A94" s="5"/>
      <c r="B94" s="5"/>
      <c r="C94" s="5"/>
      <c r="D94" s="7"/>
      <c r="E94" s="7"/>
      <c r="F94" s="7"/>
      <c r="G94" s="7"/>
      <c r="H94" s="12">
        <f t="shared" si="0"/>
        <v>0</v>
      </c>
      <c r="I94" s="7"/>
      <c r="J94" s="10" t="str">
        <f>HYPERLINK("https://www.youtube.com/watch?v=8aATaY9sdeE","Watch - Dynamic Programming - Masks 1")</f>
        <v>Watch - Dynamic Programming - Masks 1</v>
      </c>
    </row>
    <row r="95" spans="1:10" ht="13" x14ac:dyDescent="0.15">
      <c r="A95" s="5"/>
      <c r="B95" s="5"/>
      <c r="C95" s="5"/>
      <c r="D95" s="7"/>
      <c r="E95" s="7"/>
      <c r="F95" s="7"/>
      <c r="G95" s="7"/>
      <c r="H95" s="12">
        <f t="shared" si="0"/>
        <v>0</v>
      </c>
      <c r="I95" s="7"/>
      <c r="J95" s="10" t="str">
        <f>HYPERLINK("https://www.youtube.com/watch?v=AIjk-KVgjQo","Watch - Dynamic Programming - Masks 2")</f>
        <v>Watch - Dynamic Programming - Masks 2</v>
      </c>
    </row>
    <row r="96" spans="1:10" ht="13" x14ac:dyDescent="0.15">
      <c r="A96" s="10" t="s">
        <v>477</v>
      </c>
      <c r="B96" s="10" t="str">
        <f>HYPERLINK("http://codeforces.com/problemset/problem/75/C","CF75-D2-C")</f>
        <v>CF75-D2-C</v>
      </c>
      <c r="C96" s="5"/>
      <c r="D96" s="7"/>
      <c r="E96" s="7"/>
      <c r="F96" s="7"/>
      <c r="G96" s="7"/>
      <c r="H96" s="12">
        <f t="shared" si="0"/>
        <v>0</v>
      </c>
      <c r="I96" s="7"/>
      <c r="J96" s="5"/>
    </row>
    <row r="97" spans="1:10" ht="13" x14ac:dyDescent="0.15">
      <c r="A97" s="10" t="s">
        <v>479</v>
      </c>
      <c r="B97" s="10" t="str">
        <f>HYPERLINK("http://codeforces.com/problemset/problem/25/C","CF25-D2-C")</f>
        <v>CF25-D2-C</v>
      </c>
      <c r="C97" s="5"/>
      <c r="D97" s="7"/>
      <c r="E97" s="7"/>
      <c r="F97" s="7"/>
      <c r="G97" s="7"/>
      <c r="H97" s="12">
        <f t="shared" si="0"/>
        <v>0</v>
      </c>
      <c r="I97" s="7"/>
      <c r="J97" s="5"/>
    </row>
    <row r="98" spans="1:10" ht="13" x14ac:dyDescent="0.15">
      <c r="A98" s="21" t="s">
        <v>481</v>
      </c>
      <c r="B98" s="21" t="str">
        <f>HYPERLINK("http://codeforces.com/problemset/problem/509/C","CF509-D2-C")</f>
        <v>CF509-D2-C</v>
      </c>
      <c r="C98" s="5"/>
      <c r="D98" s="7"/>
      <c r="E98" s="7"/>
      <c r="F98" s="7"/>
      <c r="G98" s="7"/>
      <c r="H98" s="12">
        <f t="shared" si="0"/>
        <v>0</v>
      </c>
      <c r="I98" s="7"/>
      <c r="J98" s="5"/>
    </row>
    <row r="99" spans="1:10" ht="13" x14ac:dyDescent="0.15">
      <c r="A99" s="21" t="s">
        <v>483</v>
      </c>
      <c r="B99" s="21" t="str">
        <f>HYPERLINK("http://codeforces.com/problemset/problem/342/C","CF342-D2-C")</f>
        <v>CF342-D2-C</v>
      </c>
      <c r="C99" s="5"/>
      <c r="D99" s="7"/>
      <c r="E99" s="7"/>
      <c r="F99" s="7"/>
      <c r="G99" s="7"/>
      <c r="H99" s="12">
        <f t="shared" si="0"/>
        <v>0</v>
      </c>
      <c r="I99" s="7"/>
      <c r="J99" s="5"/>
    </row>
    <row r="100" spans="1:10" ht="13" x14ac:dyDescent="0.15">
      <c r="A100" s="10" t="s">
        <v>485</v>
      </c>
      <c r="B100" s="10" t="str">
        <f>HYPERLINK("http://codeforces.com/problemset/problem/253/C","CF253-D2-C")</f>
        <v>CF253-D2-C</v>
      </c>
      <c r="C100" s="5"/>
      <c r="D100" s="7"/>
      <c r="E100" s="7"/>
      <c r="F100" s="7"/>
      <c r="G100" s="7"/>
      <c r="H100" s="12">
        <f t="shared" si="0"/>
        <v>0</v>
      </c>
      <c r="I100" s="7"/>
      <c r="J100" s="5"/>
    </row>
    <row r="101" spans="1:10" ht="13" x14ac:dyDescent="0.15">
      <c r="A101" s="10" t="s">
        <v>487</v>
      </c>
      <c r="B101" s="10" t="str">
        <f>HYPERLINK("http://codeforces.com/problemset/problem/294/C","CF294-D2-C")</f>
        <v>CF294-D2-C</v>
      </c>
      <c r="C101" s="5"/>
      <c r="D101" s="7"/>
      <c r="E101" s="7"/>
      <c r="F101" s="7"/>
      <c r="G101" s="7"/>
      <c r="H101" s="12">
        <f t="shared" si="0"/>
        <v>0</v>
      </c>
      <c r="I101" s="7"/>
      <c r="J101" s="5"/>
    </row>
    <row r="102" spans="1:10" ht="13" x14ac:dyDescent="0.15">
      <c r="A102" s="10" t="s">
        <v>489</v>
      </c>
      <c r="B102" s="10" t="str">
        <f>HYPERLINK("http://codeforces.com/problemset/problem/118/C","CF118-D2-C")</f>
        <v>CF118-D2-C</v>
      </c>
      <c r="C102" s="5"/>
      <c r="D102" s="7"/>
      <c r="E102" s="7"/>
      <c r="F102" s="7"/>
      <c r="G102" s="7"/>
      <c r="H102" s="12">
        <f t="shared" si="0"/>
        <v>0</v>
      </c>
      <c r="I102" s="7"/>
      <c r="J102" s="5"/>
    </row>
    <row r="103" spans="1:10" ht="13" x14ac:dyDescent="0.15">
      <c r="A103" s="10" t="s">
        <v>491</v>
      </c>
      <c r="B103" s="10" t="str">
        <f>HYPERLINK("http://codeforces.com/problemset/problem/359/C","CF359-D2-C")</f>
        <v>CF359-D2-C</v>
      </c>
      <c r="C103" s="5"/>
      <c r="D103" s="7"/>
      <c r="E103" s="7"/>
      <c r="F103" s="7"/>
      <c r="G103" s="7"/>
      <c r="H103" s="12">
        <f t="shared" si="0"/>
        <v>0</v>
      </c>
      <c r="I103" s="7"/>
      <c r="J103" s="5"/>
    </row>
    <row r="104" spans="1:10" ht="13" x14ac:dyDescent="0.15">
      <c r="A104" s="10" t="s">
        <v>493</v>
      </c>
      <c r="B104" s="10" t="str">
        <f>HYPERLINK("http://codeforces.com/problemset/problem/141/C","CF141-D2-C")</f>
        <v>CF141-D2-C</v>
      </c>
      <c r="C104" s="5"/>
      <c r="D104" s="7"/>
      <c r="E104" s="7"/>
      <c r="F104" s="7"/>
      <c r="G104" s="7"/>
      <c r="H104" s="12">
        <f t="shared" si="0"/>
        <v>0</v>
      </c>
      <c r="I104" s="7"/>
      <c r="J104" s="5"/>
    </row>
    <row r="105" spans="1:10" ht="13" x14ac:dyDescent="0.15">
      <c r="A105" s="10" t="s">
        <v>495</v>
      </c>
      <c r="B105" s="10" t="str">
        <f>HYPERLINK("http://codeforces.com/problemset/problem/191/C","CF191-D2-C")</f>
        <v>CF191-D2-C</v>
      </c>
      <c r="C105" s="5"/>
      <c r="D105" s="7"/>
      <c r="E105" s="7"/>
      <c r="F105" s="7"/>
      <c r="G105" s="7"/>
      <c r="H105" s="12">
        <f t="shared" si="0"/>
        <v>0</v>
      </c>
      <c r="I105" s="7"/>
      <c r="J105" s="5"/>
    </row>
    <row r="106" spans="1:10" ht="13" x14ac:dyDescent="0.15">
      <c r="A106" s="5"/>
      <c r="B106" s="5"/>
      <c r="C106" s="5"/>
      <c r="D106" s="7"/>
      <c r="E106" s="7"/>
      <c r="F106" s="7"/>
      <c r="G106" s="7"/>
      <c r="H106" s="12">
        <f t="shared" si="0"/>
        <v>0</v>
      </c>
      <c r="I106" s="7"/>
      <c r="J106" s="36" t="s">
        <v>185</v>
      </c>
    </row>
    <row r="107" spans="1:10" ht="13" x14ac:dyDescent="0.15">
      <c r="A107" s="25"/>
      <c r="B107" s="25"/>
      <c r="C107" s="25"/>
      <c r="D107" s="24"/>
      <c r="E107" s="24"/>
      <c r="F107" s="24"/>
      <c r="G107" s="24"/>
      <c r="H107" s="26">
        <f t="shared" si="0"/>
        <v>0</v>
      </c>
      <c r="I107" s="24"/>
      <c r="J107" s="25"/>
    </row>
    <row r="108" spans="1:10" ht="13" x14ac:dyDescent="0.15">
      <c r="A108" s="5"/>
      <c r="B108" s="5"/>
      <c r="C108" s="5"/>
      <c r="D108" s="96" t="s">
        <v>187</v>
      </c>
      <c r="E108" s="97"/>
      <c r="F108" s="97"/>
      <c r="G108" s="97"/>
      <c r="H108" s="12">
        <f t="shared" si="0"/>
        <v>0</v>
      </c>
      <c r="I108" s="98" t="s">
        <v>499</v>
      </c>
      <c r="J108" s="97"/>
    </row>
    <row r="109" spans="1:10" ht="13" x14ac:dyDescent="0.15">
      <c r="A109" s="25"/>
      <c r="B109" s="25"/>
      <c r="C109" s="25"/>
      <c r="D109" s="24"/>
      <c r="E109" s="24"/>
      <c r="F109" s="24"/>
      <c r="G109" s="24"/>
      <c r="H109" s="26">
        <f t="shared" si="0"/>
        <v>0</v>
      </c>
      <c r="I109" s="24"/>
      <c r="J109" s="25"/>
    </row>
    <row r="110" spans="1:10" ht="13" x14ac:dyDescent="0.15">
      <c r="A110" s="31" t="str">
        <f>HYPERLINK("https://community.topcoder.com/stat?c=problem_statement&amp;pm=3490&amp;rd=8001","CmpdWords")</f>
        <v>CmpdWords</v>
      </c>
      <c r="B110" s="19" t="s">
        <v>501</v>
      </c>
      <c r="C110" s="5"/>
      <c r="D110" s="7"/>
      <c r="E110" s="7"/>
      <c r="F110" s="7"/>
      <c r="G110" s="7"/>
      <c r="H110" s="12">
        <f t="shared" si="0"/>
        <v>0</v>
      </c>
      <c r="I110" s="7"/>
      <c r="J110" s="5"/>
    </row>
    <row r="111" spans="1:10" ht="13" x14ac:dyDescent="0.15">
      <c r="A111" s="31" t="str">
        <f>HYPERLINK("https://community.topcoder.com/stat?c=problem_statement&amp;pm=7735&amp;rd=10775","MaximizeSquares")</f>
        <v>MaximizeSquares</v>
      </c>
      <c r="B111" s="19" t="s">
        <v>503</v>
      </c>
      <c r="C111" s="5"/>
      <c r="D111" s="7"/>
      <c r="E111" s="7"/>
      <c r="F111" s="7"/>
      <c r="G111" s="7"/>
      <c r="H111" s="12">
        <f t="shared" si="0"/>
        <v>0</v>
      </c>
      <c r="I111" s="7"/>
      <c r="J111" s="5"/>
    </row>
    <row r="112" spans="1:10" ht="13" x14ac:dyDescent="0.15">
      <c r="A112" s="31" t="str">
        <f>HYPERLINK("https://community.topcoder.com/stat?c=problem_statement&amp;pm=4487&amp;rd=7220","Flush")</f>
        <v>Flush</v>
      </c>
      <c r="B112" s="19" t="s">
        <v>505</v>
      </c>
      <c r="C112" s="5"/>
      <c r="D112" s="7"/>
      <c r="E112" s="7"/>
      <c r="F112" s="7"/>
      <c r="G112" s="7"/>
      <c r="H112" s="12">
        <f t="shared" si="0"/>
        <v>0</v>
      </c>
      <c r="I112" s="7"/>
      <c r="J112" s="5"/>
    </row>
    <row r="113" spans="1:10" ht="13" x14ac:dyDescent="0.15">
      <c r="A113" s="31" t="str">
        <f>HYPERLINK("https://community.topcoder.com/stat?c=problem_statement&amp;pm=11306&amp;rd=14425","ColoredStrokes")</f>
        <v>ColoredStrokes</v>
      </c>
      <c r="B113" s="19" t="s">
        <v>508</v>
      </c>
      <c r="C113" s="5"/>
      <c r="D113" s="7"/>
      <c r="E113" s="7"/>
      <c r="F113" s="7"/>
      <c r="G113" s="7"/>
      <c r="H113" s="12">
        <f t="shared" si="0"/>
        <v>0</v>
      </c>
      <c r="I113" s="7"/>
      <c r="J113" s="5"/>
    </row>
    <row r="114" spans="1:10" ht="13" x14ac:dyDescent="0.15">
      <c r="A114" s="31" t="str">
        <f>HYPERLINK("https://community.topcoder.com/stat?c=problem_statement&amp;pm=10708&amp;rd=13908","WordsGame")</f>
        <v>WordsGame</v>
      </c>
      <c r="B114" s="19" t="s">
        <v>510</v>
      </c>
      <c r="C114" s="5"/>
      <c r="D114" s="7"/>
      <c r="E114" s="7"/>
      <c r="F114" s="7"/>
      <c r="G114" s="7"/>
      <c r="H114" s="12">
        <f t="shared" si="0"/>
        <v>0</v>
      </c>
      <c r="I114" s="7"/>
      <c r="J114" s="5"/>
    </row>
    <row r="115" spans="1:10" ht="13" x14ac:dyDescent="0.15">
      <c r="A115" s="31" t="str">
        <f>HYPERLINK("https://community.topcoder.com/stat?c=problem_statement&amp;pm=8467&amp;rd=12180","OlympicCandles")</f>
        <v>OlympicCandles</v>
      </c>
      <c r="B115" s="19" t="s">
        <v>512</v>
      </c>
      <c r="C115" s="5"/>
      <c r="D115" s="7"/>
      <c r="E115" s="7"/>
      <c r="F115" s="7"/>
      <c r="G115" s="7"/>
      <c r="H115" s="12">
        <f t="shared" si="0"/>
        <v>0</v>
      </c>
      <c r="I115" s="7"/>
      <c r="J115" s="5"/>
    </row>
    <row r="116" spans="1:10" ht="13" x14ac:dyDescent="0.15">
      <c r="A116" s="31" t="str">
        <f>HYPERLINK("https://community.topcoder.com/stat?c=problem_statement&amp;pm=12332&amp;rd=15185","CoinsGameEasy")</f>
        <v>CoinsGameEasy</v>
      </c>
      <c r="B116" s="19" t="s">
        <v>515</v>
      </c>
      <c r="C116" s="5"/>
      <c r="D116" s="7"/>
      <c r="E116" s="7"/>
      <c r="F116" s="7"/>
      <c r="G116" s="7"/>
      <c r="H116" s="12">
        <f t="shared" si="0"/>
        <v>0</v>
      </c>
      <c r="I116" s="7"/>
      <c r="J116" s="5"/>
    </row>
    <row r="117" spans="1:10" ht="13" x14ac:dyDescent="0.15">
      <c r="A117" s="31" t="str">
        <f>HYPERLINK("https://community.topcoder.com/stat?c=problem_statement&amp;pm=10943&amp;rd=14546","MissingParentheses")</f>
        <v>MissingParentheses</v>
      </c>
      <c r="B117" s="19" t="s">
        <v>517</v>
      </c>
      <c r="C117" s="5"/>
      <c r="D117" s="7"/>
      <c r="E117" s="7"/>
      <c r="F117" s="7"/>
      <c r="G117" s="7"/>
      <c r="H117" s="12">
        <f t="shared" si="0"/>
        <v>0</v>
      </c>
      <c r="I117" s="7"/>
      <c r="J117" s="5"/>
    </row>
    <row r="118" spans="1:10" ht="13" x14ac:dyDescent="0.15">
      <c r="A118" s="31" t="str">
        <f>HYPERLINK("https://community.topcoder.com/stat?c=problem_statement&amp;pm=8520&amp;rd=11122","VoteRigging")</f>
        <v>VoteRigging</v>
      </c>
      <c r="B118" s="19" t="s">
        <v>519</v>
      </c>
      <c r="C118" s="5"/>
      <c r="D118" s="7"/>
      <c r="E118" s="7"/>
      <c r="F118" s="7"/>
      <c r="G118" s="7"/>
      <c r="H118" s="12">
        <f t="shared" si="0"/>
        <v>0</v>
      </c>
      <c r="I118" s="7"/>
      <c r="J118" s="5"/>
    </row>
    <row r="119" spans="1:10" ht="13" x14ac:dyDescent="0.15">
      <c r="A119" s="31" t="str">
        <f>HYPERLINK("https://community.topcoder.com/stat?c=problem_statement&amp;pm=8464&amp;rd=11129","StreetWalking")</f>
        <v>StreetWalking</v>
      </c>
      <c r="B119" s="19" t="s">
        <v>521</v>
      </c>
      <c r="C119" s="5"/>
      <c r="D119" s="7"/>
      <c r="E119" s="7"/>
      <c r="F119" s="7"/>
      <c r="G119" s="7"/>
      <c r="H119" s="12">
        <f t="shared" si="0"/>
        <v>0</v>
      </c>
      <c r="I119" s="7"/>
      <c r="J119" s="5"/>
    </row>
    <row r="120" spans="1:10" ht="13" x14ac:dyDescent="0.15">
      <c r="A120" s="5"/>
      <c r="B120" s="5"/>
      <c r="C120" s="5"/>
      <c r="D120" s="7"/>
      <c r="E120" s="7"/>
      <c r="F120" s="7"/>
      <c r="G120" s="7"/>
      <c r="H120" s="12">
        <f t="shared" si="0"/>
        <v>0</v>
      </c>
      <c r="I120" s="7"/>
      <c r="J120" s="5"/>
    </row>
    <row r="121" spans="1:10" ht="13" x14ac:dyDescent="0.15">
      <c r="A121" s="31" t="str">
        <f>HYPERLINK("https://community.topcoder.com/stat?c=problem_statement&amp;pm=1225&amp;rd=4540","PeopleCircle")</f>
        <v>PeopleCircle</v>
      </c>
      <c r="B121" s="19" t="s">
        <v>524</v>
      </c>
      <c r="C121" s="5"/>
      <c r="D121" s="7"/>
      <c r="E121" s="7"/>
      <c r="F121" s="7"/>
      <c r="G121" s="7"/>
      <c r="H121" s="12">
        <f t="shared" si="0"/>
        <v>0</v>
      </c>
      <c r="I121" s="7"/>
      <c r="J121" s="5"/>
    </row>
    <row r="122" spans="1:10" ht="13" x14ac:dyDescent="0.15">
      <c r="A122" s="31" t="str">
        <f>HYPERLINK("https://community.topcoder.com/stat?c=problem_statement&amp;pm=10155&amp;rd=13518","DesignCalendar")</f>
        <v>DesignCalendar</v>
      </c>
      <c r="B122" s="19" t="s">
        <v>526</v>
      </c>
      <c r="C122" s="5"/>
      <c r="D122" s="7"/>
      <c r="E122" s="7"/>
      <c r="F122" s="7"/>
      <c r="G122" s="7"/>
      <c r="H122" s="12">
        <f t="shared" si="0"/>
        <v>0</v>
      </c>
      <c r="I122" s="7"/>
      <c r="J122" s="5"/>
    </row>
    <row r="123" spans="1:10" ht="13" x14ac:dyDescent="0.15">
      <c r="A123" s="31" t="str">
        <f>HYPERLINK("https://community.topcoder.com/stat?c=problem_statement&amp;pm=8440&amp;rd=10800","SellingProducts")</f>
        <v>SellingProducts</v>
      </c>
      <c r="B123" s="19" t="s">
        <v>528</v>
      </c>
      <c r="C123" s="5"/>
      <c r="D123" s="7"/>
      <c r="E123" s="7"/>
      <c r="F123" s="7"/>
      <c r="G123" s="7"/>
      <c r="H123" s="12">
        <f t="shared" si="0"/>
        <v>0</v>
      </c>
      <c r="I123" s="7"/>
      <c r="J123" s="5"/>
    </row>
    <row r="124" spans="1:10" ht="13" x14ac:dyDescent="0.15">
      <c r="A124" s="31" t="str">
        <f>HYPERLINK("https://community.topcoder.com/stat?c=problem_statement&amp;pm=11274&amp;rd=14723","GogoXCake")</f>
        <v>GogoXCake</v>
      </c>
      <c r="B124" s="19" t="s">
        <v>530</v>
      </c>
      <c r="C124" s="5"/>
      <c r="D124" s="7"/>
      <c r="E124" s="7"/>
      <c r="F124" s="7"/>
      <c r="G124" s="7"/>
      <c r="H124" s="12">
        <f t="shared" si="0"/>
        <v>0</v>
      </c>
      <c r="I124" s="7"/>
      <c r="J124" s="5"/>
    </row>
    <row r="125" spans="1:10" ht="13" x14ac:dyDescent="0.15">
      <c r="A125" s="31" t="str">
        <f>HYPERLINK("https://community.topcoder.com/stat?c=problem_statement&amp;pm=9921&amp;rd=13521","BitwiseEquations")</f>
        <v>BitwiseEquations</v>
      </c>
      <c r="B125" s="19" t="s">
        <v>533</v>
      </c>
      <c r="C125" s="5"/>
      <c r="D125" s="7"/>
      <c r="E125" s="7"/>
      <c r="F125" s="7"/>
      <c r="G125" s="7"/>
      <c r="H125" s="12">
        <f t="shared" si="0"/>
        <v>0</v>
      </c>
      <c r="I125" s="7"/>
      <c r="J125" s="5"/>
    </row>
    <row r="126" spans="1:10" ht="13" x14ac:dyDescent="0.15">
      <c r="A126" s="31" t="str">
        <f>HYPERLINK("https://community.topcoder.com/stat?c=problem_statement&amp;pm=10154&amp;rd=13694","LampsGrid")</f>
        <v>LampsGrid</v>
      </c>
      <c r="B126" s="19" t="s">
        <v>535</v>
      </c>
      <c r="C126" s="5"/>
      <c r="D126" s="7"/>
      <c r="E126" s="7"/>
      <c r="F126" s="7"/>
      <c r="G126" s="7"/>
      <c r="H126" s="12">
        <f t="shared" si="0"/>
        <v>0</v>
      </c>
      <c r="I126" s="7"/>
      <c r="J126" s="5"/>
    </row>
    <row r="127" spans="1:10" ht="13" x14ac:dyDescent="0.15">
      <c r="A127" s="31" t="str">
        <f>HYPERLINK("https://community.topcoder.com/stat?c=problem_statement&amp;pm=10797&amp;rd=14186","Badgers")</f>
        <v>Badgers</v>
      </c>
      <c r="B127" s="19" t="s">
        <v>537</v>
      </c>
      <c r="C127" s="5"/>
      <c r="D127" s="7"/>
      <c r="E127" s="7"/>
      <c r="F127" s="7"/>
      <c r="G127" s="7"/>
      <c r="H127" s="12">
        <f t="shared" si="0"/>
        <v>0</v>
      </c>
      <c r="I127" s="7"/>
      <c r="J127" s="5"/>
    </row>
    <row r="128" spans="1:10" ht="13" x14ac:dyDescent="0.15">
      <c r="A128" s="31" t="str">
        <f>HYPERLINK("https://community.topcoder.com/stat?c=problem_statement&amp;pm=10915&amp;rd=14153","DoorsGame")</f>
        <v>DoorsGame</v>
      </c>
      <c r="B128" s="19" t="s">
        <v>539</v>
      </c>
      <c r="C128" s="5"/>
      <c r="D128" s="7"/>
      <c r="E128" s="7"/>
      <c r="F128" s="7"/>
      <c r="G128" s="7"/>
      <c r="H128" s="12">
        <f t="shared" si="0"/>
        <v>0</v>
      </c>
      <c r="I128" s="7"/>
      <c r="J128" s="5"/>
    </row>
    <row r="129" spans="1:10" ht="13" x14ac:dyDescent="0.15">
      <c r="A129" s="31" t="str">
        <f>HYPERLINK("https://community.topcoder.com/stat?c=problem_statement&amp;pm=8193&amp;rd=10785","BeautifulString")</f>
        <v>BeautifulString</v>
      </c>
      <c r="B129" s="19" t="s">
        <v>541</v>
      </c>
      <c r="C129" s="5"/>
      <c r="D129" s="7"/>
      <c r="E129" s="7"/>
      <c r="F129" s="7"/>
      <c r="G129" s="7"/>
      <c r="H129" s="12">
        <f t="shared" si="0"/>
        <v>0</v>
      </c>
      <c r="I129" s="7"/>
      <c r="J129" s="5"/>
    </row>
    <row r="130" spans="1:10" ht="13" x14ac:dyDescent="0.15">
      <c r="A130" s="31" t="str">
        <f>HYPERLINK("https://community.topcoder.com/stat?c=problem_statement&amp;pm=11004&amp;rd=14234","ChickenOracle")</f>
        <v>ChickenOracle</v>
      </c>
      <c r="B130" s="19" t="s">
        <v>543</v>
      </c>
      <c r="C130" s="5"/>
      <c r="D130" s="7"/>
      <c r="E130" s="7"/>
      <c r="F130" s="7"/>
      <c r="G130" s="7"/>
      <c r="H130" s="12">
        <f t="shared" si="0"/>
        <v>0</v>
      </c>
      <c r="I130" s="7"/>
      <c r="J130" s="5"/>
    </row>
    <row r="131" spans="1:10" ht="13" x14ac:dyDescent="0.15">
      <c r="A131" s="5"/>
      <c r="B131" s="5"/>
      <c r="C131" s="5"/>
      <c r="D131" s="7"/>
      <c r="E131" s="7"/>
      <c r="F131" s="7"/>
      <c r="G131" s="7"/>
      <c r="H131" s="12">
        <f t="shared" si="0"/>
        <v>0</v>
      </c>
      <c r="I131" s="7"/>
      <c r="J131" s="5"/>
    </row>
    <row r="132" spans="1:10" ht="13" x14ac:dyDescent="0.15">
      <c r="A132" s="31" t="str">
        <f>HYPERLINK("https://community.topcoder.com/stat?c=problem_statement&amp;pm=11035&amp;rd=14236","MovieSeating")</f>
        <v>MovieSeating</v>
      </c>
      <c r="B132" s="19" t="s">
        <v>545</v>
      </c>
      <c r="C132" s="5"/>
      <c r="D132" s="7"/>
      <c r="E132" s="7"/>
      <c r="F132" s="7"/>
      <c r="G132" s="7"/>
      <c r="H132" s="12">
        <f t="shared" si="0"/>
        <v>0</v>
      </c>
      <c r="I132" s="7"/>
      <c r="J132" s="5"/>
    </row>
    <row r="133" spans="1:10" ht="13" x14ac:dyDescent="0.15">
      <c r="A133" s="31" t="str">
        <f>HYPERLINK("https://community.topcoder.com/stat?c=problem_statement&amp;pm=10054&amp;rd=13510","Undo")</f>
        <v>Undo</v>
      </c>
      <c r="B133" s="19" t="s">
        <v>546</v>
      </c>
      <c r="C133" s="5"/>
      <c r="D133" s="7"/>
      <c r="E133" s="7"/>
      <c r="F133" s="7"/>
      <c r="G133" s="7"/>
      <c r="H133" s="12">
        <f t="shared" si="0"/>
        <v>0</v>
      </c>
      <c r="I133" s="7"/>
      <c r="J133" s="5"/>
    </row>
    <row r="134" spans="1:10" ht="13" x14ac:dyDescent="0.15">
      <c r="A134" s="31" t="str">
        <f>HYPERLINK("https://community.topcoder.com/stat?c=problem_statement&amp;pm=12351&amp;rd=15187","MonstersValley2")</f>
        <v>MonstersValley2</v>
      </c>
      <c r="B134" s="19" t="s">
        <v>547</v>
      </c>
      <c r="C134" s="5"/>
      <c r="D134" s="7"/>
      <c r="E134" s="7"/>
      <c r="F134" s="7"/>
      <c r="G134" s="7"/>
      <c r="H134" s="12">
        <f t="shared" si="0"/>
        <v>0</v>
      </c>
      <c r="I134" s="7"/>
      <c r="J134" s="5"/>
    </row>
    <row r="135" spans="1:10" ht="13" x14ac:dyDescent="0.15">
      <c r="A135" s="31" t="str">
        <f>HYPERLINK("https://community.topcoder.com/stat?c=problem_statement&amp;pm=9895&amp;rd=13505","Embassy")</f>
        <v>Embassy</v>
      </c>
      <c r="B135" s="19" t="s">
        <v>548</v>
      </c>
      <c r="C135" s="5"/>
      <c r="D135" s="7"/>
      <c r="E135" s="7"/>
      <c r="F135" s="7"/>
      <c r="G135" s="7"/>
      <c r="H135" s="12">
        <f t="shared" si="0"/>
        <v>0</v>
      </c>
      <c r="I135" s="7"/>
      <c r="J135" s="5"/>
    </row>
    <row r="136" spans="1:10" ht="13" x14ac:dyDescent="0.15">
      <c r="A136" s="31" t="str">
        <f>HYPERLINK("https://community.topcoder.com/stat?c=problem_statement&amp;pm=10261&amp;rd=13522","FallingPoints")</f>
        <v>FallingPoints</v>
      </c>
      <c r="B136" s="19" t="s">
        <v>549</v>
      </c>
      <c r="C136" s="5"/>
      <c r="D136" s="7"/>
      <c r="E136" s="7"/>
      <c r="F136" s="7"/>
      <c r="G136" s="7"/>
      <c r="H136" s="12">
        <f t="shared" si="0"/>
        <v>0</v>
      </c>
      <c r="I136" s="7"/>
      <c r="J136" s="5"/>
    </row>
    <row r="137" spans="1:10" ht="13" x14ac:dyDescent="0.15">
      <c r="A137" s="31" t="str">
        <f>HYPERLINK("https://community.topcoder.com/stat?c=problem_statement&amp;pm=11060&amp;rd=14245","TimeTravellingGardener")</f>
        <v>TimeTravellingGardener</v>
      </c>
      <c r="B137" s="19" t="s">
        <v>550</v>
      </c>
      <c r="C137" s="5"/>
      <c r="D137" s="7"/>
      <c r="E137" s="7"/>
      <c r="F137" s="7"/>
      <c r="G137" s="7"/>
      <c r="H137" s="12">
        <f t="shared" si="0"/>
        <v>0</v>
      </c>
      <c r="I137" s="7"/>
      <c r="J137" s="5"/>
    </row>
    <row r="138" spans="1:10" ht="13" x14ac:dyDescent="0.15">
      <c r="A138" s="31" t="str">
        <f>HYPERLINK("https://community.topcoder.com/stat?c=problem_statement&amp;pm=11219&amp;rd=14427","FoxSequence")</f>
        <v>FoxSequence</v>
      </c>
      <c r="B138" s="19" t="s">
        <v>551</v>
      </c>
      <c r="C138" s="5"/>
      <c r="D138" s="7"/>
      <c r="E138" s="7"/>
      <c r="F138" s="7"/>
      <c r="G138" s="7"/>
      <c r="H138" s="12">
        <f t="shared" si="0"/>
        <v>0</v>
      </c>
      <c r="I138" s="7"/>
      <c r="J138" s="5"/>
    </row>
    <row r="139" spans="1:10" ht="13" x14ac:dyDescent="0.15">
      <c r="A139" s="31" t="str">
        <f>HYPERLINK("https://community.topcoder.com/stat?c=problem_statement&amp;pm=7613&amp;rd=10674","SumsOfPerfectPowers")</f>
        <v>SumsOfPerfectPowers</v>
      </c>
      <c r="B139" s="19" t="s">
        <v>552</v>
      </c>
      <c r="C139" s="5"/>
      <c r="D139" s="7"/>
      <c r="E139" s="7"/>
      <c r="F139" s="7"/>
      <c r="G139" s="7"/>
      <c r="H139" s="12">
        <f t="shared" si="0"/>
        <v>0</v>
      </c>
      <c r="I139" s="7"/>
      <c r="J139" s="5"/>
    </row>
    <row r="140" spans="1:10" ht="13" x14ac:dyDescent="0.15">
      <c r="A140" s="31" t="str">
        <f>HYPERLINK("https://community.topcoder.com/stat?c=problem_statement&amp;pm=8706&amp;rd=11126","TwoStringMasks")</f>
        <v>TwoStringMasks</v>
      </c>
      <c r="B140" s="19" t="s">
        <v>553</v>
      </c>
      <c r="C140" s="5"/>
      <c r="D140" s="7"/>
      <c r="E140" s="7"/>
      <c r="F140" s="7"/>
      <c r="G140" s="7"/>
      <c r="H140" s="12">
        <f t="shared" si="0"/>
        <v>0</v>
      </c>
      <c r="I140" s="7"/>
      <c r="J140" s="5"/>
    </row>
    <row r="141" spans="1:10" ht="13" x14ac:dyDescent="0.15">
      <c r="A141" s="31" t="str">
        <f>HYPERLINK("https://community.topcoder.com/stat?c=problem_statement&amp;pm=7787&amp;rd=10780","PointsOnCircle")</f>
        <v>PointsOnCircle</v>
      </c>
      <c r="B141" s="19" t="s">
        <v>554</v>
      </c>
      <c r="C141" s="5"/>
      <c r="D141" s="7"/>
      <c r="E141" s="7"/>
      <c r="F141" s="7"/>
      <c r="G141" s="7"/>
      <c r="H141" s="12">
        <f t="shared" si="0"/>
        <v>0</v>
      </c>
      <c r="I141" s="7"/>
      <c r="J141" s="5"/>
    </row>
    <row r="142" spans="1:10" ht="13" x14ac:dyDescent="0.15">
      <c r="A142" s="5"/>
      <c r="B142" s="5"/>
      <c r="C142" s="5"/>
      <c r="D142" s="7"/>
      <c r="E142" s="7"/>
      <c r="F142" s="7"/>
      <c r="G142" s="7"/>
      <c r="H142" s="12">
        <f t="shared" si="0"/>
        <v>0</v>
      </c>
      <c r="I142" s="7"/>
      <c r="J142" s="5"/>
    </row>
    <row r="143" spans="1:10" ht="13" x14ac:dyDescent="0.15">
      <c r="A143" s="31" t="str">
        <f>HYPERLINK("https://community.topcoder.com/stat?c=problem_statement&amp;pm=8302&amp;rd=12174","ConsecutiveNumbers")</f>
        <v>ConsecutiveNumbers</v>
      </c>
      <c r="B143" s="19" t="s">
        <v>555</v>
      </c>
      <c r="C143" s="5"/>
      <c r="D143" s="7"/>
      <c r="E143" s="7"/>
      <c r="F143" s="7"/>
      <c r="G143" s="7"/>
      <c r="H143" s="12">
        <f t="shared" si="0"/>
        <v>0</v>
      </c>
      <c r="I143" s="7"/>
      <c r="J143" s="5"/>
    </row>
    <row r="144" spans="1:10" ht="13" x14ac:dyDescent="0.15">
      <c r="A144" s="31" t="str">
        <f>HYPERLINK("https://community.topcoder.com/stat?c=problem_statement&amp;pm=8060&amp;rd=10778","Paintball")</f>
        <v>Paintball</v>
      </c>
      <c r="B144" s="19" t="s">
        <v>556</v>
      </c>
      <c r="C144" s="5"/>
      <c r="D144" s="7"/>
      <c r="E144" s="7"/>
      <c r="F144" s="7"/>
      <c r="G144" s="7"/>
      <c r="H144" s="12">
        <f t="shared" si="0"/>
        <v>0</v>
      </c>
      <c r="I144" s="7"/>
      <c r="J144" s="5"/>
    </row>
    <row r="145" spans="1:10" ht="13" x14ac:dyDescent="0.15">
      <c r="A145" s="31" t="str">
        <f>HYPERLINK("https://community.topcoder.com/stat?c=problem_statement&amp;pm=7759&amp;rd=10712","NoEights")</f>
        <v>NoEights</v>
      </c>
      <c r="B145" s="19" t="s">
        <v>557</v>
      </c>
      <c r="C145" s="5"/>
      <c r="D145" s="7"/>
      <c r="E145" s="7"/>
      <c r="F145" s="7"/>
      <c r="G145" s="7"/>
      <c r="H145" s="12">
        <f t="shared" si="0"/>
        <v>0</v>
      </c>
      <c r="I145" s="7"/>
      <c r="J145" s="5"/>
    </row>
    <row r="146" spans="1:10" ht="13" x14ac:dyDescent="0.15">
      <c r="A146" s="31" t="str">
        <f>HYPERLINK("https://community.topcoder.com/stat?c=problem_statement&amp;pm=9943&amp;rd=13508","TemplateMatching")</f>
        <v>TemplateMatching</v>
      </c>
      <c r="B146" s="19" t="s">
        <v>558</v>
      </c>
      <c r="C146" s="5"/>
      <c r="D146" s="7"/>
      <c r="E146" s="7"/>
      <c r="F146" s="7"/>
      <c r="G146" s="7"/>
      <c r="H146" s="12">
        <f t="shared" si="0"/>
        <v>0</v>
      </c>
      <c r="I146" s="7"/>
      <c r="J146" s="5"/>
    </row>
    <row r="147" spans="1:10" ht="13" x14ac:dyDescent="0.15">
      <c r="A147" s="31" t="str">
        <f>HYPERLINK("https://community.topcoder.com/stat?c=problem_statement&amp;pm=10759&amp;rd=14154","PotatoGame")</f>
        <v>PotatoGame</v>
      </c>
      <c r="B147" s="19" t="s">
        <v>559</v>
      </c>
      <c r="C147" s="5"/>
      <c r="D147" s="7"/>
      <c r="E147" s="7"/>
      <c r="F147" s="7"/>
      <c r="G147" s="7"/>
      <c r="H147" s="12">
        <f t="shared" si="0"/>
        <v>0</v>
      </c>
      <c r="I147" s="7"/>
      <c r="J147" s="5"/>
    </row>
    <row r="148" spans="1:10" ht="13" x14ac:dyDescent="0.15">
      <c r="A148" s="31" t="str">
        <f>HYPERLINK("https://community.topcoder.com/stat?c=problem_statement&amp;pm=10095&amp;rd=13516","CrazyBot")</f>
        <v>CrazyBot</v>
      </c>
      <c r="B148" s="19" t="s">
        <v>560</v>
      </c>
      <c r="C148" s="5"/>
      <c r="D148" s="7"/>
      <c r="E148" s="7"/>
      <c r="F148" s="7"/>
      <c r="G148" s="7"/>
      <c r="H148" s="12">
        <f t="shared" si="0"/>
        <v>0</v>
      </c>
      <c r="I148" s="7"/>
      <c r="J148" s="5"/>
    </row>
    <row r="149" spans="1:10" ht="13" x14ac:dyDescent="0.15">
      <c r="A149" s="31" t="str">
        <f>HYPERLINK("https://community.topcoder.com/stat?c=problem_statement&amp;pm=8576&amp;rd=13507","NextNumber")</f>
        <v>NextNumber</v>
      </c>
      <c r="B149" s="19" t="s">
        <v>561</v>
      </c>
      <c r="C149" s="5"/>
      <c r="D149" s="7"/>
      <c r="E149" s="7"/>
      <c r="F149" s="7"/>
      <c r="G149" s="7"/>
      <c r="H149" s="12">
        <f t="shared" si="0"/>
        <v>0</v>
      </c>
      <c r="I149" s="7"/>
      <c r="J149" s="5"/>
    </row>
    <row r="150" spans="1:10" ht="13" x14ac:dyDescent="0.15">
      <c r="A150" s="31" t="str">
        <f>HYPERLINK("https://community.topcoder.com/stat?c=problem_statement&amp;pm=11667&amp;rd=14551","DucksAlignment")</f>
        <v>DucksAlignment</v>
      </c>
      <c r="B150" s="19" t="s">
        <v>563</v>
      </c>
      <c r="C150" s="5"/>
      <c r="D150" s="7"/>
      <c r="E150" s="7"/>
      <c r="F150" s="7"/>
      <c r="G150" s="7"/>
      <c r="H150" s="12">
        <f t="shared" si="0"/>
        <v>0</v>
      </c>
      <c r="I150" s="7"/>
      <c r="J150" s="5"/>
    </row>
    <row r="151" spans="1:10" ht="13" x14ac:dyDescent="0.15">
      <c r="A151" s="31" t="str">
        <f>HYPERLINK("https://community.topcoder.com/stat?c=problem_statement&amp;pm=12398&amp;rd=15488","BallsSeparating")</f>
        <v>BallsSeparating</v>
      </c>
      <c r="B151" s="19" t="s">
        <v>565</v>
      </c>
      <c r="C151" s="5"/>
      <c r="D151" s="7"/>
      <c r="E151" s="7"/>
      <c r="F151" s="7"/>
      <c r="G151" s="7"/>
      <c r="H151" s="12">
        <f t="shared" si="0"/>
        <v>0</v>
      </c>
      <c r="I151" s="7"/>
      <c r="J151" s="5"/>
    </row>
    <row r="152" spans="1:10" ht="13" x14ac:dyDescent="0.15">
      <c r="A152" s="39" t="str">
        <f>HYPERLINK("https://community.topcoder.com/stat?c=problem_statement&amp;pm=8223&amp;rd=10789","RoadConstruction")</f>
        <v>RoadConstruction</v>
      </c>
      <c r="B152" s="19" t="s">
        <v>567</v>
      </c>
      <c r="C152" s="5"/>
      <c r="D152" s="7"/>
      <c r="E152" s="7"/>
      <c r="F152" s="7"/>
      <c r="G152" s="7"/>
      <c r="H152" s="12">
        <f t="shared" si="0"/>
        <v>0</v>
      </c>
      <c r="I152" s="7"/>
      <c r="J152" s="5"/>
    </row>
    <row r="153" spans="1:10" ht="13" x14ac:dyDescent="0.15">
      <c r="A153" s="40"/>
      <c r="B153" s="5"/>
      <c r="C153" s="5"/>
      <c r="D153" s="7"/>
      <c r="E153" s="7"/>
      <c r="F153" s="7"/>
      <c r="G153" s="7"/>
      <c r="H153" s="12">
        <f t="shared" si="0"/>
        <v>0</v>
      </c>
      <c r="I153" s="7"/>
      <c r="J153" s="5"/>
    </row>
    <row r="154" spans="1:10" ht="13" x14ac:dyDescent="0.15">
      <c r="A154" s="41" t="str">
        <f>HYPERLINK("https://community.topcoder.com/stat?c=problem_statement&amp;pm=12318&amp;rd=15184","PastingPaintingDivTwo")</f>
        <v>PastingPaintingDivTwo</v>
      </c>
      <c r="B154" s="19" t="s">
        <v>573</v>
      </c>
      <c r="C154" s="5"/>
      <c r="D154" s="7"/>
      <c r="E154" s="7"/>
      <c r="F154" s="7"/>
      <c r="G154" s="7"/>
      <c r="H154" s="12">
        <f t="shared" si="0"/>
        <v>0</v>
      </c>
      <c r="I154" s="7"/>
      <c r="J154" s="5"/>
    </row>
    <row r="155" spans="1:10" ht="13" x14ac:dyDescent="0.15">
      <c r="A155" s="31" t="str">
        <f>HYPERLINK("https://community.topcoder.com/stat?c=problem_statement&amp;pm=8087&amp;rd=10791","StringFragmentation")</f>
        <v>StringFragmentation</v>
      </c>
      <c r="B155" s="19" t="s">
        <v>575</v>
      </c>
      <c r="C155" s="5"/>
      <c r="D155" s="7"/>
      <c r="E155" s="7"/>
      <c r="F155" s="7"/>
      <c r="G155" s="7"/>
      <c r="H155" s="12">
        <f t="shared" si="0"/>
        <v>0</v>
      </c>
      <c r="I155" s="7"/>
      <c r="J155" s="5"/>
    </row>
    <row r="156" spans="1:10" ht="13" x14ac:dyDescent="0.15">
      <c r="A156" s="31" t="str">
        <f>HYPERLINK("https://community.topcoder.com/stat?c=problem_statement&amp;pm=12854&amp;rd=15709","LittleElephantAndString")</f>
        <v>LittleElephantAndString</v>
      </c>
      <c r="B156" s="19" t="s">
        <v>576</v>
      </c>
      <c r="C156" s="5"/>
      <c r="D156" s="7"/>
      <c r="E156" s="7"/>
      <c r="F156" s="7"/>
      <c r="G156" s="7"/>
      <c r="H156" s="12">
        <f t="shared" si="0"/>
        <v>0</v>
      </c>
      <c r="I156" s="7"/>
      <c r="J156" s="5"/>
    </row>
    <row r="157" spans="1:10" ht="13" x14ac:dyDescent="0.15">
      <c r="A157" s="31" t="str">
        <f>HYPERLINK("https://community.topcoder.com/stat?c=problem_statement&amp;pm=10196&amp;rd=13517","ShufflingMachine")</f>
        <v>ShufflingMachine</v>
      </c>
      <c r="B157" s="19" t="s">
        <v>578</v>
      </c>
      <c r="C157" s="5"/>
      <c r="D157" s="7"/>
      <c r="E157" s="7"/>
      <c r="F157" s="7"/>
      <c r="G157" s="7"/>
      <c r="H157" s="12">
        <f t="shared" si="0"/>
        <v>0</v>
      </c>
      <c r="I157" s="7"/>
      <c r="J157" s="5"/>
    </row>
    <row r="158" spans="1:10" ht="13" x14ac:dyDescent="0.15">
      <c r="A158" s="31" t="str">
        <f>HYPERLINK("https://community.topcoder.com/stat?c=problem_statement&amp;pm=8589&amp;rd=11124","ConcatenateNumber")</f>
        <v>ConcatenateNumber</v>
      </c>
      <c r="B158" s="19" t="s">
        <v>579</v>
      </c>
      <c r="C158" s="5"/>
      <c r="D158" s="7"/>
      <c r="E158" s="7"/>
      <c r="F158" s="7"/>
      <c r="G158" s="7"/>
      <c r="H158" s="12">
        <f t="shared" si="0"/>
        <v>0</v>
      </c>
      <c r="I158" s="7"/>
      <c r="J158" s="5"/>
    </row>
    <row r="159" spans="1:10" ht="13" x14ac:dyDescent="0.15">
      <c r="A159" s="31" t="str">
        <f>HYPERLINK("https://community.topcoder.com/stat?c=problem_statement&amp;pm=8568&amp;rd=12175","TheLuckyNumbers")</f>
        <v>TheLuckyNumbers</v>
      </c>
      <c r="B159" s="19" t="s">
        <v>581</v>
      </c>
      <c r="C159" s="5"/>
      <c r="D159" s="7"/>
      <c r="E159" s="7"/>
      <c r="F159" s="7"/>
      <c r="G159" s="7"/>
      <c r="H159" s="12">
        <f t="shared" si="0"/>
        <v>0</v>
      </c>
      <c r="I159" s="7"/>
      <c r="J159" s="5"/>
    </row>
    <row r="160" spans="1:10" ht="13" x14ac:dyDescent="0.15">
      <c r="A160" s="31" t="str">
        <f>HYPERLINK("https://community.topcoder.com/stat?c=problem_statement&amp;pm=12504&amp;rd=15496","ArcadeManao")</f>
        <v>ArcadeManao</v>
      </c>
      <c r="B160" s="19" t="s">
        <v>584</v>
      </c>
      <c r="C160" s="5"/>
      <c r="D160" s="7"/>
      <c r="E160" s="7"/>
      <c r="F160" s="7"/>
      <c r="G160" s="7"/>
      <c r="H160" s="12">
        <f t="shared" si="0"/>
        <v>0</v>
      </c>
      <c r="I160" s="7"/>
      <c r="J160" s="5"/>
    </row>
    <row r="161" spans="1:10" ht="13" x14ac:dyDescent="0.15">
      <c r="A161" s="39" t="str">
        <f>HYPERLINK("https://community.topcoder.com/stat?c=problem_statement&amp;pm=11227&amp;rd=14243","Starport")</f>
        <v>Starport</v>
      </c>
      <c r="B161" s="19" t="s">
        <v>586</v>
      </c>
      <c r="C161" s="5"/>
      <c r="D161" s="7"/>
      <c r="E161" s="7"/>
      <c r="F161" s="7"/>
      <c r="G161" s="7"/>
      <c r="H161" s="12">
        <f t="shared" si="0"/>
        <v>0</v>
      </c>
      <c r="I161" s="7"/>
      <c r="J161" s="5"/>
    </row>
    <row r="162" spans="1:10" ht="13" x14ac:dyDescent="0.15">
      <c r="A162" s="41" t="str">
        <f>HYPERLINK("https://community.topcoder.com/stat?c=problem_statement&amp;pm=9954&amp;rd=13506","ThreePhotos")</f>
        <v>ThreePhotos</v>
      </c>
      <c r="B162" s="19" t="s">
        <v>588</v>
      </c>
      <c r="C162" s="5"/>
      <c r="D162" s="7"/>
      <c r="E162" s="7"/>
      <c r="F162" s="7"/>
      <c r="G162" s="7"/>
      <c r="H162" s="12">
        <f t="shared" si="0"/>
        <v>0</v>
      </c>
      <c r="I162" s="7"/>
      <c r="J162" s="5"/>
    </row>
    <row r="163" spans="1:10" ht="13" x14ac:dyDescent="0.15">
      <c r="A163" s="43"/>
      <c r="B163" s="19" t="s">
        <v>590</v>
      </c>
      <c r="C163" s="5"/>
      <c r="D163" s="7"/>
      <c r="E163" s="7"/>
      <c r="F163" s="7"/>
      <c r="G163" s="7"/>
      <c r="H163" s="12">
        <f t="shared" si="0"/>
        <v>0</v>
      </c>
      <c r="I163" s="7"/>
      <c r="J163" s="5"/>
    </row>
    <row r="164" spans="1:10" ht="13" x14ac:dyDescent="0.15">
      <c r="A164" s="40"/>
      <c r="B164" s="5"/>
      <c r="C164" s="5"/>
      <c r="D164" s="7"/>
      <c r="E164" s="7"/>
      <c r="F164" s="7"/>
      <c r="G164" s="7"/>
      <c r="H164" s="12">
        <f t="shared" si="0"/>
        <v>0</v>
      </c>
      <c r="I164" s="7"/>
      <c r="J164" s="5"/>
    </row>
    <row r="165" spans="1:10" ht="13" x14ac:dyDescent="0.15">
      <c r="A165" s="31" t="str">
        <f>HYPERLINK("https://community.topcoder.com/stat?c=problem_statement&amp;pm=12754&amp;rd=15703","ConvertibleStrings")</f>
        <v>ConvertibleStrings</v>
      </c>
      <c r="B165" s="19" t="s">
        <v>594</v>
      </c>
      <c r="C165" s="5"/>
      <c r="D165" s="7"/>
      <c r="E165" s="7"/>
      <c r="F165" s="7"/>
      <c r="G165" s="7"/>
      <c r="H165" s="12">
        <f t="shared" si="0"/>
        <v>0</v>
      </c>
      <c r="I165" s="7"/>
      <c r="J165" s="5"/>
    </row>
    <row r="166" spans="1:10" ht="13" x14ac:dyDescent="0.15">
      <c r="A166" s="31" t="str">
        <f>HYPERLINK("https://community.topcoder.com/stat?c=problem_statement&amp;pm=10246&amp;rd=13520","SubrectanglesOfTable")</f>
        <v>SubrectanglesOfTable</v>
      </c>
      <c r="B166" s="19" t="s">
        <v>596</v>
      </c>
      <c r="C166" s="5"/>
      <c r="D166" s="7"/>
      <c r="E166" s="7"/>
      <c r="F166" s="7"/>
      <c r="G166" s="7"/>
      <c r="H166" s="12">
        <f t="shared" si="0"/>
        <v>0</v>
      </c>
      <c r="I166" s="7"/>
      <c r="J166" s="5"/>
    </row>
    <row r="167" spans="1:10" ht="13" x14ac:dyDescent="0.15">
      <c r="A167" s="31" t="str">
        <f>HYPERLINK("https://community.topcoder.com/stat?c=problem_statement&amp;pm=11808&amp;rd=14729","EvenRoute")</f>
        <v>EvenRoute</v>
      </c>
      <c r="B167" s="19" t="s">
        <v>599</v>
      </c>
      <c r="C167" s="5"/>
      <c r="D167" s="7"/>
      <c r="E167" s="7"/>
      <c r="F167" s="7"/>
      <c r="G167" s="7"/>
      <c r="H167" s="12">
        <f t="shared" si="0"/>
        <v>0</v>
      </c>
      <c r="I167" s="7"/>
      <c r="J167" s="5"/>
    </row>
    <row r="168" spans="1:10" ht="13" x14ac:dyDescent="0.15">
      <c r="A168" s="31" t="str">
        <f>HYPERLINK("https://community.topcoder.com/stat?c=problem_statement&amp;pm=12545&amp;rd=15498","GooseInZooDivTwo")</f>
        <v>GooseInZooDivTwo</v>
      </c>
      <c r="B168" s="19" t="s">
        <v>602</v>
      </c>
      <c r="C168" s="5"/>
      <c r="D168" s="7"/>
      <c r="E168" s="7"/>
      <c r="F168" s="7"/>
      <c r="G168" s="7"/>
      <c r="H168" s="12">
        <f t="shared" si="0"/>
        <v>0</v>
      </c>
      <c r="I168" s="7"/>
      <c r="J168" s="5"/>
    </row>
    <row r="169" spans="1:10" ht="13" x14ac:dyDescent="0.15">
      <c r="A169" s="31" t="str">
        <f>HYPERLINK("https://community.topcoder.com/stat?c=problem_statement&amp;pm=11967&amp;rd=15170","KingdomAndTrees")</f>
        <v>KingdomAndTrees</v>
      </c>
      <c r="B169" s="19" t="s">
        <v>605</v>
      </c>
      <c r="C169" s="5"/>
      <c r="D169" s="7"/>
      <c r="E169" s="7"/>
      <c r="F169" s="7"/>
      <c r="G169" s="7"/>
      <c r="H169" s="12">
        <f t="shared" si="0"/>
        <v>0</v>
      </c>
      <c r="I169" s="7"/>
      <c r="J169" s="5"/>
    </row>
    <row r="170" spans="1:10" ht="13" x14ac:dyDescent="0.15">
      <c r="A170" s="31" t="str">
        <f>HYPERLINK("https://community.topcoder.com/stat?c=problem_statement&amp;pm=11354&amp;rd=15175","Suminator")</f>
        <v>Suminator</v>
      </c>
      <c r="B170" s="19" t="s">
        <v>608</v>
      </c>
      <c r="C170" s="5"/>
      <c r="D170" s="7"/>
      <c r="E170" s="7"/>
      <c r="F170" s="7"/>
      <c r="G170" s="7"/>
      <c r="H170" s="12">
        <f t="shared" si="0"/>
        <v>0</v>
      </c>
      <c r="I170" s="7"/>
      <c r="J170" s="5"/>
    </row>
    <row r="171" spans="1:10" ht="13" x14ac:dyDescent="0.15">
      <c r="A171" s="31" t="str">
        <f>HYPERLINK("https://community.topcoder.com/stat?c=problem_statement&amp;pm=10360&amp;rd=13803","FeudaliasBattle")</f>
        <v>FeudaliasBattle</v>
      </c>
      <c r="B171" s="19" t="s">
        <v>611</v>
      </c>
      <c r="C171" s="5"/>
      <c r="D171" s="7"/>
      <c r="E171" s="7"/>
      <c r="F171" s="7"/>
      <c r="G171" s="7"/>
      <c r="H171" s="12">
        <f t="shared" si="0"/>
        <v>0</v>
      </c>
      <c r="I171" s="7"/>
      <c r="J171" s="5"/>
    </row>
    <row r="172" spans="1:10" ht="13" x14ac:dyDescent="0.15">
      <c r="A172" s="31" t="str">
        <f>HYPERLINK("https://community.topcoder.com/stat?c=problem_statement&amp;pm=12175&amp;rd=15178","XorTravelingSalesman")</f>
        <v>XorTravelingSalesman</v>
      </c>
      <c r="B172" s="19" t="s">
        <v>613</v>
      </c>
      <c r="C172" s="5"/>
      <c r="D172" s="7"/>
      <c r="E172" s="7"/>
      <c r="F172" s="7"/>
      <c r="G172" s="7"/>
      <c r="H172" s="12">
        <f t="shared" si="0"/>
        <v>0</v>
      </c>
      <c r="I172" s="7"/>
      <c r="J172" s="5"/>
    </row>
    <row r="173" spans="1:10" ht="13" x14ac:dyDescent="0.15">
      <c r="A173" s="31" t="str">
        <f>HYPERLINK("https://community.topcoder.com/stat?c=problem_statement&amp;pm=11302&amp;rd=14424","ColorfulCards")</f>
        <v>ColorfulCards</v>
      </c>
      <c r="B173" s="19" t="s">
        <v>617</v>
      </c>
      <c r="C173" s="5"/>
      <c r="D173" s="7"/>
      <c r="E173" s="7"/>
      <c r="F173" s="7"/>
      <c r="G173" s="7"/>
      <c r="H173" s="12">
        <f t="shared" si="0"/>
        <v>0</v>
      </c>
      <c r="I173" s="7"/>
      <c r="J173" s="5"/>
    </row>
    <row r="174" spans="1:10" ht="13" x14ac:dyDescent="0.15">
      <c r="A174" s="31" t="str">
        <f>HYPERLINK("https://community.topcoder.com/stat?c=problem_statement&amp;pm=7973&amp;rd=10781","ChangingSounds")</f>
        <v>ChangingSounds</v>
      </c>
      <c r="B174" s="19" t="s">
        <v>620</v>
      </c>
      <c r="C174" s="5"/>
      <c r="D174" s="7"/>
      <c r="E174" s="7"/>
      <c r="F174" s="7"/>
      <c r="G174" s="7"/>
      <c r="H174" s="12">
        <f t="shared" si="0"/>
        <v>0</v>
      </c>
      <c r="I174" s="7"/>
      <c r="J174" s="5"/>
    </row>
    <row r="175" spans="1:10" ht="13" x14ac:dyDescent="0.15">
      <c r="A175" s="5"/>
      <c r="B175" s="5"/>
      <c r="C175" s="5"/>
      <c r="D175" s="7"/>
      <c r="E175" s="7"/>
      <c r="F175" s="7"/>
      <c r="G175" s="7"/>
      <c r="H175" s="12">
        <f t="shared" si="0"/>
        <v>0</v>
      </c>
      <c r="I175" s="7"/>
      <c r="J175" s="5"/>
    </row>
    <row r="176" spans="1:10" ht="13" x14ac:dyDescent="0.15">
      <c r="A176" s="31" t="str">
        <f>HYPERLINK("https://community.topcoder.com/stat?c=problem_statement&amp;pm=8481&amp;rd=13503","BirthdayReminders")</f>
        <v>BirthdayReminders</v>
      </c>
      <c r="B176" s="19" t="s">
        <v>623</v>
      </c>
      <c r="C176" s="5"/>
      <c r="D176" s="7"/>
      <c r="E176" s="7"/>
      <c r="F176" s="7"/>
      <c r="G176" s="7"/>
      <c r="H176" s="12">
        <f t="shared" si="0"/>
        <v>0</v>
      </c>
      <c r="I176" s="7"/>
      <c r="J176" s="5"/>
    </row>
    <row r="177" spans="1:10" ht="13" x14ac:dyDescent="0.15">
      <c r="A177" s="31" t="str">
        <f>HYPERLINK("https://community.topcoder.com/stat?c=problem_statement&amp;pm=11157&amp;rd=14240","BunnyComputer")</f>
        <v>BunnyComputer</v>
      </c>
      <c r="B177" s="19" t="s">
        <v>626</v>
      </c>
      <c r="C177" s="5"/>
      <c r="D177" s="7"/>
      <c r="E177" s="7"/>
      <c r="F177" s="7"/>
      <c r="G177" s="7"/>
      <c r="H177" s="12">
        <f t="shared" si="0"/>
        <v>0</v>
      </c>
      <c r="I177" s="7"/>
      <c r="J177" s="5"/>
    </row>
    <row r="178" spans="1:10" ht="13" x14ac:dyDescent="0.15">
      <c r="A178" s="31" t="str">
        <f>HYPERLINK("https://community.topcoder.com/stat?c=problem_statement&amp;pm=10104&amp;rd=13512","EquilibriumPoints")</f>
        <v>EquilibriumPoints</v>
      </c>
      <c r="B178" s="19" t="s">
        <v>629</v>
      </c>
      <c r="C178" s="5"/>
      <c r="D178" s="7"/>
      <c r="E178" s="7"/>
      <c r="F178" s="7"/>
      <c r="G178" s="7"/>
      <c r="H178" s="12">
        <f t="shared" si="0"/>
        <v>0</v>
      </c>
      <c r="I178" s="7"/>
      <c r="J178" s="5"/>
    </row>
    <row r="179" spans="1:10" ht="13" x14ac:dyDescent="0.15">
      <c r="A179" s="31" t="str">
        <f>HYPERLINK("https://community.topcoder.com/stat?c=problem_statement&amp;pm=10457&amp;rd=13898","NumericalPerfectionLevel")</f>
        <v>NumericalPerfectionLevel</v>
      </c>
      <c r="B179" s="19" t="s">
        <v>631</v>
      </c>
      <c r="C179" s="5"/>
      <c r="D179" s="7"/>
      <c r="E179" s="7"/>
      <c r="F179" s="7"/>
      <c r="G179" s="7"/>
      <c r="H179" s="12">
        <f t="shared" si="0"/>
        <v>0</v>
      </c>
      <c r="I179" s="7"/>
      <c r="J179" s="5"/>
    </row>
    <row r="180" spans="1:10" ht="13" x14ac:dyDescent="0.15">
      <c r="A180" s="31" t="str">
        <f>HYPERLINK("https://community.topcoder.com/stat?c=problem_statement&amp;pm=11131&amp;rd=14237","RabbitNumber")</f>
        <v>RabbitNumber</v>
      </c>
      <c r="B180" s="19" t="s">
        <v>634</v>
      </c>
      <c r="C180" s="5"/>
      <c r="D180" s="7"/>
      <c r="E180" s="7"/>
      <c r="F180" s="7"/>
      <c r="G180" s="7"/>
      <c r="H180" s="12">
        <f t="shared" si="0"/>
        <v>0</v>
      </c>
      <c r="I180" s="7"/>
      <c r="J180" s="5"/>
    </row>
    <row r="181" spans="1:10" ht="13" x14ac:dyDescent="0.15">
      <c r="A181" s="31" t="str">
        <f>HYPERLINK("https://community.topcoder.com/stat?c=problem_statement&amp;pm=8692&amp;rd=12183","SentenceDecomposition")</f>
        <v>SentenceDecomposition</v>
      </c>
      <c r="B181" s="19" t="s">
        <v>638</v>
      </c>
      <c r="C181" s="5"/>
      <c r="D181" s="7"/>
      <c r="E181" s="7"/>
      <c r="F181" s="7"/>
      <c r="G181" s="7"/>
      <c r="H181" s="12">
        <f t="shared" si="0"/>
        <v>0</v>
      </c>
      <c r="I181" s="7"/>
      <c r="J181" s="5"/>
    </row>
    <row r="182" spans="1:10" ht="13" x14ac:dyDescent="0.15">
      <c r="A182" s="31" t="str">
        <f>HYPERLINK("https://community.topcoder.com/stat?c=problem_statement&amp;pm=12377&amp;rd=15487","TheSquareRootDilemma")</f>
        <v>TheSquareRootDilemma</v>
      </c>
      <c r="B182" s="19" t="s">
        <v>640</v>
      </c>
      <c r="C182" s="5"/>
      <c r="D182" s="7"/>
      <c r="E182" s="7"/>
      <c r="F182" s="7"/>
      <c r="G182" s="7"/>
      <c r="H182" s="12">
        <f t="shared" si="0"/>
        <v>0</v>
      </c>
      <c r="I182" s="7"/>
      <c r="J182" s="5"/>
    </row>
    <row r="183" spans="1:10" ht="13" x14ac:dyDescent="0.15">
      <c r="A183" s="31" t="str">
        <f>HYPERLINK("https://community.topcoder.com/stat?c=problem_statement&amp;pm=7654&amp;rd=10711","DateFormat")</f>
        <v>DateFormat</v>
      </c>
      <c r="B183" s="19" t="s">
        <v>642</v>
      </c>
      <c r="C183" s="5"/>
      <c r="D183" s="7"/>
      <c r="E183" s="7"/>
      <c r="F183" s="7"/>
      <c r="G183" s="7"/>
      <c r="H183" s="12">
        <f t="shared" si="0"/>
        <v>0</v>
      </c>
      <c r="I183" s="7"/>
      <c r="J183" s="5"/>
    </row>
    <row r="184" spans="1:10" ht="13" x14ac:dyDescent="0.15">
      <c r="A184" s="31" t="str">
        <f>HYPERLINK("https://community.topcoder.com/stat?c=problem_statement&amp;pm=6254&amp;rd=10766","Hotel")</f>
        <v>Hotel</v>
      </c>
      <c r="B184" s="19" t="s">
        <v>645</v>
      </c>
      <c r="C184" s="5"/>
      <c r="D184" s="7"/>
      <c r="E184" s="7"/>
      <c r="F184" s="7"/>
      <c r="G184" s="7"/>
      <c r="H184" s="12">
        <f t="shared" si="0"/>
        <v>0</v>
      </c>
      <c r="I184" s="7"/>
      <c r="J184" s="5"/>
    </row>
    <row r="185" spans="1:10" ht="13" x14ac:dyDescent="0.15">
      <c r="A185" s="31" t="str">
        <f>HYPERLINK("https://community.topcoder.com/stat?c=problem_statement&amp;pm=10957&amp;rd=14548","CountingSeries")</f>
        <v>CountingSeries</v>
      </c>
      <c r="B185" s="19" t="s">
        <v>648</v>
      </c>
      <c r="C185" s="5"/>
      <c r="D185" s="7"/>
      <c r="E185" s="7"/>
      <c r="F185" s="7"/>
      <c r="G185" s="7"/>
      <c r="H185" s="12">
        <f t="shared" si="0"/>
        <v>0</v>
      </c>
      <c r="I185" s="7"/>
      <c r="J185" s="5"/>
    </row>
    <row r="186" spans="1:10" ht="13" x14ac:dyDescent="0.15">
      <c r="A186" s="5"/>
      <c r="B186" s="5"/>
      <c r="C186" s="5"/>
      <c r="D186" s="7"/>
      <c r="E186" s="7"/>
      <c r="F186" s="7"/>
      <c r="G186" s="7"/>
      <c r="H186" s="12">
        <f t="shared" si="0"/>
        <v>0</v>
      </c>
      <c r="I186" s="7"/>
      <c r="J186" s="5"/>
    </row>
    <row r="187" spans="1:10" ht="13" x14ac:dyDescent="0.15">
      <c r="A187" s="10" t="s">
        <v>650</v>
      </c>
      <c r="B187" s="10" t="str">
        <f>HYPERLINK("http://codeforces.com/problemset/problem/370/C","CF370-D2-C")</f>
        <v>CF370-D2-C</v>
      </c>
      <c r="C187" s="5"/>
      <c r="D187" s="7"/>
      <c r="E187" s="7"/>
      <c r="F187" s="7"/>
      <c r="G187" s="7"/>
      <c r="H187" s="12">
        <f t="shared" si="0"/>
        <v>0</v>
      </c>
      <c r="I187" s="7"/>
      <c r="J187" s="5"/>
    </row>
    <row r="188" spans="1:10" ht="13" x14ac:dyDescent="0.15">
      <c r="A188" s="10" t="s">
        <v>653</v>
      </c>
      <c r="B188" s="10" t="str">
        <f>HYPERLINK("http://codeforces.com/problemset/problem/358/C","CF358-D2-C")</f>
        <v>CF358-D2-C</v>
      </c>
      <c r="C188" s="5"/>
      <c r="D188" s="7"/>
      <c r="E188" s="7"/>
      <c r="F188" s="7"/>
      <c r="G188" s="7"/>
      <c r="H188" s="12">
        <f t="shared" si="0"/>
        <v>0</v>
      </c>
      <c r="I188" s="7"/>
      <c r="J188" s="5"/>
    </row>
    <row r="189" spans="1:10" ht="13" x14ac:dyDescent="0.15">
      <c r="A189" s="10" t="s">
        <v>656</v>
      </c>
      <c r="B189" s="10" t="str">
        <f>HYPERLINK("http://codeforces.com/problemset/problem/374/C","CF374-D2-C")</f>
        <v>CF374-D2-C</v>
      </c>
      <c r="C189" s="5"/>
      <c r="D189" s="7"/>
      <c r="E189" s="7"/>
      <c r="F189" s="7"/>
      <c r="G189" s="7"/>
      <c r="H189" s="12">
        <f t="shared" si="0"/>
        <v>0</v>
      </c>
      <c r="I189" s="7"/>
      <c r="J189" s="5"/>
    </row>
    <row r="190" spans="1:10" ht="13" x14ac:dyDescent="0.15">
      <c r="A190" s="10" t="s">
        <v>658</v>
      </c>
      <c r="B190" s="10" t="str">
        <f>HYPERLINK("http://codeforces.com/problemset/problem/29/C","CF29-D2-C")</f>
        <v>CF29-D2-C</v>
      </c>
      <c r="C190" s="5"/>
      <c r="D190" s="7"/>
      <c r="E190" s="7"/>
      <c r="F190" s="7"/>
      <c r="G190" s="7"/>
      <c r="H190" s="12">
        <f t="shared" si="0"/>
        <v>0</v>
      </c>
      <c r="I190" s="7"/>
      <c r="J190" s="5"/>
    </row>
    <row r="191" spans="1:10" ht="13" x14ac:dyDescent="0.15">
      <c r="A191" s="10" t="s">
        <v>662</v>
      </c>
      <c r="B191" s="10" t="str">
        <f>HYPERLINK("http://codeforces.com/problemset/problem/27/C","CF27-D2-C")</f>
        <v>CF27-D2-C</v>
      </c>
      <c r="C191" s="5"/>
      <c r="D191" s="7"/>
      <c r="E191" s="7"/>
      <c r="F191" s="7"/>
      <c r="G191" s="7"/>
      <c r="H191" s="12">
        <f t="shared" si="0"/>
        <v>0</v>
      </c>
      <c r="I191" s="7"/>
      <c r="J191" s="5"/>
    </row>
    <row r="192" spans="1:10" ht="13" x14ac:dyDescent="0.15">
      <c r="A192" s="10" t="s">
        <v>665</v>
      </c>
      <c r="B192" s="10" t="str">
        <f>HYPERLINK("http://codeforces.com/problemset/problem/254/C","CF254-D2-C")</f>
        <v>CF254-D2-C</v>
      </c>
      <c r="C192" s="5"/>
      <c r="D192" s="7"/>
      <c r="E192" s="7"/>
      <c r="F192" s="7"/>
      <c r="G192" s="7"/>
      <c r="H192" s="12">
        <f t="shared" si="0"/>
        <v>0</v>
      </c>
      <c r="I192" s="7"/>
      <c r="J192" s="5"/>
    </row>
    <row r="193" spans="1:10" ht="13" x14ac:dyDescent="0.15">
      <c r="A193" s="10" t="s">
        <v>668</v>
      </c>
      <c r="B193" s="10" t="str">
        <f>HYPERLINK("http://codeforces.com/problemset/problem/14/C","CF14-D2-C")</f>
        <v>CF14-D2-C</v>
      </c>
      <c r="C193" s="5"/>
      <c r="D193" s="7"/>
      <c r="E193" s="7"/>
      <c r="F193" s="7"/>
      <c r="G193" s="7"/>
      <c r="H193" s="12">
        <f t="shared" si="0"/>
        <v>0</v>
      </c>
      <c r="I193" s="7"/>
      <c r="J193" s="5"/>
    </row>
    <row r="194" spans="1:10" ht="13" x14ac:dyDescent="0.15">
      <c r="A194" s="10" t="s">
        <v>670</v>
      </c>
      <c r="B194" s="10" t="str">
        <f>HYPERLINK("http://codeforces.com/problemset/problem/216/C","CF216-D2-C")</f>
        <v>CF216-D2-C</v>
      </c>
      <c r="C194" s="5"/>
      <c r="D194" s="7"/>
      <c r="E194" s="7"/>
      <c r="F194" s="7"/>
      <c r="G194" s="7"/>
      <c r="H194" s="12">
        <f t="shared" si="0"/>
        <v>0</v>
      </c>
      <c r="I194" s="7"/>
      <c r="J194" s="5"/>
    </row>
    <row r="195" spans="1:10" ht="13" x14ac:dyDescent="0.15">
      <c r="A195" s="10" t="s">
        <v>25</v>
      </c>
      <c r="B195" s="10" t="str">
        <f>HYPERLINK("http://codeforces.com/problemset/problem/190/C","CF190-D2-C")</f>
        <v>CF190-D2-C</v>
      </c>
      <c r="C195" s="5"/>
      <c r="D195" s="7"/>
      <c r="E195" s="7"/>
      <c r="F195" s="7"/>
      <c r="G195" s="7"/>
      <c r="H195" s="12">
        <f t="shared" si="0"/>
        <v>0</v>
      </c>
      <c r="I195" s="7"/>
      <c r="J195" s="5"/>
    </row>
    <row r="196" spans="1:10" ht="13" x14ac:dyDescent="0.15">
      <c r="A196" s="10" t="s">
        <v>674</v>
      </c>
      <c r="B196" s="10" t="str">
        <f>HYPERLINK("http://codeforces.com/problemset/problem/22/C","CF22-D2-C")</f>
        <v>CF22-D2-C</v>
      </c>
      <c r="C196" s="5"/>
      <c r="D196" s="7"/>
      <c r="E196" s="7"/>
      <c r="F196" s="7"/>
      <c r="G196" s="7"/>
      <c r="H196" s="12">
        <f t="shared" si="0"/>
        <v>0</v>
      </c>
      <c r="I196" s="7"/>
      <c r="J196" s="5"/>
    </row>
    <row r="197" spans="1:10" ht="13" x14ac:dyDescent="0.15">
      <c r="A197" s="5"/>
      <c r="B197" s="5"/>
      <c r="C197" s="5"/>
      <c r="D197" s="7"/>
      <c r="E197" s="7"/>
      <c r="F197" s="7"/>
      <c r="G197" s="7"/>
      <c r="H197" s="12">
        <f t="shared" si="0"/>
        <v>0</v>
      </c>
      <c r="I197" s="7"/>
      <c r="J197" s="5"/>
    </row>
    <row r="198" spans="1:10" ht="13" x14ac:dyDescent="0.15">
      <c r="A198" s="10" t="s">
        <v>679</v>
      </c>
      <c r="B198" s="10" t="str">
        <f>HYPERLINK("http://codeforces.com/problemset/problem/362/C","CF362-D2-C")</f>
        <v>CF362-D2-C</v>
      </c>
      <c r="C198" s="5"/>
      <c r="D198" s="7"/>
      <c r="E198" s="7"/>
      <c r="F198" s="7"/>
      <c r="G198" s="7"/>
      <c r="H198" s="12">
        <f t="shared" si="0"/>
        <v>0</v>
      </c>
      <c r="I198" s="7"/>
      <c r="J198" s="5"/>
    </row>
    <row r="199" spans="1:10" ht="13" x14ac:dyDescent="0.15">
      <c r="A199" s="10" t="s">
        <v>682</v>
      </c>
      <c r="B199" s="10" t="str">
        <f>HYPERLINK("http://codeforces.com/problemset/problem/35/C","CF35-D2-C")</f>
        <v>CF35-D2-C</v>
      </c>
      <c r="C199" s="5"/>
      <c r="D199" s="7"/>
      <c r="E199" s="7"/>
      <c r="F199" s="7"/>
      <c r="G199" s="7"/>
      <c r="H199" s="12">
        <f t="shared" si="0"/>
        <v>0</v>
      </c>
      <c r="I199" s="7"/>
      <c r="J199" s="5"/>
    </row>
    <row r="200" spans="1:10" ht="13" x14ac:dyDescent="0.15">
      <c r="A200" s="10" t="s">
        <v>686</v>
      </c>
      <c r="B200" s="10" t="str">
        <f>HYPERLINK("http://codeforces.com/problemset/problem/59/C","CF59-D2-C")</f>
        <v>CF59-D2-C</v>
      </c>
      <c r="C200" s="5"/>
      <c r="D200" s="7"/>
      <c r="E200" s="7"/>
      <c r="F200" s="7"/>
      <c r="G200" s="7"/>
      <c r="H200" s="12">
        <f t="shared" si="0"/>
        <v>0</v>
      </c>
      <c r="I200" s="7"/>
      <c r="J200" s="5"/>
    </row>
    <row r="201" spans="1:10" ht="13" x14ac:dyDescent="0.15">
      <c r="A201" s="10" t="s">
        <v>688</v>
      </c>
      <c r="B201" s="10" t="str">
        <f>HYPERLINK("http://codeforces.com/problemset/problem/266/C","CF266-D2-C")</f>
        <v>CF266-D2-C</v>
      </c>
      <c r="C201" s="5"/>
      <c r="D201" s="7"/>
      <c r="E201" s="7"/>
      <c r="F201" s="7"/>
      <c r="G201" s="7"/>
      <c r="H201" s="12">
        <f t="shared" si="0"/>
        <v>0</v>
      </c>
      <c r="I201" s="7"/>
      <c r="J201" s="5"/>
    </row>
  </sheetData>
  <mergeCells count="2">
    <mergeCell ref="D108:G108"/>
    <mergeCell ref="I108:J108"/>
  </mergeCells>
  <conditionalFormatting sqref="C3:C201">
    <cfRule type="cellIs" dxfId="44" priority="1" operator="equal">
      <formula>"AC"</formula>
    </cfRule>
  </conditionalFormatting>
  <conditionalFormatting sqref="C3:C201">
    <cfRule type="containsText" dxfId="43" priority="2" operator="containsText" text="WA">
      <formula>NOT(ISERROR(SEARCH(("WA"),(C3))))</formula>
    </cfRule>
  </conditionalFormatting>
  <conditionalFormatting sqref="C13:C201">
    <cfRule type="containsText" dxfId="42" priority="3" operator="containsText" text="WA">
      <formula>NOT(ISERROR(SEARCH(("WA"),(C13))))</formula>
    </cfRule>
  </conditionalFormatting>
  <conditionalFormatting sqref="C3:C201">
    <cfRule type="containsText" dxfId="41" priority="4" operator="containsText" text="TLE">
      <formula>NOT(ISERROR(SEARCH(("TLE"),(C3))))</formula>
    </cfRule>
  </conditionalFormatting>
  <conditionalFormatting sqref="C13:C201">
    <cfRule type="containsText" dxfId="40" priority="5" operator="containsText" text="TLE">
      <formula>NOT(ISERROR(SEARCH(("TLE"),(C13))))</formula>
    </cfRule>
  </conditionalFormatting>
  <conditionalFormatting sqref="C3:C201">
    <cfRule type="containsText" dxfId="39" priority="6" operator="containsText" text="RTE">
      <formula>NOT(ISERROR(SEARCH(("RTE"),(C3))))</formula>
    </cfRule>
  </conditionalFormatting>
  <conditionalFormatting sqref="C13:C201">
    <cfRule type="containsText" dxfId="38" priority="7" operator="containsText" text="RTE">
      <formula>NOT(ISERROR(SEARCH(("RTE"),(C13))))</formula>
    </cfRule>
  </conditionalFormatting>
  <conditionalFormatting sqref="C3:C201">
    <cfRule type="containsText" dxfId="37" priority="8" operator="containsText" text="CS">
      <formula>NOT(ISERROR(SEARCH(("CS"),(C3))))</formula>
    </cfRule>
  </conditionalFormatting>
  <conditionalFormatting sqref="C13:C201">
    <cfRule type="containsText" dxfId="36" priority="9" operator="containsText" text="CS">
      <formula>NOT(ISERROR(SEARCH(("CS"),(C13))))</formula>
    </cfRule>
  </conditionalFormatting>
  <hyperlinks>
    <hyperlink ref="J3" r:id="rId1" display="https://www.youtube.com/watch?v=7z1498LTCgg"/>
    <hyperlink ref="J4" r:id="rId2" display="https://www.youtube.com/watch?v=Tm_Vlkv4mOo"/>
    <hyperlink ref="J5" r:id="rId3" display="https://www.youtube.com/watch?v=6Fx8T_NBA7Q"/>
    <hyperlink ref="J6" r:id="rId4" display="https://www.youtube.com/watch?v=F0hmrbOW8nw"/>
    <hyperlink ref="A7" r:id="rId5" display="https://community.topcoder.com/stat?c=problem_statement&amp;pm=9839&amp;rd=13504"/>
    <hyperlink ref="A8" r:id="rId6" display="https://community.topcoder.com/stat?c=problem_statement&amp;pm=10268&amp;rd=13696"/>
    <hyperlink ref="A9" r:id="rId7" display="https://community.topcoder.com/stat?c=problem_statement&amp;pm=10862&amp;rd=14150"/>
    <hyperlink ref="A10" r:id="rId8" display="https://community.topcoder.com/stat?c=problem_statement&amp;pm=8444&amp;rd=11120"/>
    <hyperlink ref="A11" r:id="rId9" display="https://community.topcoder.com/stat?c=problem_statement&amp;pm=11064&amp;rd=14159"/>
    <hyperlink ref="A12" r:id="rId10" display="https://community.topcoder.com/stat?c=problem_statement&amp;pm=8374&amp;rd=10793"/>
    <hyperlink ref="A13" r:id="rId11" display="https://community.topcoder.com/stat?c=problem_statement&amp;pm=7397&amp;rd=10665"/>
    <hyperlink ref="A14" r:id="rId12" display="https://community.topcoder.com/stat?c=problem_statement&amp;pm=8414&amp;rd=10804"/>
    <hyperlink ref="A15" r:id="rId13" display="https://community.topcoder.com/stat?c=problem_statement&amp;pm=10195&amp;rd=13695"/>
    <hyperlink ref="A16" r:id="rId14" display="https://community.topcoder.com/stat?c=problem_statement&amp;pm=11035&amp;rd=14236"/>
    <hyperlink ref="J17" r:id="rId15" display="https://www.youtube.com/watch?v=IGaJWl0jPY4"/>
    <hyperlink ref="J18" r:id="rId16" display="https://www.youtube.com/watch?v=xVMe4JSEQo0&amp;index=14&amp;list=PLPt2dINI2MIb4OXlJ_EEwIDV9WVUpRQ5K"/>
    <hyperlink ref="A19" r:id="rId17" display="https://community.topcoder.com/stat?c=problem_statement&amp;pm=11308&amp;rd=14552"/>
    <hyperlink ref="A20" r:id="rId18" display="https://community.topcoder.com/stat?c=problem_statement&amp;pm=8427&amp;rd=12178"/>
    <hyperlink ref="A21" r:id="rId19" display="https://community.topcoder.com/stat?c=problem_statement&amp;pm=11434&amp;rd=14437"/>
    <hyperlink ref="A22" r:id="rId20" display="https://community.topcoder.com/stat?c=problem_statement&amp;pm=12033&amp;rd=15172"/>
    <hyperlink ref="A23" r:id="rId21" display="https://community.topcoder.com/stat?c=round_overview&amp;er=5&amp;rd=14144"/>
    <hyperlink ref="A24" r:id="rId22" display="https://community.topcoder.com/stat?c=problem_statement&amp;pm=8527&amp;rd=11121"/>
    <hyperlink ref="A25" r:id="rId23" display="https://community.topcoder.com/stat?c=problem_statement&amp;pm=12521&amp;rd=15497"/>
    <hyperlink ref="A26" r:id="rId24" display="https://community.topcoder.com/stat?c=problem_statement&amp;pm=11855&amp;rd=14731"/>
    <hyperlink ref="A27" r:id="rId25" display="https://community.topcoder.com/stat?c=problem_statement&amp;pm=10992&amp;rd=14239"/>
    <hyperlink ref="A28" r:id="rId26" display="https://community.topcoder.com/stat?c=problem_statement&amp;pm=8594&amp;rd=11128"/>
    <hyperlink ref="J29" r:id="rId27" display="https://www.youtube.com/watch?v=0wlc8Rhyybo"/>
    <hyperlink ref="J30" r:id="rId28" display="https://www.youtube.com/watch?v=5zILiqyQ2ts"/>
    <hyperlink ref="J31" r:id="rId29" display="https://www.youtube.com/watch?v=9fwHOeebIgc"/>
    <hyperlink ref="J32" r:id="rId30" display="https://www.youtube.com/watch?v=YUIwEX8UEN0"/>
    <hyperlink ref="A33" r:id="rId31" display="https://community.topcoder.com/stat?c=problem_statement&amp;pm=8319&amp;rd=10805"/>
    <hyperlink ref="A34" r:id="rId32" display="https://community.topcoder.com/stat?c=problem_statement&amp;pm=8817&amp;rd=12182"/>
    <hyperlink ref="A35" r:id="rId33" display="https://community.topcoder.com/stat?c=problem_statement&amp;pm=10688&amp;rd=13907"/>
    <hyperlink ref="A36" r:id="rId34" display="https://community.topcoder.com/stat?c=problem_statement&amp;pm=11342&amp;rd=14429"/>
    <hyperlink ref="A37" r:id="rId35" display="https://community.topcoder.com/stat?c=problem_statement&amp;pm=11887&amp;rd=14733"/>
    <hyperlink ref="A38" r:id="rId36" display="https://community.topcoder.com/stat?c=problem_statement&amp;pm=12588&amp;rd=15501"/>
    <hyperlink ref="A39" r:id="rId37" display="https://community.topcoder.com/stat?c=problem_statement&amp;pm=8763&amp;rd=12172"/>
    <hyperlink ref="A40" r:id="rId38" display="https://community.topcoder.com/stat?c=problem_statement&amp;pm=10369&amp;rd=13699"/>
    <hyperlink ref="A41" r:id="rId39" display="https://community.topcoder.com/stat?c=problem_statement&amp;pm=11934&amp;rd=14734"/>
    <hyperlink ref="A42" r:id="rId40" display="https://community.topcoder.com/stat?c=problem_statement&amp;pm=12025&amp;rd=14737"/>
    <hyperlink ref="J43" r:id="rId41" display="https://www.youtube.com/watch?v=QuOiEwefssM"/>
    <hyperlink ref="J44" r:id="rId42" display="https://www.youtube.com/watch?v=eF5bfvC8O38"/>
    <hyperlink ref="A45" r:id="rId43" display="https://community.topcoder.com/stat?c=problem_statement&amp;pm=10724&amp;rd=14149"/>
    <hyperlink ref="A46" r:id="rId44" display="https://community.topcoder.com/stat?c=problem_statement&amp;pm=10823&amp;rd=14151"/>
    <hyperlink ref="A47" r:id="rId45" display="https://community.topcoder.com/stat?c=problem_statement&amp;pm=12314&amp;rd=15183"/>
    <hyperlink ref="A48" r:id="rId46" display="https://community.topcoder.com/stat?c=problem_statement&amp;pm=12146&amp;rd=15174"/>
    <hyperlink ref="A49" r:id="rId47" display="https://community.topcoder.com/stat?c=problem_statement&amp;pm=11774&amp;rd=14724"/>
    <hyperlink ref="A50" r:id="rId48" display="https://community.topcoder.com/stat?c=problem_statement&amp;pm=12296&amp;rd=15182"/>
    <hyperlink ref="A51" r:id="rId49" display="https://community.topcoder.com/stat?c=problem_statement&amp;pm=11842&amp;rd=14732"/>
    <hyperlink ref="A52" r:id="rId50" display="https://community.topcoder.com/stat?c=problem_statement&amp;pm=7716&amp;rd=10768"/>
    <hyperlink ref="A53" r:id="rId51" display="https://community.topcoder.com/stat?c=problem_statement&amp;pm=12201&amp;rd=15181"/>
    <hyperlink ref="A54" r:id="rId52" display="https://community.topcoder.com/stat?c=problem_statement&amp;pm=9976&amp;rd=13514"/>
    <hyperlink ref="J55" r:id="rId53" display="https://www.youtube.com/watch?v=TP8QXP6PBqM"/>
    <hyperlink ref="J56" r:id="rId54" display="https://www.youtube.com/watch?v=fT4JZU5hO58"/>
    <hyperlink ref="J57" r:id="rId55" display="https://www.youtube.com/watch?v=uKSLJw0ZUd8"/>
    <hyperlink ref="J58" r:id="rId56" display="https://www.youtube.com/watch?v=f_lt366qTZc"/>
    <hyperlink ref="A59" r:id="rId57" display="https://community.topcoder.com/stat?c=problem_statement&amp;pm=11197&amp;rd=14241"/>
    <hyperlink ref="A60" r:id="rId58" display="https://community.topcoder.com/stat?c=problem_statement&amp;pm=12812&amp;rd=15706"/>
    <hyperlink ref="A61" r:id="rId59" display="https://community.topcoder.com/stat?c=problem_statement&amp;pm=10618&amp;rd=13902"/>
    <hyperlink ref="A62" r:id="rId60" display="https://community.topcoder.com/stat?c=problem_statement&amp;pm=10547&amp;rd=13903"/>
    <hyperlink ref="A63" r:id="rId61" display="https://community.topcoder.com/stat?c=problem_statement&amp;pm=11535&amp;rd=14542"/>
    <hyperlink ref="A64" r:id="rId62" display="https://community.topcoder.com/stat?c=problem_statement&amp;pm=12575&amp;rd=15500"/>
    <hyperlink ref="A65" r:id="rId63" display="https://community.topcoder.com/stat?c=problem_statement&amp;pm=12610&amp;rd=15503"/>
    <hyperlink ref="A66" r:id="rId64" display="https://community.topcoder.com/stat?c=problem_statement&amp;pm=11485&amp;rd=14536"/>
    <hyperlink ref="A67" r:id="rId65" display="https://community.topcoder.com/stat?c=problem_statement&amp;pm=11295&amp;rd=14537"/>
    <hyperlink ref="A68" r:id="rId66" display="https://community.topcoder.com/stat?c=problem_statement&amp;pm=11665&amp;rd=14550"/>
    <hyperlink ref="J69" r:id="rId67" display="https://www.youtube.com/watch?v=71lp43FM7xU"/>
    <hyperlink ref="J70" r:id="rId68" display="https://www.youtube.com/watch?v=p8MFuDxvnuo"/>
    <hyperlink ref="A71" r:id="rId69" display="https://community.topcoder.com/stat?c=problem_statement&amp;pm=11464&amp;rd=14439"/>
    <hyperlink ref="A72" r:id="rId70" display="https://community.topcoder.com/stat?c=problem_statement&amp;pm=11951&amp;rd=14736"/>
    <hyperlink ref="A73" r:id="rId71" display="https://community.topcoder.com/stat?c=problem_statement&amp;pm=12928&amp;rd=15820"/>
    <hyperlink ref="A74" r:id="rId72" display="https://community.topcoder.com/stat?c=problem_statement&amp;pm=11910&amp;rd=14735"/>
    <hyperlink ref="A75" r:id="rId73" display="https://community.topcoder.com/stat?c=problem_statement&amp;pm=12707&amp;rd=15700"/>
    <hyperlink ref="A76" r:id="rId74" display="https://community.topcoder.com/stat?c=problem_statement&amp;pm=9823&amp;rd=12181"/>
    <hyperlink ref="A77" r:id="rId75" display="https://community.topcoder.com/stat?c=problem_statement&amp;pm=11502&amp;rd=14538"/>
    <hyperlink ref="A78" r:id="rId76" display="https://community.topcoder.com/stat?c=problem_statement&amp;pm=12732&amp;rd=15701"/>
    <hyperlink ref="A79" r:id="rId77" display="https://community.topcoder.com/stat?c=problem_statement&amp;pm=12613&amp;rd=15696"/>
    <hyperlink ref="A80" r:id="rId78" display="https://community.topcoder.com/stat?c=problem_statement&amp;pm=11315&amp;rd=14436"/>
    <hyperlink ref="J81" r:id="rId79" display="https://www.youtube.com/watch?v=Z-1Z-1utYuI"/>
    <hyperlink ref="J82" r:id="rId80" display="https://www.youtube.com/watch?v=62oWdABsCRc"/>
    <hyperlink ref="J83" r:id="rId81" display="https://www.youtube.com/watch?v=bXbm6UUzqB8"/>
    <hyperlink ref="A84" r:id="rId82" display="https://community.topcoder.com/stat?c=problem_statement&amp;pm=11292&amp;rd=14422"/>
    <hyperlink ref="A85" r:id="rId83" display="https://community.topcoder.com/stat?c=problem_statement&amp;pm=11835&amp;rd=15180"/>
    <hyperlink ref="A86" r:id="rId84" display="https://community.topcoder.com/stat?c=problem_statement&amp;pm=10589&amp;rd=14147"/>
    <hyperlink ref="A87" r:id="rId85" display="https://community.topcoder.com/stat?c=problem_statement&amp;pm=7901&amp;rd=10765"/>
    <hyperlink ref="A88" r:id="rId86" display="https://community.topcoder.com/stat?c=problem_statement&amp;pm=11364&amp;rd=15037"/>
    <hyperlink ref="A89" r:id="rId87" display="https://community.topcoder.com/stat?c=problem_statement&amp;pm=12870&amp;rd=15711"/>
    <hyperlink ref="A90" r:id="rId88" display="https://community.topcoder.com/stat?c=problem_statement&amp;pm=12743&amp;rd=15702"/>
    <hyperlink ref="A91" r:id="rId89" display="https://community.topcoder.com/stat?c=problem_statement&amp;pm=12355&amp;rd=15486"/>
    <hyperlink ref="A92" r:id="rId90" display="https://community.topcoder.com/stat?c=problem_statement&amp;pm=12137&amp;rd=15173"/>
    <hyperlink ref="A93" r:id="rId91" display="https://community.topcoder.com/stat?c=problem_statement&amp;pm=12523&amp;rd=15499"/>
    <hyperlink ref="J94" r:id="rId92" display="https://www.youtube.com/watch?v=8aATaY9sdeE"/>
    <hyperlink ref="J95" r:id="rId93" display="https://www.youtube.com/watch?v=AIjk-KVgjQo"/>
    <hyperlink ref="B96" r:id="rId94" display="http://codeforces.com/problemset/problem/75/C"/>
    <hyperlink ref="B97" r:id="rId95" display="http://codeforces.com/problemset/problem/25/C"/>
    <hyperlink ref="B98" r:id="rId96" display="http://codeforces.com/problemset/problem/509/C"/>
    <hyperlink ref="B99" r:id="rId97" display="http://codeforces.com/problemset/problem/342/C"/>
    <hyperlink ref="B100" r:id="rId98" display="http://codeforces.com/problemset/problem/253/C"/>
    <hyperlink ref="B101" r:id="rId99" display="http://codeforces.com/problemset/problem/294/C"/>
    <hyperlink ref="B102" r:id="rId100" display="http://codeforces.com/problemset/problem/118/C"/>
    <hyperlink ref="B103" r:id="rId101" display="http://codeforces.com/problemset/problem/359/C"/>
    <hyperlink ref="B104" r:id="rId102" display="http://codeforces.com/problemset/problem/141/C"/>
    <hyperlink ref="B105" r:id="rId103" display="http://codeforces.com/problemset/problem/191/C"/>
    <hyperlink ref="A110" r:id="rId104" display="https://community.topcoder.com/stat?c=problem_statement&amp;pm=3490&amp;rd=8001"/>
    <hyperlink ref="A111" r:id="rId105" display="https://community.topcoder.com/stat?c=problem_statement&amp;pm=7735&amp;rd=10775"/>
    <hyperlink ref="A112" r:id="rId106" display="https://community.topcoder.com/stat?c=problem_statement&amp;pm=4487&amp;rd=7220"/>
    <hyperlink ref="A113" r:id="rId107" display="https://community.topcoder.com/stat?c=problem_statement&amp;pm=11306&amp;rd=14425"/>
    <hyperlink ref="A114" r:id="rId108" display="https://community.topcoder.com/stat?c=problem_statement&amp;pm=10708&amp;rd=13908"/>
    <hyperlink ref="A115" r:id="rId109" display="https://community.topcoder.com/stat?c=problem_statement&amp;pm=8467&amp;rd=12180"/>
    <hyperlink ref="A116" r:id="rId110" display="https://community.topcoder.com/stat?c=problem_statement&amp;pm=12332&amp;rd=15185"/>
    <hyperlink ref="A117" r:id="rId111" display="https://community.topcoder.com/stat?c=problem_statement&amp;pm=10943&amp;rd=14546"/>
    <hyperlink ref="A118" r:id="rId112" display="https://community.topcoder.com/stat?c=problem_statement&amp;pm=8520&amp;rd=11122"/>
    <hyperlink ref="A119" r:id="rId113" display="https://community.topcoder.com/stat?c=problem_statement&amp;pm=8464&amp;rd=11129"/>
    <hyperlink ref="A121" r:id="rId114" display="https://community.topcoder.com/stat?c=problem_statement&amp;pm=1225&amp;rd=4540"/>
    <hyperlink ref="A122" r:id="rId115" display="https://community.topcoder.com/stat?c=problem_statement&amp;pm=10155&amp;rd=13518"/>
    <hyperlink ref="A123" r:id="rId116" display="https://community.topcoder.com/stat?c=problem_statement&amp;pm=8440&amp;rd=10800"/>
    <hyperlink ref="A124" r:id="rId117" display="https://community.topcoder.com/stat?c=problem_statement&amp;pm=11274&amp;rd=14723"/>
    <hyperlink ref="A125" r:id="rId118" display="https://community.topcoder.com/stat?c=problem_statement&amp;pm=9921&amp;rd=13521"/>
    <hyperlink ref="A126" r:id="rId119" display="https://community.topcoder.com/stat?c=problem_statement&amp;pm=10154&amp;rd=13694"/>
    <hyperlink ref="A127" r:id="rId120" display="https://community.topcoder.com/stat?c=problem_statement&amp;pm=10797&amp;rd=14186"/>
    <hyperlink ref="A128" r:id="rId121" display="https://community.topcoder.com/stat?c=problem_statement&amp;pm=10915&amp;rd=14153"/>
    <hyperlink ref="A129" r:id="rId122" display="https://community.topcoder.com/stat?c=problem_statement&amp;pm=8193&amp;rd=10785"/>
    <hyperlink ref="A130" r:id="rId123" display="https://community.topcoder.com/stat?c=problem_statement&amp;pm=11004&amp;rd=14234"/>
    <hyperlink ref="A132" r:id="rId124" display="https://community.topcoder.com/stat?c=problem_statement&amp;pm=11035&amp;rd=14236"/>
    <hyperlink ref="A133" r:id="rId125" display="https://community.topcoder.com/stat?c=problem_statement&amp;pm=10054&amp;rd=13510"/>
    <hyperlink ref="A134" r:id="rId126" display="https://community.topcoder.com/stat?c=problem_statement&amp;pm=12351&amp;rd=15187"/>
    <hyperlink ref="A135" r:id="rId127" display="https://community.topcoder.com/stat?c=problem_statement&amp;pm=9895&amp;rd=13505"/>
    <hyperlink ref="A136" r:id="rId128" display="https://community.topcoder.com/stat?c=problem_statement&amp;pm=10261&amp;rd=13522"/>
    <hyperlink ref="A137" r:id="rId129" display="https://community.topcoder.com/stat?c=problem_statement&amp;pm=11060&amp;rd=14245"/>
    <hyperlink ref="A138" r:id="rId130" display="https://community.topcoder.com/stat?c=problem_statement&amp;pm=11219&amp;rd=14427"/>
    <hyperlink ref="A139" r:id="rId131" display="https://community.topcoder.com/stat?c=problem_statement&amp;pm=7613&amp;rd=10674"/>
    <hyperlink ref="A140" r:id="rId132" display="https://community.topcoder.com/stat?c=problem_statement&amp;pm=8706&amp;rd=11126"/>
    <hyperlink ref="A141" r:id="rId133" display="https://community.topcoder.com/stat?c=problem_statement&amp;pm=7787&amp;rd=10780"/>
    <hyperlink ref="A143" r:id="rId134" display="https://community.topcoder.com/stat?c=problem_statement&amp;pm=8302&amp;rd=12174"/>
    <hyperlink ref="A144" r:id="rId135" display="https://community.topcoder.com/stat?c=problem_statement&amp;pm=8060&amp;rd=10778"/>
    <hyperlink ref="A145" r:id="rId136" display="https://community.topcoder.com/stat?c=problem_statement&amp;pm=7759&amp;rd=10712"/>
    <hyperlink ref="A146" r:id="rId137" display="https://community.topcoder.com/stat?c=problem_statement&amp;pm=9943&amp;rd=13508"/>
    <hyperlink ref="A147" r:id="rId138" display="https://community.topcoder.com/stat?c=problem_statement&amp;pm=10759&amp;rd=14154"/>
    <hyperlink ref="A148" r:id="rId139" display="https://community.topcoder.com/stat?c=problem_statement&amp;pm=10095&amp;rd=13516"/>
    <hyperlink ref="A149" r:id="rId140" display="https://community.topcoder.com/stat?c=problem_statement&amp;pm=8576&amp;rd=13507"/>
    <hyperlink ref="A150" r:id="rId141" display="https://community.topcoder.com/stat?c=problem_statement&amp;pm=11667&amp;rd=14551"/>
    <hyperlink ref="A151" r:id="rId142" display="https://community.topcoder.com/stat?c=problem_statement&amp;pm=12398&amp;rd=15488"/>
    <hyperlink ref="A152" r:id="rId143" display="https://community.topcoder.com/stat?c=problem_statement&amp;pm=8223&amp;rd=10789"/>
    <hyperlink ref="A154" r:id="rId144" display="https://community.topcoder.com/stat?c=problem_statement&amp;pm=12318&amp;rd=15184"/>
    <hyperlink ref="A155" r:id="rId145" display="https://community.topcoder.com/stat?c=problem_statement&amp;pm=8087&amp;rd=10791"/>
    <hyperlink ref="A156" r:id="rId146" display="https://community.topcoder.com/stat?c=problem_statement&amp;pm=12854&amp;rd=15709"/>
    <hyperlink ref="A157" r:id="rId147" display="https://community.topcoder.com/stat?c=problem_statement&amp;pm=10196&amp;rd=13517"/>
    <hyperlink ref="A158" r:id="rId148" display="https://community.topcoder.com/stat?c=problem_statement&amp;pm=8589&amp;rd=11124"/>
    <hyperlink ref="A159" r:id="rId149" display="https://community.topcoder.com/stat?c=problem_statement&amp;pm=8568&amp;rd=12175"/>
    <hyperlink ref="A160" r:id="rId150" display="https://community.topcoder.com/stat?c=problem_statement&amp;pm=12504&amp;rd=15496"/>
    <hyperlink ref="A161" r:id="rId151" display="https://community.topcoder.com/stat?c=problem_statement&amp;pm=11227&amp;rd=14243"/>
    <hyperlink ref="A162" r:id="rId152" display="https://community.topcoder.com/stat?c=problem_statement&amp;pm=9954&amp;rd=13506"/>
    <hyperlink ref="A165" r:id="rId153" display="https://community.topcoder.com/stat?c=problem_statement&amp;pm=12754&amp;rd=15703"/>
    <hyperlink ref="A166" r:id="rId154" display="https://community.topcoder.com/stat?c=problem_statement&amp;pm=10246&amp;rd=13520"/>
    <hyperlink ref="A167" r:id="rId155" display="https://community.topcoder.com/stat?c=problem_statement&amp;pm=11808&amp;rd=14729"/>
    <hyperlink ref="A168" r:id="rId156" display="https://community.topcoder.com/stat?c=problem_statement&amp;pm=12545&amp;rd=15498"/>
    <hyperlink ref="A169" r:id="rId157" display="https://community.topcoder.com/stat?c=problem_statement&amp;pm=11967&amp;rd=15170"/>
    <hyperlink ref="A170" r:id="rId158" display="https://community.topcoder.com/stat?c=problem_statement&amp;pm=11354&amp;rd=15175"/>
    <hyperlink ref="A171" r:id="rId159" display="https://community.topcoder.com/stat?c=problem_statement&amp;pm=10360&amp;rd=13803"/>
    <hyperlink ref="A172" r:id="rId160" display="https://community.topcoder.com/stat?c=problem_statement&amp;pm=12175&amp;rd=15178"/>
    <hyperlink ref="A173" r:id="rId161" display="https://community.topcoder.com/stat?c=problem_statement&amp;pm=11302&amp;rd=14424"/>
    <hyperlink ref="A174" r:id="rId162" display="https://community.topcoder.com/stat?c=problem_statement&amp;pm=7973&amp;rd=10781"/>
    <hyperlink ref="A176" r:id="rId163" display="https://community.topcoder.com/stat?c=problem_statement&amp;pm=8481&amp;rd=13503"/>
    <hyperlink ref="A177" r:id="rId164" display="https://community.topcoder.com/stat?c=problem_statement&amp;pm=11157&amp;rd=14240"/>
    <hyperlink ref="A178" r:id="rId165" display="https://community.topcoder.com/stat?c=problem_statement&amp;pm=10104&amp;rd=13512"/>
    <hyperlink ref="A179" r:id="rId166" display="https://community.topcoder.com/stat?c=problem_statement&amp;pm=10457&amp;rd=13898"/>
    <hyperlink ref="A180" r:id="rId167" display="https://community.topcoder.com/stat?c=problem_statement&amp;pm=11131&amp;rd=14237"/>
    <hyperlink ref="A181" r:id="rId168" display="https://community.topcoder.com/stat?c=problem_statement&amp;pm=8692&amp;rd=12183"/>
    <hyperlink ref="A182" r:id="rId169" display="https://community.topcoder.com/stat?c=problem_statement&amp;pm=12377&amp;rd=15487"/>
    <hyperlink ref="A183" r:id="rId170" display="https://community.topcoder.com/stat?c=problem_statement&amp;pm=7654&amp;rd=10711"/>
    <hyperlink ref="A184" r:id="rId171" display="https://community.topcoder.com/stat?c=problem_statement&amp;pm=6254&amp;rd=10766"/>
    <hyperlink ref="A185" r:id="rId172" display="https://community.topcoder.com/stat?c=problem_statement&amp;pm=10957&amp;rd=14548"/>
    <hyperlink ref="B187" r:id="rId173" display="http://codeforces.com/problemset/problem/370/C"/>
    <hyperlink ref="B188" r:id="rId174" display="http://codeforces.com/problemset/problem/358/C"/>
    <hyperlink ref="B189" r:id="rId175" display="http://codeforces.com/problemset/problem/374/C"/>
    <hyperlink ref="B190" r:id="rId176" display="http://codeforces.com/problemset/problem/29/C"/>
    <hyperlink ref="B191" r:id="rId177" display="http://codeforces.com/problemset/problem/27/C"/>
    <hyperlink ref="B192" r:id="rId178" display="http://codeforces.com/problemset/problem/254/C"/>
    <hyperlink ref="B193" r:id="rId179" display="http://codeforces.com/problemset/problem/14/C"/>
    <hyperlink ref="B194" r:id="rId180" display="http://codeforces.com/problemset/problem/216/C"/>
    <hyperlink ref="B195" r:id="rId181" display="http://codeforces.com/problemset/problem/190/C"/>
    <hyperlink ref="B196" r:id="rId182" display="http://codeforces.com/problemset/problem/22/C"/>
    <hyperlink ref="B198" r:id="rId183" display="http://codeforces.com/problemset/problem/362/C"/>
    <hyperlink ref="B199" r:id="rId184" display="http://codeforces.com/problemset/problem/35/C"/>
    <hyperlink ref="B200" r:id="rId185" display="http://codeforces.com/problemset/problem/59/C"/>
    <hyperlink ref="B201" r:id="rId186" display="http://codeforces.com/problemset/problem/266/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7.33203125" defaultRowHeight="15.75" customHeight="1" x14ac:dyDescent="0.15"/>
  <cols>
    <col min="1" max="1" width="23.5" customWidth="1"/>
    <col min="3" max="3" width="6.83203125" customWidth="1"/>
    <col min="4" max="4" width="13" customWidth="1"/>
    <col min="5" max="5" width="8.5" customWidth="1"/>
    <col min="6" max="6" width="8.6640625" customWidth="1"/>
    <col min="7" max="7" width="10" customWidth="1"/>
    <col min="8" max="8" width="8.5" customWidth="1"/>
    <col min="9" max="9" width="10" customWidth="1"/>
    <col min="10" max="10" width="161.5" customWidth="1"/>
  </cols>
  <sheetData>
    <row r="1" spans="1:10" ht="15.75" customHeight="1" x14ac:dyDescent="0.15">
      <c r="A1" s="1" t="s">
        <v>0</v>
      </c>
      <c r="B1" s="1" t="s">
        <v>4</v>
      </c>
      <c r="C1" s="2" t="s">
        <v>2</v>
      </c>
      <c r="D1" s="3" t="s">
        <v>5</v>
      </c>
      <c r="E1" s="3" t="s">
        <v>7</v>
      </c>
      <c r="F1" s="2" t="s">
        <v>8</v>
      </c>
      <c r="G1" s="3" t="s">
        <v>9</v>
      </c>
      <c r="H1" s="3" t="s">
        <v>10</v>
      </c>
      <c r="I1" s="2" t="s">
        <v>11</v>
      </c>
      <c r="J1" s="4" t="s">
        <v>13</v>
      </c>
    </row>
    <row r="2" spans="1:10" ht="15.75" customHeight="1" x14ac:dyDescent="0.15">
      <c r="A2" s="5"/>
      <c r="B2" s="5" t="s">
        <v>14</v>
      </c>
      <c r="C2" s="8">
        <f>COUNTIF(C4:C9821, "AC")</f>
        <v>0</v>
      </c>
      <c r="D2" s="9" t="e">
        <f ca="1">SUMPRODUCT(D4:D9821,INT(EQ(C4:C9821, "AC")))/MAX(1, C2)</f>
        <v>#NAME?</v>
      </c>
      <c r="E2" s="9" t="e">
        <f ca="1">SUMPRODUCT(E4:E9821,INT(EQ(C4:C9821, "AC")))/MAX(1, C2)</f>
        <v>#NAME?</v>
      </c>
      <c r="F2" s="9" t="e">
        <f ca="1">SUMPRODUCT(F4:F9821,INT(EQ(C4:C9821, "AC")))/MAX(1, C2)</f>
        <v>#NAME?</v>
      </c>
      <c r="G2" s="9" t="e">
        <f ca="1">SUMPRODUCT(G4:G9821,INT(EQ(C4:C9821, "AC")))/MAX(1, C2)</f>
        <v>#NAME?</v>
      </c>
      <c r="H2" s="9" t="e">
        <f ca="1">SUMPRODUCT(H4:H9821,INT(EQ(C4:C9821, "AC")))/MAX(1, C2)</f>
        <v>#NAME?</v>
      </c>
      <c r="I2" s="9" t="e">
        <f ca="1">SUMPRODUCT(I4:I9821,INT(EQ(C4:C9821, "AC")))/MAX(1, C2)</f>
        <v>#NAME?</v>
      </c>
      <c r="J2" s="37" t="s">
        <v>562</v>
      </c>
    </row>
    <row r="3" spans="1:10" ht="15.75" customHeight="1" x14ac:dyDescent="0.15">
      <c r="A3" s="6" t="s">
        <v>564</v>
      </c>
      <c r="B3" s="38" t="str">
        <f>HYPERLINK("https://uva.onlinejudge.org/index.php?option=com_onlinejudge&amp;Itemid=8&amp;page=show_problem&amp;problem=977","UVA 10036")</f>
        <v>UVA 10036</v>
      </c>
      <c r="C3" s="5"/>
      <c r="D3" s="5"/>
      <c r="E3" s="5"/>
      <c r="F3" s="5"/>
      <c r="G3" s="5"/>
      <c r="H3" s="12">
        <f t="shared" ref="H3:H56" si="0">SUM(E3:G3)</f>
        <v>0</v>
      </c>
      <c r="I3" s="5"/>
      <c r="J3" s="5"/>
    </row>
    <row r="4" spans="1:10" ht="15.75" customHeight="1" x14ac:dyDescent="0.15">
      <c r="A4" s="6" t="s">
        <v>566</v>
      </c>
      <c r="B4" s="38" t="str">
        <f>HYPERLINK("https://uva.onlinejudge.org/index.php?option=onlinejudge&amp;page=show_problem&amp;problem=288","UVA 352")</f>
        <v>UVA 352</v>
      </c>
      <c r="C4" s="5"/>
      <c r="D4" s="5"/>
      <c r="E4" s="5"/>
      <c r="F4" s="5"/>
      <c r="G4" s="5"/>
      <c r="H4" s="12">
        <f t="shared" si="0"/>
        <v>0</v>
      </c>
      <c r="I4" s="5"/>
      <c r="J4" s="15" t="s">
        <v>568</v>
      </c>
    </row>
    <row r="5" spans="1:10" ht="15.75" customHeight="1" x14ac:dyDescent="0.15">
      <c r="A5" s="6" t="s">
        <v>569</v>
      </c>
      <c r="B5" s="38" t="str">
        <f>HYPERLINK("https://uva.onlinejudge.org/index.php?option=com_onlinejudge&amp;Itemid=8&amp;page=show_problem&amp;problem=1680","UVA 10739")</f>
        <v>UVA 10739</v>
      </c>
      <c r="C5" s="5"/>
      <c r="D5" s="5"/>
      <c r="E5" s="5"/>
      <c r="F5" s="5"/>
      <c r="G5" s="5"/>
      <c r="H5" s="12">
        <f t="shared" si="0"/>
        <v>0</v>
      </c>
      <c r="I5" s="5"/>
      <c r="J5" s="15" t="s">
        <v>570</v>
      </c>
    </row>
    <row r="6" spans="1:10" ht="15.75" customHeight="1" x14ac:dyDescent="0.15">
      <c r="A6" s="6" t="s">
        <v>571</v>
      </c>
      <c r="B6" s="38" t="str">
        <f>HYPERLINK("http://www.spoj.com/problems/SHOP/","SPOJ SHOP")</f>
        <v>SPOJ SHOP</v>
      </c>
      <c r="C6" s="5"/>
      <c r="D6" s="5"/>
      <c r="E6" s="5"/>
      <c r="F6" s="5"/>
      <c r="G6" s="5"/>
      <c r="H6" s="12">
        <f t="shared" si="0"/>
        <v>0</v>
      </c>
      <c r="I6" s="5"/>
      <c r="J6" s="7"/>
    </row>
    <row r="7" spans="1:10" ht="15.75" customHeight="1" x14ac:dyDescent="0.15">
      <c r="A7" s="6" t="s">
        <v>572</v>
      </c>
      <c r="B7" s="38" t="str">
        <f>HYPERLINK("https://uva.onlinejudge.org/index.php?option=com_onlinejudge&amp;Itemid=8&amp;page=show_problem&amp;problem=3104","UVA 11953")</f>
        <v>UVA 11953</v>
      </c>
      <c r="C7" s="5"/>
      <c r="D7" s="5"/>
      <c r="E7" s="17"/>
      <c r="F7" s="5"/>
      <c r="G7" s="5"/>
      <c r="H7" s="18">
        <f t="shared" si="0"/>
        <v>0</v>
      </c>
      <c r="I7" s="5"/>
      <c r="J7" s="16" t="str">
        <f>HYPERLINK("https://github.com/search?utf8=%E2%9C%93&amp;q=UVA","Github has solutions for many UVA, SPOJ solutions")</f>
        <v>Github has solutions for many UVA, SPOJ solutions</v>
      </c>
    </row>
    <row r="8" spans="1:10" ht="15.75" customHeight="1" x14ac:dyDescent="0.15">
      <c r="A8" s="6" t="s">
        <v>574</v>
      </c>
      <c r="B8" s="38" t="str">
        <f>HYPERLINK("https://uva.onlinejudge.org/index.php?option=onlinejudge&amp;page=show_problem&amp;problem=725","UVA 784")</f>
        <v>UVA 784</v>
      </c>
      <c r="C8" s="5"/>
      <c r="D8" s="5"/>
      <c r="E8" s="5"/>
      <c r="F8" s="5"/>
      <c r="G8" s="5"/>
      <c r="H8" s="12">
        <f t="shared" si="0"/>
        <v>0</v>
      </c>
      <c r="I8" s="5"/>
      <c r="J8" s="14" t="str">
        <f>HYPERLINK("https://www.google.ca/search?client=ubuntu&amp;channel=fs&amp;q=UVA+10079+filetype%3Acpp&amp;ie=utf-8&amp;oe=utf-8&amp;gfe_rd=cr&amp;ei=hQJ6VtKWJ-uM8QfIkbnYCw#channel=fs&amp;q=SPOJ+SQFREE+filetype:cpp","Or search google see 1")</f>
        <v>Or search google see 1</v>
      </c>
    </row>
    <row r="9" spans="1:10" ht="15.75" customHeight="1" x14ac:dyDescent="0.15">
      <c r="A9" s="6" t="s">
        <v>577</v>
      </c>
      <c r="B9" s="38" t="str">
        <f>HYPERLINK("https://uva.onlinejudge.org/index.php?option=onlinejudge&amp;page=show_problem&amp;problem=1133","UVA 10192")</f>
        <v>UVA 10192</v>
      </c>
      <c r="C9" s="5"/>
      <c r="D9" s="5"/>
      <c r="E9" s="5"/>
      <c r="F9" s="5"/>
      <c r="G9" s="5"/>
      <c r="H9" s="12">
        <f t="shared" si="0"/>
        <v>0</v>
      </c>
      <c r="I9" s="5"/>
      <c r="J9" s="14" t="str">
        <f>HYPERLINK("https://www.google.ca/search?client=ubuntu&amp;channel=fs&amp;q=UVA+10079+filetype%3Acpp&amp;ie=utf-8&amp;oe=utf-8&amp;gfe_rd=cr&amp;ei=hQJ6VtKWJ-uM8QfIkbnYCw","Or search google see 2")</f>
        <v>Or search google see 2</v>
      </c>
    </row>
    <row r="10" spans="1:10" ht="15.75" customHeight="1" x14ac:dyDescent="0.15">
      <c r="A10" s="6" t="s">
        <v>580</v>
      </c>
      <c r="B10" s="38" t="str">
        <f>HYPERLINK("https://uva.onlinejudge.org/index.php?option=com_onlinejudge&amp;Itemid=8&amp;page=show_problem&amp;problem=1927","UVA 10986")</f>
        <v>UVA 10986</v>
      </c>
      <c r="C10" s="5"/>
      <c r="D10" s="5"/>
      <c r="E10" s="5"/>
      <c r="F10" s="5"/>
      <c r="G10" s="5"/>
      <c r="H10" s="12">
        <f t="shared" si="0"/>
        <v>0</v>
      </c>
      <c r="I10" s="5"/>
      <c r="J10" s="27" t="s">
        <v>582</v>
      </c>
    </row>
    <row r="11" spans="1:10" ht="15.75" customHeight="1" x14ac:dyDescent="0.15">
      <c r="A11" s="6" t="s">
        <v>583</v>
      </c>
      <c r="B11" s="38" t="str">
        <f>HYPERLINK("https://uva.onlinejudge.org/index.php?option=com_onlinejudge&amp;Itemid=8&amp;page=show_problem&amp;problem=944","UVA 10003")</f>
        <v>UVA 10003</v>
      </c>
      <c r="C11" s="5"/>
      <c r="D11" s="7"/>
      <c r="E11" s="7"/>
      <c r="F11" s="7"/>
      <c r="G11" s="7"/>
      <c r="H11" s="12">
        <f t="shared" si="0"/>
        <v>0</v>
      </c>
      <c r="I11" s="7"/>
      <c r="J11" s="7"/>
    </row>
    <row r="12" spans="1:10" ht="15.75" customHeight="1" x14ac:dyDescent="0.15">
      <c r="A12" s="6" t="s">
        <v>585</v>
      </c>
      <c r="B12" s="38" t="str">
        <f>HYPERLINK("https://uva.onlinejudge.org/index.php?option=com_onlinejudge&amp;Itemid=8&amp;page=show_problem&amp;problem=793","UVA 852")</f>
        <v>UVA 852</v>
      </c>
      <c r="C12" s="5"/>
      <c r="D12" s="7"/>
      <c r="E12" s="7"/>
      <c r="F12" s="7"/>
      <c r="G12" s="7"/>
      <c r="H12" s="12">
        <f t="shared" si="0"/>
        <v>0</v>
      </c>
      <c r="I12" s="7"/>
      <c r="J12" s="7"/>
    </row>
    <row r="13" spans="1:10" ht="15.75" customHeight="1" x14ac:dyDescent="0.15">
      <c r="A13" s="5"/>
      <c r="B13" s="5"/>
      <c r="C13" s="5"/>
      <c r="D13" s="7"/>
      <c r="E13" s="7"/>
      <c r="F13" s="7"/>
      <c r="G13" s="7"/>
      <c r="H13" s="12">
        <f t="shared" si="0"/>
        <v>0</v>
      </c>
      <c r="I13" s="7"/>
      <c r="J13" s="7"/>
    </row>
    <row r="14" spans="1:10" ht="15.75" customHeight="1" x14ac:dyDescent="0.15">
      <c r="A14" s="15" t="s">
        <v>587</v>
      </c>
      <c r="B14" s="42" t="str">
        <f>HYPERLINK("https://uva.onlinejudge.org/index.php?option=onlinejudge&amp;page=show_problem&amp;problem=1271","UVA 10330")</f>
        <v>UVA 10330</v>
      </c>
      <c r="C14" s="5"/>
      <c r="D14" s="7"/>
      <c r="E14" s="7"/>
      <c r="F14" s="7"/>
      <c r="G14" s="7"/>
      <c r="H14" s="12">
        <f t="shared" si="0"/>
        <v>0</v>
      </c>
      <c r="I14" s="7"/>
      <c r="J14" s="5"/>
    </row>
    <row r="15" spans="1:10" ht="15.75" customHeight="1" x14ac:dyDescent="0.15">
      <c r="A15" s="6" t="s">
        <v>589</v>
      </c>
      <c r="B15" s="38" t="str">
        <f>HYPERLINK("https://uva.onlinejudge.org/index.php?option=onlinejudge&amp;page=show_problem&amp;problem=1760","UVA 10819")</f>
        <v>UVA 10819</v>
      </c>
      <c r="C15" s="5"/>
      <c r="D15" s="7"/>
      <c r="E15" s="7"/>
      <c r="F15" s="7"/>
      <c r="G15" s="7"/>
      <c r="H15" s="12">
        <f t="shared" si="0"/>
        <v>0</v>
      </c>
      <c r="I15" s="7"/>
      <c r="J15" s="7"/>
    </row>
    <row r="16" spans="1:10" ht="15.75" customHeight="1" x14ac:dyDescent="0.15">
      <c r="A16" s="6" t="s">
        <v>592</v>
      </c>
      <c r="B16" s="38" t="str">
        <f>HYPERLINK("https://uva.onlinejudge.org/index.php?option=onlinejudge&amp;page=show_problem&amp;problem=2035","UVA 11094")</f>
        <v>UVA 11094</v>
      </c>
      <c r="C16" s="5"/>
      <c r="D16" s="7"/>
      <c r="E16" s="7"/>
      <c r="F16" s="7"/>
      <c r="G16" s="7"/>
      <c r="H16" s="12">
        <f t="shared" si="0"/>
        <v>0</v>
      </c>
      <c r="I16" s="7"/>
      <c r="J16" s="7"/>
    </row>
    <row r="17" spans="1:10" ht="15.75" customHeight="1" x14ac:dyDescent="0.15">
      <c r="A17" s="6" t="s">
        <v>595</v>
      </c>
      <c r="B17" s="38" t="str">
        <f>HYPERLINK("https://uva.onlinejudge.org/index.php?option=com_onlinejudge&amp;Itemid=8&amp;page=show_problem&amp;problem=41","UVA 105")</f>
        <v>UVA 105</v>
      </c>
      <c r="C17" s="5"/>
      <c r="D17" s="7"/>
      <c r="E17" s="7"/>
      <c r="F17" s="7"/>
      <c r="G17" s="7"/>
      <c r="H17" s="12">
        <f t="shared" si="0"/>
        <v>0</v>
      </c>
      <c r="I17" s="7"/>
      <c r="J17" s="7"/>
    </row>
    <row r="18" spans="1:10" ht="15.75" customHeight="1" x14ac:dyDescent="0.15">
      <c r="A18" s="6" t="s">
        <v>598</v>
      </c>
      <c r="B18" s="38" t="str">
        <f>HYPERLINK("https://uva.onlinejudge.org/index.php?option=com_onlinejudge&amp;Itemid=8&amp;page=show_problem&amp;problem=1394","UVA 10453")</f>
        <v>UVA 10453</v>
      </c>
      <c r="C18" s="5"/>
      <c r="D18" s="7"/>
      <c r="E18" s="7"/>
      <c r="F18" s="7"/>
      <c r="G18" s="7"/>
      <c r="H18" s="12">
        <f t="shared" si="0"/>
        <v>0</v>
      </c>
      <c r="I18" s="7"/>
      <c r="J18" s="7"/>
    </row>
    <row r="19" spans="1:10" ht="15.75" customHeight="1" x14ac:dyDescent="0.15">
      <c r="A19" s="6" t="s">
        <v>601</v>
      </c>
      <c r="B19" s="38" t="str">
        <f>HYPERLINK("http://www.spoj.com/problems/POUR1/","SPOJ POUR1")</f>
        <v>SPOJ POUR1</v>
      </c>
      <c r="C19" s="5"/>
      <c r="D19" s="7"/>
      <c r="E19" s="7"/>
      <c r="F19" s="7"/>
      <c r="G19" s="7"/>
      <c r="H19" s="12">
        <f t="shared" si="0"/>
        <v>0</v>
      </c>
      <c r="I19" s="7"/>
      <c r="J19" s="7"/>
    </row>
    <row r="20" spans="1:10" ht="15.75" customHeight="1" x14ac:dyDescent="0.15">
      <c r="A20" s="6" t="s">
        <v>604</v>
      </c>
      <c r="B20" s="38" t="str">
        <f>HYPERLINK("https://uva.onlinejudge.org/index.php?option=com_onlinejudge&amp;Itemid=8&amp;page=show_problem&amp;problem=503","UVA 562")</f>
        <v>UVA 562</v>
      </c>
      <c r="C20" s="5"/>
      <c r="D20" s="7"/>
      <c r="E20" s="7"/>
      <c r="F20" s="7"/>
      <c r="G20" s="7"/>
      <c r="H20" s="12">
        <f t="shared" si="0"/>
        <v>0</v>
      </c>
      <c r="I20" s="7"/>
      <c r="J20" s="7"/>
    </row>
    <row r="21" spans="1:10" ht="15.75" customHeight="1" x14ac:dyDescent="0.15">
      <c r="A21" s="6" t="s">
        <v>607</v>
      </c>
      <c r="B21" s="38" t="str">
        <f>HYPERLINK("https://uva.onlinejudge.org/index.php?option=com_onlinejudge&amp;Itemid=8&amp;page=show_problem&amp;problem=380","UVA 439")</f>
        <v>UVA 439</v>
      </c>
      <c r="C21" s="5"/>
      <c r="D21" s="7"/>
      <c r="E21" s="7"/>
      <c r="F21" s="7"/>
      <c r="G21" s="7"/>
      <c r="H21" s="12">
        <f t="shared" si="0"/>
        <v>0</v>
      </c>
      <c r="I21" s="7"/>
      <c r="J21" s="7"/>
    </row>
    <row r="22" spans="1:10" ht="15.75" customHeight="1" x14ac:dyDescent="0.15">
      <c r="A22" s="6" t="s">
        <v>610</v>
      </c>
      <c r="B22" s="38" t="str">
        <f>HYPERLINK("https://uva.onlinejudge.org/index.php?option=onlinejudge&amp;page=show_problem&amp;problem=1742","UVA 10801")</f>
        <v>UVA 10801</v>
      </c>
      <c r="C22" s="5"/>
      <c r="D22" s="7"/>
      <c r="E22" s="7"/>
      <c r="F22" s="7"/>
      <c r="G22" s="7"/>
      <c r="H22" s="12">
        <f t="shared" si="0"/>
        <v>0</v>
      </c>
      <c r="I22" s="7"/>
      <c r="J22" s="7"/>
    </row>
    <row r="23" spans="1:10" ht="15.75" customHeight="1" x14ac:dyDescent="0.15">
      <c r="A23" s="5"/>
      <c r="B23" s="5"/>
      <c r="C23" s="5"/>
      <c r="D23" s="7"/>
      <c r="E23" s="7"/>
      <c r="F23" s="7"/>
      <c r="G23" s="7"/>
      <c r="H23" s="12">
        <f t="shared" si="0"/>
        <v>0</v>
      </c>
      <c r="I23" s="7"/>
      <c r="J23" s="7"/>
    </row>
    <row r="24" spans="1:10" ht="15.75" customHeight="1" x14ac:dyDescent="0.15">
      <c r="A24" s="6" t="s">
        <v>614</v>
      </c>
      <c r="B24" s="38" t="str">
        <f>HYPERLINK("http://www.spoj.com/problems/CHMAZE/","SPOJ CHMAZE")</f>
        <v>SPOJ CHMAZE</v>
      </c>
      <c r="C24" s="5"/>
      <c r="D24" s="7"/>
      <c r="E24" s="7"/>
      <c r="F24" s="7"/>
      <c r="G24" s="7"/>
      <c r="H24" s="12">
        <f t="shared" si="0"/>
        <v>0</v>
      </c>
      <c r="I24" s="7"/>
      <c r="J24" s="7"/>
    </row>
    <row r="25" spans="1:10" ht="15.75" customHeight="1" x14ac:dyDescent="0.15">
      <c r="A25" s="15" t="s">
        <v>616</v>
      </c>
      <c r="B25" s="42" t="str">
        <f>HYPERLINK("https://uva.onlinejudge.org/index.php?option=onlinejudge&amp;page=show_problem&amp;problem=1041","UVA 10100")</f>
        <v>UVA 10100</v>
      </c>
      <c r="C25" s="5"/>
      <c r="D25" s="7"/>
      <c r="E25" s="7"/>
      <c r="F25" s="7"/>
      <c r="G25" s="7"/>
      <c r="H25" s="12">
        <f t="shared" si="0"/>
        <v>0</v>
      </c>
      <c r="I25" s="7"/>
      <c r="J25" s="5"/>
    </row>
    <row r="26" spans="1:10" ht="15.75" customHeight="1" x14ac:dyDescent="0.15">
      <c r="A26" s="6" t="s">
        <v>619</v>
      </c>
      <c r="B26" s="38" t="str">
        <f>HYPERLINK("https://uva.onlinejudge.org/index.php?option=com_onlinejudge&amp;Itemid=8&amp;page=show_problem&amp;problem=603","UVA 662")</f>
        <v>UVA 662</v>
      </c>
      <c r="C26" s="5"/>
      <c r="D26" s="7"/>
      <c r="E26" s="7"/>
      <c r="F26" s="7"/>
      <c r="G26" s="7"/>
      <c r="H26" s="12">
        <f t="shared" si="0"/>
        <v>0</v>
      </c>
      <c r="I26" s="7"/>
      <c r="J26" s="5"/>
    </row>
    <row r="27" spans="1:10" ht="15.75" customHeight="1" x14ac:dyDescent="0.15">
      <c r="A27" s="6" t="s">
        <v>622</v>
      </c>
      <c r="B27" s="38" t="str">
        <f>HYPERLINK("https://uva.onlinejudge.org/index.php?option=com_onlinejudge&amp;Itemid=8&amp;page=show_problem&amp;problem=370","UVA 429")</f>
        <v>UVA 429</v>
      </c>
      <c r="C27" s="5"/>
      <c r="D27" s="7"/>
      <c r="E27" s="7"/>
      <c r="F27" s="7"/>
      <c r="G27" s="7"/>
      <c r="H27" s="12">
        <f t="shared" si="0"/>
        <v>0</v>
      </c>
      <c r="I27" s="7"/>
      <c r="J27" s="5"/>
    </row>
    <row r="28" spans="1:10" ht="15.75" customHeight="1" x14ac:dyDescent="0.15">
      <c r="A28" s="44" t="s">
        <v>624</v>
      </c>
      <c r="B28" s="38" t="str">
        <f>HYPERLINK("https://uva.onlinejudge.org/index.php?option=com_onlinejudge&amp;Itemid=8&amp;page=show_problem&amp;problem=668","UVA 727")</f>
        <v>UVA 727</v>
      </c>
      <c r="C28" s="5"/>
      <c r="D28" s="7"/>
      <c r="E28" s="7"/>
      <c r="F28" s="7"/>
      <c r="G28" s="7"/>
      <c r="H28" s="12">
        <f t="shared" si="0"/>
        <v>0</v>
      </c>
      <c r="I28" s="7"/>
      <c r="J28" s="5"/>
    </row>
    <row r="29" spans="1:10" ht="15.75" customHeight="1" x14ac:dyDescent="0.15">
      <c r="A29" s="6" t="s">
        <v>628</v>
      </c>
      <c r="B29" s="38" t="str">
        <f>HYPERLINK("https://uva.onlinejudge.org/index.php?option=com_onlinejudge&amp;Itemid=8&amp;page=show_problem&amp;problem=438","UVA 497")</f>
        <v>UVA 497</v>
      </c>
      <c r="C29" s="5"/>
      <c r="D29" s="7"/>
      <c r="E29" s="7"/>
      <c r="F29" s="7"/>
      <c r="G29" s="7"/>
      <c r="H29" s="12">
        <f t="shared" si="0"/>
        <v>0</v>
      </c>
      <c r="I29" s="7"/>
      <c r="J29" s="7"/>
    </row>
    <row r="30" spans="1:10" ht="15.75" customHeight="1" x14ac:dyDescent="0.15">
      <c r="A30" s="6" t="s">
        <v>632</v>
      </c>
      <c r="B30" s="38" t="str">
        <f>HYPERLINK("https://uva.onlinejudge.org/index.php?option=com_onlinejudge&amp;Itemid=8&amp;page=show_problem&amp;problem=1139","UVA 10198")</f>
        <v>UVA 10198</v>
      </c>
      <c r="C30" s="5"/>
      <c r="D30" s="7"/>
      <c r="E30" s="7"/>
      <c r="F30" s="7"/>
      <c r="G30" s="7"/>
      <c r="H30" s="12">
        <f t="shared" si="0"/>
        <v>0</v>
      </c>
      <c r="I30" s="7"/>
      <c r="J30" s="7"/>
    </row>
    <row r="31" spans="1:10" ht="15.75" customHeight="1" x14ac:dyDescent="0.15">
      <c r="A31" s="44" t="s">
        <v>635</v>
      </c>
      <c r="B31" s="38" t="str">
        <f>HYPERLINK("http://www.spoj.com/problems/TOE1/","SPOJ TOE1")</f>
        <v>SPOJ TOE1</v>
      </c>
      <c r="C31" s="5"/>
      <c r="D31" s="7"/>
      <c r="E31" s="7"/>
      <c r="F31" s="7"/>
      <c r="G31" s="7"/>
      <c r="H31" s="12">
        <f t="shared" si="0"/>
        <v>0</v>
      </c>
      <c r="I31" s="7"/>
      <c r="J31" s="7"/>
    </row>
    <row r="32" spans="1:10" ht="15.75" customHeight="1" x14ac:dyDescent="0.15">
      <c r="A32" s="6" t="s">
        <v>637</v>
      </c>
      <c r="B32" s="38" t="str">
        <f>HYPERLINK("https://uva.onlinejudge.org/index.php?option=onlinejudge&amp;page=show_problem&amp;problem=542","UVA 601")</f>
        <v>UVA 601</v>
      </c>
      <c r="C32" s="5"/>
      <c r="D32" s="7"/>
      <c r="E32" s="7"/>
      <c r="F32" s="7"/>
      <c r="G32" s="7"/>
      <c r="H32" s="12">
        <f t="shared" si="0"/>
        <v>0</v>
      </c>
      <c r="I32" s="7"/>
      <c r="J32" s="7"/>
    </row>
    <row r="33" spans="1:10" ht="15.75" customHeight="1" x14ac:dyDescent="0.15">
      <c r="A33" s="6" t="s">
        <v>639</v>
      </c>
      <c r="B33" s="38" t="str">
        <f>HYPERLINK("https://uva.onlinejudge.org/index.php?option=onlinejudge&amp;page=show_problem&amp;problem=2498","UVA 11503")</f>
        <v>UVA 11503</v>
      </c>
      <c r="C33" s="5"/>
      <c r="D33" s="7"/>
      <c r="E33" s="7"/>
      <c r="F33" s="7"/>
      <c r="G33" s="7"/>
      <c r="H33" s="12">
        <f t="shared" si="0"/>
        <v>0</v>
      </c>
      <c r="I33" s="7"/>
      <c r="J33" s="7"/>
    </row>
    <row r="34" spans="1:10" ht="15.75" customHeight="1" x14ac:dyDescent="0.15">
      <c r="A34" s="5"/>
      <c r="B34" s="5"/>
      <c r="C34" s="5"/>
      <c r="D34" s="7"/>
      <c r="E34" s="7"/>
      <c r="F34" s="7"/>
      <c r="G34" s="7"/>
      <c r="H34" s="12">
        <f t="shared" si="0"/>
        <v>0</v>
      </c>
      <c r="I34" s="7"/>
      <c r="J34" s="7"/>
    </row>
    <row r="35" spans="1:10" ht="15.75" customHeight="1" x14ac:dyDescent="0.15">
      <c r="A35" s="6" t="s">
        <v>643</v>
      </c>
      <c r="B35" s="38" t="str">
        <f>HYPERLINK("https://uva.onlinejudge.org/index.php?option=com_onlinejudge&amp;Itemid=8&amp;page=show_problem&amp;problem=2853","UVA 11753")</f>
        <v>UVA 11753</v>
      </c>
      <c r="C35" s="5"/>
      <c r="D35" s="7"/>
      <c r="E35" s="7"/>
      <c r="F35" s="7"/>
      <c r="G35" s="7"/>
      <c r="H35" s="12">
        <f t="shared" si="0"/>
        <v>0</v>
      </c>
      <c r="I35" s="7"/>
      <c r="J35" s="7"/>
    </row>
    <row r="36" spans="1:10" ht="15.75" customHeight="1" x14ac:dyDescent="0.15">
      <c r="A36" s="15" t="s">
        <v>646</v>
      </c>
      <c r="B36" s="42" t="str">
        <f>HYPERLINK("https://uva.onlinejudge.org/index.php?option=com_onlinejudge&amp;Itemid=8&amp;page=show_problem&amp;problem=1940","UVA 10999")</f>
        <v>UVA 10999</v>
      </c>
      <c r="C36" s="5"/>
      <c r="D36" s="7"/>
      <c r="E36" s="7"/>
      <c r="F36" s="7"/>
      <c r="G36" s="7"/>
      <c r="H36" s="12">
        <f t="shared" si="0"/>
        <v>0</v>
      </c>
      <c r="I36" s="7"/>
      <c r="J36" s="5"/>
    </row>
    <row r="37" spans="1:10" ht="15.75" customHeight="1" x14ac:dyDescent="0.15">
      <c r="A37" s="6" t="s">
        <v>649</v>
      </c>
      <c r="B37" s="38" t="str">
        <f>HYPERLINK("http://www.spoj.com/problems/PPATH/","SPOJ PPATH")</f>
        <v>SPOJ PPATH</v>
      </c>
      <c r="C37" s="5"/>
      <c r="D37" s="7"/>
      <c r="E37" s="7"/>
      <c r="F37" s="7"/>
      <c r="G37" s="7"/>
      <c r="H37" s="12">
        <f t="shared" si="0"/>
        <v>0</v>
      </c>
      <c r="I37" s="7"/>
      <c r="J37" s="7"/>
    </row>
    <row r="38" spans="1:10" ht="15.75" customHeight="1" x14ac:dyDescent="0.15">
      <c r="A38" s="6" t="s">
        <v>652</v>
      </c>
      <c r="B38" s="38" t="str">
        <f>HYPERLINK("https://uva.onlinejudge.org/index.php?option=onlinejudge&amp;page=show_problem&amp;problem=1054","UVA 10113")</f>
        <v>UVA 10113</v>
      </c>
      <c r="C38" s="5"/>
      <c r="D38" s="7"/>
      <c r="E38" s="7"/>
      <c r="F38" s="7"/>
      <c r="G38" s="7"/>
      <c r="H38" s="12">
        <f t="shared" si="0"/>
        <v>0</v>
      </c>
      <c r="I38" s="7"/>
      <c r="J38" s="7"/>
    </row>
    <row r="39" spans="1:10" ht="15.75" customHeight="1" x14ac:dyDescent="0.15">
      <c r="A39" s="44" t="s">
        <v>655</v>
      </c>
      <c r="B39" s="38" t="str">
        <f>HYPERLINK("http://www.spoj.com/problems/HIGHWAYS/","SPOJ HIGHWAYS")</f>
        <v>SPOJ HIGHWAYS</v>
      </c>
      <c r="C39" s="5"/>
      <c r="D39" s="7"/>
      <c r="E39" s="7"/>
      <c r="F39" s="7"/>
      <c r="G39" s="7"/>
      <c r="H39" s="12">
        <f t="shared" si="0"/>
        <v>0</v>
      </c>
      <c r="I39" s="7"/>
      <c r="J39" s="7"/>
    </row>
    <row r="40" spans="1:10" ht="15.75" customHeight="1" x14ac:dyDescent="0.15">
      <c r="A40" s="6" t="s">
        <v>659</v>
      </c>
      <c r="B40" s="38" t="str">
        <f>HYPERLINK("https://uva.onlinejudge.org/index.php?option=onlinejudge&amp;page=show_problem&amp;problem=61","UVA 125")</f>
        <v>UVA 125</v>
      </c>
      <c r="C40" s="5"/>
      <c r="D40" s="7"/>
      <c r="E40" s="7"/>
      <c r="F40" s="7"/>
      <c r="G40" s="7"/>
      <c r="H40" s="12">
        <f t="shared" si="0"/>
        <v>0</v>
      </c>
      <c r="I40" s="7"/>
      <c r="J40" s="7"/>
    </row>
    <row r="41" spans="1:10" ht="15.75" customHeight="1" x14ac:dyDescent="0.15">
      <c r="A41" s="6" t="s">
        <v>661</v>
      </c>
      <c r="B41" s="38" t="str">
        <f>HYPERLINK("http://www.spoj.com/problems/TOE2/","SPOJ TOE2")</f>
        <v>SPOJ TOE2</v>
      </c>
      <c r="C41" s="5"/>
      <c r="D41" s="7"/>
      <c r="E41" s="7"/>
      <c r="F41" s="7"/>
      <c r="G41" s="7"/>
      <c r="H41" s="12">
        <f t="shared" si="0"/>
        <v>0</v>
      </c>
      <c r="I41" s="7"/>
      <c r="J41" s="7"/>
    </row>
    <row r="42" spans="1:10" ht="15.75" customHeight="1" x14ac:dyDescent="0.15">
      <c r="A42" s="6" t="s">
        <v>664</v>
      </c>
      <c r="B42" s="38" t="str">
        <f>HYPERLINK("https://uva.onlinejudge.org/index.php?option=onlinejudge&amp;page=show_problem&amp;problem=1626","UVA 10685")</f>
        <v>UVA 10685</v>
      </c>
      <c r="C42" s="5"/>
      <c r="D42" s="7"/>
      <c r="E42" s="7"/>
      <c r="F42" s="7"/>
      <c r="G42" s="7"/>
      <c r="H42" s="12">
        <f t="shared" si="0"/>
        <v>0</v>
      </c>
      <c r="I42" s="7"/>
      <c r="J42" s="7"/>
    </row>
    <row r="43" spans="1:10" ht="15.75" customHeight="1" x14ac:dyDescent="0.15">
      <c r="A43" s="6" t="s">
        <v>667</v>
      </c>
      <c r="B43" s="38" t="str">
        <f>HYPERLINK("https://uva.onlinejudge.org/index.php?option=com_onlinejudge&amp;Itemid=8&amp;page=show_problem&amp;problem=703","UVA 762")</f>
        <v>UVA 762</v>
      </c>
      <c r="C43" s="5"/>
      <c r="D43" s="7"/>
      <c r="E43" s="7"/>
      <c r="F43" s="7"/>
      <c r="G43" s="7"/>
      <c r="H43" s="12">
        <f t="shared" si="0"/>
        <v>0</v>
      </c>
      <c r="I43" s="7"/>
      <c r="J43" s="7"/>
    </row>
    <row r="44" spans="1:10" ht="15.75" customHeight="1" x14ac:dyDescent="0.15">
      <c r="A44" s="6" t="s">
        <v>671</v>
      </c>
      <c r="B44" s="38" t="str">
        <f>HYPERLINK("https://uva.onlinejudge.org/index.php?option=com_onlinejudge&amp;Itemid=8&amp;page=show_problem&amp;problem=270","UVA 334")</f>
        <v>UVA 334</v>
      </c>
      <c r="C44" s="5"/>
      <c r="D44" s="7"/>
      <c r="E44" s="7"/>
      <c r="F44" s="7"/>
      <c r="G44" s="7"/>
      <c r="H44" s="12">
        <f t="shared" si="0"/>
        <v>0</v>
      </c>
      <c r="I44" s="7"/>
      <c r="J44" s="7"/>
    </row>
    <row r="45" spans="1:10" ht="13" x14ac:dyDescent="0.15">
      <c r="A45" s="5"/>
      <c r="B45" s="5"/>
      <c r="C45" s="5"/>
      <c r="D45" s="7"/>
      <c r="E45" s="7"/>
      <c r="F45" s="7"/>
      <c r="G45" s="7"/>
      <c r="H45" s="12">
        <f t="shared" si="0"/>
        <v>0</v>
      </c>
      <c r="I45" s="7"/>
      <c r="J45" s="7"/>
    </row>
    <row r="46" spans="1:10" ht="13" x14ac:dyDescent="0.15">
      <c r="A46" s="6" t="s">
        <v>673</v>
      </c>
      <c r="B46" s="38" t="str">
        <f>HYPERLINK("http://www.spoj.com/problems/CDOWN/","SPOJ CDOWN")</f>
        <v>SPOJ CDOWN</v>
      </c>
      <c r="C46" s="5"/>
      <c r="D46" s="7"/>
      <c r="E46" s="7"/>
      <c r="F46" s="7"/>
      <c r="G46" s="7"/>
      <c r="H46" s="12">
        <f t="shared" si="0"/>
        <v>0</v>
      </c>
      <c r="I46" s="7"/>
      <c r="J46" s="7"/>
    </row>
    <row r="47" spans="1:10" ht="13" x14ac:dyDescent="0.15">
      <c r="A47" s="15" t="s">
        <v>676</v>
      </c>
      <c r="B47" s="42" t="str">
        <f>HYPERLINK("http://www.spoj.com/problems/CLEANRBT/","SPOJ CLEANRBT")</f>
        <v>SPOJ CLEANRBT</v>
      </c>
      <c r="C47" s="5"/>
      <c r="D47" s="7"/>
      <c r="E47" s="7"/>
      <c r="F47" s="7"/>
      <c r="G47" s="7"/>
      <c r="H47" s="12">
        <f t="shared" si="0"/>
        <v>0</v>
      </c>
      <c r="I47" s="7"/>
      <c r="J47" s="5"/>
    </row>
    <row r="48" spans="1:10" ht="13" x14ac:dyDescent="0.15">
      <c r="A48" s="6" t="s">
        <v>678</v>
      </c>
      <c r="B48" s="38" t="str">
        <f>HYPERLINK("https://uva.onlinejudge.org/index.php?option=com_onlinejudge&amp;Itemid=8&amp;page=show_problem&amp;problem=475","UVA 534")</f>
        <v>UVA 534</v>
      </c>
      <c r="C48" s="5"/>
      <c r="D48" s="7"/>
      <c r="E48" s="7"/>
      <c r="F48" s="7"/>
      <c r="G48" s="7"/>
      <c r="H48" s="12">
        <f t="shared" si="0"/>
        <v>0</v>
      </c>
      <c r="I48" s="7"/>
      <c r="J48" s="7"/>
    </row>
    <row r="49" spans="1:10" ht="26" x14ac:dyDescent="0.15">
      <c r="A49" s="6" t="s">
        <v>681</v>
      </c>
      <c r="B49" s="38" t="str">
        <f>HYPERLINK("https://uva.onlinejudge.org/index.php?option=com_onlinejudge&amp;Itemid=8&amp;page=show_problem&amp;problem=284","UVA 348")</f>
        <v>UVA 348</v>
      </c>
      <c r="C49" s="5"/>
      <c r="D49" s="7"/>
      <c r="E49" s="7"/>
      <c r="F49" s="7"/>
      <c r="G49" s="7"/>
      <c r="H49" s="12">
        <f t="shared" si="0"/>
        <v>0</v>
      </c>
      <c r="I49" s="7"/>
      <c r="J49" s="7"/>
    </row>
    <row r="50" spans="1:10" ht="13" x14ac:dyDescent="0.15">
      <c r="A50" s="6" t="s">
        <v>683</v>
      </c>
      <c r="B50" s="38" t="str">
        <f>HYPERLINK("https://uva.onlinejudge.org/index.php?option=com_onlinejudge&amp;Itemid=8&amp;page=show_problem&amp;problem=37","UVA 101")</f>
        <v>UVA 101</v>
      </c>
      <c r="C50" s="5"/>
      <c r="D50" s="7"/>
      <c r="E50" s="7"/>
      <c r="F50" s="7"/>
      <c r="G50" s="7"/>
      <c r="H50" s="12">
        <f t="shared" si="0"/>
        <v>0</v>
      </c>
      <c r="I50" s="7"/>
      <c r="J50" s="7"/>
    </row>
    <row r="51" spans="1:10" ht="13" x14ac:dyDescent="0.15">
      <c r="A51" s="6" t="s">
        <v>685</v>
      </c>
      <c r="B51" s="38" t="str">
        <f>HYPERLINK("https://uva.onlinejudge.org/index.php?option=com_onlinejudge&amp;Itemid=8&amp;page=show_problem&amp;problem=163","UVA 227")</f>
        <v>UVA 227</v>
      </c>
      <c r="C51" s="5"/>
      <c r="D51" s="7"/>
      <c r="E51" s="7"/>
      <c r="F51" s="7"/>
      <c r="G51" s="7"/>
      <c r="H51" s="12">
        <f t="shared" si="0"/>
        <v>0</v>
      </c>
      <c r="I51" s="7"/>
      <c r="J51" s="7"/>
    </row>
    <row r="52" spans="1:10" ht="13" x14ac:dyDescent="0.15">
      <c r="A52" s="6" t="s">
        <v>689</v>
      </c>
      <c r="B52" s="38" t="str">
        <f>HYPERLINK("http://www.spoj.com/problems/BITMAP/","SPOJ BITMAP")</f>
        <v>SPOJ BITMAP</v>
      </c>
      <c r="C52" s="5"/>
      <c r="D52" s="7"/>
      <c r="E52" s="7"/>
      <c r="F52" s="7"/>
      <c r="G52" s="7"/>
      <c r="H52" s="12">
        <f t="shared" si="0"/>
        <v>0</v>
      </c>
      <c r="I52" s="7"/>
      <c r="J52" s="7"/>
    </row>
    <row r="53" spans="1:10" ht="13" x14ac:dyDescent="0.15">
      <c r="A53" s="6" t="s">
        <v>692</v>
      </c>
      <c r="B53" s="38" t="str">
        <f>HYPERLINK("https://uva.onlinejudge.org/index.php?option=com_onlinejudge&amp;Itemid=8&amp;page=show_problem&amp;problem=1558","UVA 10617")</f>
        <v>UVA 10617</v>
      </c>
      <c r="C53" s="5"/>
      <c r="D53" s="7"/>
      <c r="E53" s="7"/>
      <c r="F53" s="7"/>
      <c r="G53" s="7"/>
      <c r="H53" s="12">
        <f t="shared" si="0"/>
        <v>0</v>
      </c>
      <c r="I53" s="7"/>
      <c r="J53" s="7"/>
    </row>
    <row r="54" spans="1:10" ht="13" x14ac:dyDescent="0.15">
      <c r="A54" s="6" t="s">
        <v>694</v>
      </c>
      <c r="B54" s="38" t="str">
        <f>HYPERLINK("https://uva.onlinejudge.org/index.php?option=com_onlinejudge&amp;Itemid=8&amp;page=show_problem&amp;problem=556","UVA 615")</f>
        <v>UVA 615</v>
      </c>
      <c r="C54" s="5"/>
      <c r="D54" s="7"/>
      <c r="E54" s="7"/>
      <c r="F54" s="7"/>
      <c r="G54" s="7"/>
      <c r="H54" s="12">
        <f t="shared" si="0"/>
        <v>0</v>
      </c>
      <c r="I54" s="7"/>
      <c r="J54" s="7"/>
    </row>
    <row r="55" spans="1:10" ht="13" x14ac:dyDescent="0.15">
      <c r="A55" s="6" t="s">
        <v>696</v>
      </c>
      <c r="B55" s="38" t="str">
        <f>HYPERLINK("https://uva.onlinejudge.org/index.php?option=com_onlinejudge&amp;Itemid=8&amp;page=show_problem&amp;problem=1249","UVA 10308")</f>
        <v>UVA 10308</v>
      </c>
      <c r="C55" s="5"/>
      <c r="D55" s="7"/>
      <c r="E55" s="7"/>
      <c r="F55" s="7"/>
      <c r="G55" s="7"/>
      <c r="H55" s="12">
        <f t="shared" si="0"/>
        <v>0</v>
      </c>
      <c r="I55" s="7"/>
      <c r="J55" s="7"/>
    </row>
    <row r="56" spans="1:10" ht="13" x14ac:dyDescent="0.15">
      <c r="A56" s="7"/>
      <c r="B56" s="7"/>
      <c r="C56" s="5"/>
      <c r="D56" s="7"/>
      <c r="E56" s="7"/>
      <c r="F56" s="7"/>
      <c r="G56" s="7"/>
      <c r="H56" s="12">
        <f t="shared" si="0"/>
        <v>0</v>
      </c>
      <c r="I56" s="7"/>
      <c r="J56" s="36" t="s">
        <v>185</v>
      </c>
    </row>
  </sheetData>
  <conditionalFormatting sqref="C3:C56">
    <cfRule type="cellIs" dxfId="35" priority="1" operator="equal">
      <formula>"AC"</formula>
    </cfRule>
  </conditionalFormatting>
  <conditionalFormatting sqref="C3:C56">
    <cfRule type="containsText" dxfId="34" priority="2" operator="containsText" text="WA">
      <formula>NOT(ISERROR(SEARCH(("WA"),(C3))))</formula>
    </cfRule>
  </conditionalFormatting>
  <conditionalFormatting sqref="C14:C56">
    <cfRule type="containsText" dxfId="33" priority="3" operator="containsText" text="WA">
      <formula>NOT(ISERROR(SEARCH(("WA"),(C14))))</formula>
    </cfRule>
  </conditionalFormatting>
  <conditionalFormatting sqref="C3:C56">
    <cfRule type="containsText" dxfId="32" priority="4" operator="containsText" text="TLE">
      <formula>NOT(ISERROR(SEARCH(("TLE"),(C3))))</formula>
    </cfRule>
  </conditionalFormatting>
  <conditionalFormatting sqref="C14:C56">
    <cfRule type="containsText" dxfId="31" priority="5" operator="containsText" text="TLE">
      <formula>NOT(ISERROR(SEARCH(("TLE"),(C14))))</formula>
    </cfRule>
  </conditionalFormatting>
  <conditionalFormatting sqref="C3:C56">
    <cfRule type="containsText" dxfId="30" priority="6" operator="containsText" text="RTE">
      <formula>NOT(ISERROR(SEARCH(("RTE"),(C3))))</formula>
    </cfRule>
  </conditionalFormatting>
  <conditionalFormatting sqref="C14:C56">
    <cfRule type="containsText" dxfId="29" priority="7" operator="containsText" text="RTE">
      <formula>NOT(ISERROR(SEARCH(("RTE"),(C14))))</formula>
    </cfRule>
  </conditionalFormatting>
  <conditionalFormatting sqref="C3:C56">
    <cfRule type="containsText" dxfId="28" priority="8" operator="containsText" text="CS">
      <formula>NOT(ISERROR(SEARCH(("CS"),(C3))))</formula>
    </cfRule>
  </conditionalFormatting>
  <conditionalFormatting sqref="C14:C56">
    <cfRule type="containsText" dxfId="27" priority="9" operator="containsText" text="CS">
      <formula>NOT(ISERROR(SEARCH(("CS"),(C14))))</formula>
    </cfRule>
  </conditionalFormatting>
  <hyperlinks>
    <hyperlink ref="B3" r:id="rId1" display="https://uva.onlinejudge.org/index.php?option=com_onlinejudge&amp;Itemid=8&amp;page=show_problem&amp;problem=977"/>
    <hyperlink ref="B4" r:id="rId2" display="https://uva.onlinejudge.org/index.php?option=onlinejudge&amp;page=show_problem&amp;problem=288"/>
    <hyperlink ref="B5" r:id="rId3" display="https://uva.onlinejudge.org/index.php?option=com_onlinejudge&amp;Itemid=8&amp;page=show_problem&amp;problem=1680"/>
    <hyperlink ref="B6" r:id="rId4" display="http://www.spoj.com/problems/SHOP/"/>
    <hyperlink ref="B7" r:id="rId5" display="https://uva.onlinejudge.org/index.php?option=com_onlinejudge&amp;Itemid=8&amp;page=show_problem&amp;problem=3104"/>
    <hyperlink ref="J7" r:id="rId6" display="https://github.com/search?utf8=%E2%9C%93&amp;q=UVA"/>
    <hyperlink ref="B8" r:id="rId7" display="https://uva.onlinejudge.org/index.php?option=onlinejudge&amp;page=show_problem&amp;problem=725"/>
    <hyperlink ref="J8" r:id="rId8" location="channel=fs&amp;q=SPOJ+SQFREE+filetype:cpp" display="https://www.google.ca/search?client=ubuntu&amp;channel=fs&amp;q=UVA+10079+filetype%3Acpp&amp;ie=utf-8&amp;oe=utf-8&amp;gfe_rd=cr&amp;ei=hQJ6VtKWJ-uM8QfIkbnYCw - channel=fs&amp;q=SPOJ+SQFREE+filetype:cpp"/>
    <hyperlink ref="B9" r:id="rId9" display="https://uva.onlinejudge.org/index.php?option=onlinejudge&amp;page=show_problem&amp;problem=1133"/>
    <hyperlink ref="J9" r:id="rId10" display="https://www.google.ca/search?client=ubuntu&amp;channel=fs&amp;q=UVA+10079+filetype%3Acpp&amp;ie=utf-8&amp;oe=utf-8&amp;gfe_rd=cr&amp;ei=hQJ6VtKWJ-uM8QfIkbnYCw"/>
    <hyperlink ref="B10" r:id="rId11" display="https://uva.onlinejudge.org/index.php?option=com_onlinejudge&amp;Itemid=8&amp;page=show_problem&amp;problem=1927"/>
    <hyperlink ref="B11" r:id="rId12" display="https://uva.onlinejudge.org/index.php?option=com_onlinejudge&amp;Itemid=8&amp;page=show_problem&amp;problem=944"/>
    <hyperlink ref="B12" r:id="rId13" display="https://uva.onlinejudge.org/index.php?option=com_onlinejudge&amp;Itemid=8&amp;page=show_problem&amp;problem=793"/>
    <hyperlink ref="B14" r:id="rId14" display="https://uva.onlinejudge.org/index.php?option=onlinejudge&amp;page=show_problem&amp;problem=1271"/>
    <hyperlink ref="B15" r:id="rId15" display="https://uva.onlinejudge.org/index.php?option=onlinejudge&amp;page=show_problem&amp;problem=1760"/>
    <hyperlink ref="B16" r:id="rId16" display="https://uva.onlinejudge.org/index.php?option=onlinejudge&amp;page=show_problem&amp;problem=2035"/>
    <hyperlink ref="B17" r:id="rId17" display="https://uva.onlinejudge.org/index.php?option=com_onlinejudge&amp;Itemid=8&amp;page=show_problem&amp;problem=41"/>
    <hyperlink ref="B18" r:id="rId18" display="https://uva.onlinejudge.org/index.php?option=com_onlinejudge&amp;Itemid=8&amp;page=show_problem&amp;problem=1394"/>
    <hyperlink ref="B19" r:id="rId19" display="http://www.spoj.com/problems/POUR1/"/>
    <hyperlink ref="B20" r:id="rId20" display="https://uva.onlinejudge.org/index.php?option=com_onlinejudge&amp;Itemid=8&amp;page=show_problem&amp;problem=503"/>
    <hyperlink ref="B21" r:id="rId21" display="https://uva.onlinejudge.org/index.php?option=com_onlinejudge&amp;Itemid=8&amp;page=show_problem&amp;problem=380"/>
    <hyperlink ref="B22" r:id="rId22" display="https://uva.onlinejudge.org/index.php?option=onlinejudge&amp;page=show_problem&amp;problem=1742"/>
    <hyperlink ref="B24" r:id="rId23" display="http://www.spoj.com/problems/CHMAZE/"/>
    <hyperlink ref="B25" r:id="rId24" display="https://uva.onlinejudge.org/index.php?option=onlinejudge&amp;page=show_problem&amp;problem=1041"/>
    <hyperlink ref="B26" r:id="rId25" display="https://uva.onlinejudge.org/index.php?option=com_onlinejudge&amp;Itemid=8&amp;page=show_problem&amp;problem=603"/>
    <hyperlink ref="B27" r:id="rId26" display="https://uva.onlinejudge.org/index.php?option=com_onlinejudge&amp;Itemid=8&amp;page=show_problem&amp;problem=370"/>
    <hyperlink ref="B28" r:id="rId27" display="https://uva.onlinejudge.org/index.php?option=com_onlinejudge&amp;Itemid=8&amp;page=show_problem&amp;problem=668"/>
    <hyperlink ref="B29" r:id="rId28" display="https://uva.onlinejudge.org/index.php?option=com_onlinejudge&amp;Itemid=8&amp;page=show_problem&amp;problem=438"/>
    <hyperlink ref="B30" r:id="rId29" display="https://uva.onlinejudge.org/index.php?option=com_onlinejudge&amp;Itemid=8&amp;page=show_problem&amp;problem=1139"/>
    <hyperlink ref="B31" r:id="rId30" display="http://www.spoj.com/problems/TOE1/"/>
    <hyperlink ref="B32" r:id="rId31" display="https://uva.onlinejudge.org/index.php?option=onlinejudge&amp;page=show_problem&amp;problem=542"/>
    <hyperlink ref="B33" r:id="rId32" display="https://uva.onlinejudge.org/index.php?option=onlinejudge&amp;page=show_problem&amp;problem=2498"/>
    <hyperlink ref="B35" r:id="rId33" display="https://uva.onlinejudge.org/index.php?option=com_onlinejudge&amp;Itemid=8&amp;page=show_problem&amp;problem=2853"/>
    <hyperlink ref="B36" r:id="rId34" display="https://uva.onlinejudge.org/index.php?option=com_onlinejudge&amp;Itemid=8&amp;page=show_problem&amp;problem=1940"/>
    <hyperlink ref="B37" r:id="rId35" display="http://www.spoj.com/problems/PPATH/"/>
    <hyperlink ref="B38" r:id="rId36" display="https://uva.onlinejudge.org/index.php?option=onlinejudge&amp;page=show_problem&amp;problem=1054"/>
    <hyperlink ref="B39" r:id="rId37" display="http://www.spoj.com/problems/HIGHWAYS/"/>
    <hyperlink ref="B40" r:id="rId38" display="https://uva.onlinejudge.org/index.php?option=onlinejudge&amp;page=show_problem&amp;problem=61"/>
    <hyperlink ref="B41" r:id="rId39" display="http://www.spoj.com/problems/TOE2/"/>
    <hyperlink ref="B42" r:id="rId40" display="https://uva.onlinejudge.org/index.php?option=onlinejudge&amp;page=show_problem&amp;problem=1626"/>
    <hyperlink ref="B43" r:id="rId41" display="https://uva.onlinejudge.org/index.php?option=com_onlinejudge&amp;Itemid=8&amp;page=show_problem&amp;problem=703"/>
    <hyperlink ref="B44" r:id="rId42" display="https://uva.onlinejudge.org/index.php?option=com_onlinejudge&amp;Itemid=8&amp;page=show_problem&amp;problem=270"/>
    <hyperlink ref="B46" r:id="rId43" display="http://www.spoj.com/problems/CDOWN/"/>
    <hyperlink ref="B47" r:id="rId44" display="http://www.spoj.com/problems/CLEANRBT/"/>
    <hyperlink ref="B48" r:id="rId45" display="https://uva.onlinejudge.org/index.php?option=com_onlinejudge&amp;Itemid=8&amp;page=show_problem&amp;problem=475"/>
    <hyperlink ref="B49" r:id="rId46" display="https://uva.onlinejudge.org/index.php?option=com_onlinejudge&amp;Itemid=8&amp;page=show_problem&amp;problem=284"/>
    <hyperlink ref="B50" r:id="rId47" display="https://uva.onlinejudge.org/index.php?option=com_onlinejudge&amp;Itemid=8&amp;page=show_problem&amp;problem=37"/>
    <hyperlink ref="B51" r:id="rId48" display="https://uva.onlinejudge.org/index.php?option=com_onlinejudge&amp;Itemid=8&amp;page=show_problem&amp;problem=163"/>
    <hyperlink ref="B52" r:id="rId49" display="http://www.spoj.com/problems/BITMAP/"/>
    <hyperlink ref="B53" r:id="rId50" display="https://uva.onlinejudge.org/index.php?option=com_onlinejudge&amp;Itemid=8&amp;page=show_problem&amp;problem=1558"/>
    <hyperlink ref="B54" r:id="rId51" display="https://uva.onlinejudge.org/index.php?option=com_onlinejudge&amp;Itemid=8&amp;page=show_problem&amp;problem=556"/>
    <hyperlink ref="B55" r:id="rId52" display="https://uva.onlinejudge.org/index.php?option=com_onlinejudge&amp;Itemid=8&amp;page=show_problem&amp;problem=124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7.33203125" defaultRowHeight="15.75" customHeight="1" x14ac:dyDescent="0.15"/>
  <cols>
    <col min="1" max="1" width="23.5" customWidth="1"/>
    <col min="3" max="3" width="6.83203125" customWidth="1"/>
    <col min="4" max="4" width="13" customWidth="1"/>
    <col min="5" max="5" width="8.5" customWidth="1"/>
    <col min="6" max="6" width="8.6640625" customWidth="1"/>
    <col min="7" max="7" width="10" customWidth="1"/>
    <col min="8" max="8" width="8.5" customWidth="1"/>
    <col min="9" max="9" width="10" customWidth="1"/>
    <col min="10" max="10" width="161.5" customWidth="1"/>
  </cols>
  <sheetData>
    <row r="1" spans="1:10" ht="15.75" customHeight="1" x14ac:dyDescent="0.15">
      <c r="A1" s="1" t="s">
        <v>0</v>
      </c>
      <c r="B1" s="1" t="s">
        <v>4</v>
      </c>
      <c r="C1" s="2" t="s">
        <v>2</v>
      </c>
      <c r="D1" s="3" t="s">
        <v>5</v>
      </c>
      <c r="E1" s="3" t="s">
        <v>7</v>
      </c>
      <c r="F1" s="2" t="s">
        <v>8</v>
      </c>
      <c r="G1" s="3" t="s">
        <v>9</v>
      </c>
      <c r="H1" s="3" t="s">
        <v>10</v>
      </c>
      <c r="I1" s="2" t="s">
        <v>11</v>
      </c>
      <c r="J1" s="4" t="s">
        <v>13</v>
      </c>
    </row>
    <row r="2" spans="1:10" ht="15.75" customHeight="1" x14ac:dyDescent="0.15">
      <c r="A2" s="5"/>
      <c r="B2" s="5" t="s">
        <v>14</v>
      </c>
      <c r="C2" s="8">
        <f>COUNTIF(C4:C9806, "AC")</f>
        <v>0</v>
      </c>
      <c r="D2" s="9" t="e">
        <f ca="1">SUMPRODUCT(D4:D9806,INT(EQ(C4:C9806, "AC")))/MAX(1, C2)</f>
        <v>#NAME?</v>
      </c>
      <c r="E2" s="9" t="e">
        <f ca="1">SUMPRODUCT(E4:E9806,INT(EQ(C4:C9806, "AC")))/MAX(1, C2)</f>
        <v>#NAME?</v>
      </c>
      <c r="F2" s="9" t="e">
        <f ca="1">SUMPRODUCT(F4:F9806,INT(EQ(C4:C9806, "AC")))/MAX(1, C2)</f>
        <v>#NAME?</v>
      </c>
      <c r="G2" s="9" t="e">
        <f ca="1">SUMPRODUCT(G4:G9806,INT(EQ(C4:C9806, "AC")))/MAX(1, C2)</f>
        <v>#NAME?</v>
      </c>
      <c r="H2" s="9" t="e">
        <f ca="1">SUMPRODUCT(H4:H9806,INT(EQ(C4:C9806, "AC")))/MAX(1, C2)</f>
        <v>#NAME?</v>
      </c>
      <c r="I2" s="9" t="e">
        <f ca="1">SUMPRODUCT(I4:I9806,INT(EQ(C4:C9806, "AC")))/MAX(1, C2)</f>
        <v>#NAME?</v>
      </c>
      <c r="J2" s="37" t="s">
        <v>591</v>
      </c>
    </row>
    <row r="3" spans="1:10" ht="15.75" customHeight="1" x14ac:dyDescent="0.15">
      <c r="A3" s="15" t="s">
        <v>593</v>
      </c>
      <c r="B3" s="42" t="str">
        <f>HYPERLINK("https://uva.onlinejudge.org/index.php?option=com_onlinejudge&amp;Itemid=8&amp;page=show_problem&amp;problem=1820","UVA 10879")</f>
        <v>UVA 10879</v>
      </c>
      <c r="C3" s="5"/>
      <c r="D3" s="5"/>
      <c r="E3" s="17"/>
      <c r="F3" s="5"/>
      <c r="G3" s="5"/>
      <c r="H3" s="18">
        <f t="shared" ref="H3:H53" si="0">SUM(E3:G3)</f>
        <v>0</v>
      </c>
      <c r="I3" s="5"/>
      <c r="J3" s="5"/>
    </row>
    <row r="4" spans="1:10" ht="15.75" customHeight="1" x14ac:dyDescent="0.15">
      <c r="A4" s="15" t="s">
        <v>597</v>
      </c>
      <c r="B4" s="42" t="str">
        <f>HYPERLINK("http://www.spoj.com/problems/PIR/","SOPJ PIR")</f>
        <v>SOPJ PIR</v>
      </c>
      <c r="C4" s="5"/>
      <c r="D4" s="5"/>
      <c r="E4" s="17"/>
      <c r="F4" s="5"/>
      <c r="G4" s="5"/>
      <c r="H4" s="18">
        <f t="shared" si="0"/>
        <v>0</v>
      </c>
      <c r="I4" s="5"/>
      <c r="J4" s="5"/>
    </row>
    <row r="5" spans="1:10" ht="15.75" customHeight="1" x14ac:dyDescent="0.15">
      <c r="A5" s="15" t="s">
        <v>600</v>
      </c>
      <c r="B5" s="42" t="str">
        <f>HYPERLINK("https://uva.onlinejudge.org/index.php?option=onlinejudge&amp;page=show_problem&amp;problem=310","UVA 374")</f>
        <v>UVA 374</v>
      </c>
      <c r="C5" s="5"/>
      <c r="D5" s="5"/>
      <c r="E5" s="5"/>
      <c r="F5" s="5"/>
      <c r="G5" s="5"/>
      <c r="H5" s="12">
        <f t="shared" si="0"/>
        <v>0</v>
      </c>
      <c r="I5" s="5"/>
      <c r="J5" s="5"/>
    </row>
    <row r="6" spans="1:10" ht="15.75" customHeight="1" x14ac:dyDescent="0.15">
      <c r="A6" s="15" t="s">
        <v>603</v>
      </c>
      <c r="B6" s="42" t="str">
        <f>HYPERLINK("https://uva.onlinejudge.org/index.php?option=onlinejudge&amp;page=show_problem&amp;problem=1335","UVA 10394")</f>
        <v>UVA 10394</v>
      </c>
      <c r="C6" s="5"/>
      <c r="D6" s="5"/>
      <c r="E6" s="5"/>
      <c r="F6" s="5"/>
      <c r="G6" s="5"/>
      <c r="H6" s="12">
        <f t="shared" si="0"/>
        <v>0</v>
      </c>
      <c r="I6" s="5"/>
      <c r="J6" s="5"/>
    </row>
    <row r="7" spans="1:10" ht="15.75" customHeight="1" x14ac:dyDescent="0.15">
      <c r="A7" s="15" t="s">
        <v>606</v>
      </c>
      <c r="B7" s="42" t="str">
        <f>HYPERLINK("http://www.spoj.com/problems/ABCDEF/","SPOJ ABCDEF")</f>
        <v>SPOJ ABCDEF</v>
      </c>
      <c r="C7" s="5"/>
      <c r="D7" s="5"/>
      <c r="E7" s="5"/>
      <c r="F7" s="5"/>
      <c r="G7" s="5"/>
      <c r="H7" s="12">
        <f t="shared" si="0"/>
        <v>0</v>
      </c>
      <c r="I7" s="5"/>
      <c r="J7" s="5"/>
    </row>
    <row r="8" spans="1:10" ht="15.75" customHeight="1" x14ac:dyDescent="0.15">
      <c r="A8" s="15" t="s">
        <v>609</v>
      </c>
      <c r="B8" s="42" t="str">
        <f>HYPERLINK("https://uva.onlinejudge.org/index.php?option=com_onlinejudge&amp;Itemid=8&amp;page=show_problem&amp;problem=322","UVA 386")</f>
        <v>UVA 386</v>
      </c>
      <c r="C8" s="5"/>
      <c r="D8" s="7"/>
      <c r="E8" s="7"/>
      <c r="F8" s="7"/>
      <c r="G8" s="7"/>
      <c r="H8" s="12">
        <f t="shared" si="0"/>
        <v>0</v>
      </c>
      <c r="I8" s="7"/>
      <c r="J8" s="5"/>
    </row>
    <row r="9" spans="1:10" ht="15.75" customHeight="1" x14ac:dyDescent="0.15">
      <c r="A9" s="15" t="s">
        <v>612</v>
      </c>
      <c r="B9" s="42" t="str">
        <f>HYPERLINK("https://uva.onlinejudge.org/index.php?option=com_onlinejudge&amp;Itemid=8&amp;page=show_problem&amp;problem=1285","UVA 10344")</f>
        <v>UVA 10344</v>
      </c>
      <c r="C9" s="5"/>
      <c r="D9" s="7"/>
      <c r="E9" s="7"/>
      <c r="F9" s="7"/>
      <c r="G9" s="7"/>
      <c r="H9" s="12">
        <f t="shared" si="0"/>
        <v>0</v>
      </c>
      <c r="I9" s="7"/>
      <c r="J9" s="5"/>
    </row>
    <row r="10" spans="1:10" ht="15.75" customHeight="1" x14ac:dyDescent="0.15">
      <c r="A10" s="15" t="s">
        <v>615</v>
      </c>
      <c r="B10" s="42" t="str">
        <f>HYPERLINK("http://www.spoj.com/problems/PHONELST/","SPOJ PHONELST")</f>
        <v>SPOJ PHONELST</v>
      </c>
      <c r="C10" s="5"/>
      <c r="D10" s="7"/>
      <c r="E10" s="7"/>
      <c r="F10" s="7"/>
      <c r="G10" s="7"/>
      <c r="H10" s="12">
        <f t="shared" si="0"/>
        <v>0</v>
      </c>
      <c r="I10" s="7"/>
      <c r="J10" s="7"/>
    </row>
    <row r="11" spans="1:10" ht="15.75" customHeight="1" x14ac:dyDescent="0.15">
      <c r="A11" s="15" t="s">
        <v>618</v>
      </c>
      <c r="B11" s="42" t="str">
        <f>HYPERLINK("http://www.spoj.com/problems/AGGRCOW/","SPOJ AGGRCOW")</f>
        <v>SPOJ AGGRCOW</v>
      </c>
      <c r="C11" s="7"/>
      <c r="D11" s="7"/>
      <c r="E11" s="7"/>
      <c r="F11" s="7"/>
      <c r="G11" s="7"/>
      <c r="H11" s="12">
        <f t="shared" si="0"/>
        <v>0</v>
      </c>
      <c r="I11" s="7"/>
      <c r="J11" s="5"/>
    </row>
    <row r="12" spans="1:10" ht="15.75" customHeight="1" x14ac:dyDescent="0.15">
      <c r="A12" s="15" t="s">
        <v>621</v>
      </c>
      <c r="B12" s="42" t="str">
        <f>HYPERLINK("https://uva.onlinejudge.org/index.php?option=com_onlinejudge&amp;Itemid=8&amp;page=show_problem&amp;problem=499","UVA 558")</f>
        <v>UVA 558</v>
      </c>
      <c r="C12" s="5"/>
      <c r="D12" s="7"/>
      <c r="E12" s="7"/>
      <c r="F12" s="7"/>
      <c r="G12" s="7"/>
      <c r="H12" s="12">
        <f t="shared" si="0"/>
        <v>0</v>
      </c>
      <c r="I12" s="7"/>
      <c r="J12" s="5"/>
    </row>
    <row r="13" spans="1:10" ht="15.75" customHeight="1" x14ac:dyDescent="0.15">
      <c r="A13" s="7"/>
      <c r="B13" s="7"/>
      <c r="C13" s="7"/>
      <c r="D13" s="7"/>
      <c r="E13" s="7"/>
      <c r="F13" s="7"/>
      <c r="G13" s="7"/>
      <c r="H13" s="12">
        <f t="shared" si="0"/>
        <v>0</v>
      </c>
      <c r="I13" s="7"/>
      <c r="J13" s="7"/>
    </row>
    <row r="14" spans="1:10" ht="15.75" customHeight="1" x14ac:dyDescent="0.15">
      <c r="A14" s="15" t="s">
        <v>625</v>
      </c>
      <c r="B14" s="42" t="str">
        <f>HYPERLINK("https://uva.onlinejudge.org/index.php?option=com_onlinejudge&amp;Itemid=8&amp;page=show_problem&amp;problem=1552","UVA 10611")</f>
        <v>UVA 10611</v>
      </c>
      <c r="C14" s="7"/>
      <c r="D14" s="7"/>
      <c r="E14" s="7"/>
      <c r="F14" s="7"/>
      <c r="G14" s="7"/>
      <c r="H14" s="12">
        <f t="shared" si="0"/>
        <v>0</v>
      </c>
      <c r="I14" s="7"/>
      <c r="J14" s="7"/>
    </row>
    <row r="15" spans="1:10" ht="15.75" customHeight="1" x14ac:dyDescent="0.15">
      <c r="A15" s="15" t="s">
        <v>627</v>
      </c>
      <c r="B15" s="42" t="str">
        <f>HYPERLINK("https://uva.onlinejudge.org/index.php?option=onlinejudge&amp;page=show_problem&amp;problem=1658","UVA 10717")</f>
        <v>UVA 10717</v>
      </c>
      <c r="C15" s="7"/>
      <c r="D15" s="7"/>
      <c r="E15" s="7"/>
      <c r="F15" s="7"/>
      <c r="G15" s="7"/>
      <c r="H15" s="12">
        <f t="shared" si="0"/>
        <v>0</v>
      </c>
      <c r="I15" s="7"/>
      <c r="J15" s="5"/>
    </row>
    <row r="16" spans="1:10" ht="15.75" customHeight="1" x14ac:dyDescent="0.15">
      <c r="A16" s="15" t="s">
        <v>630</v>
      </c>
      <c r="B16" s="42" t="str">
        <f>HYPERLINK("https://uva.onlinejudge.org/index.php?option=com_onlinejudge&amp;Itemid=8&amp;page=show_problem&amp;problem=49","UVA 113")</f>
        <v>UVA 113</v>
      </c>
      <c r="C16" s="7"/>
      <c r="D16" s="7"/>
      <c r="E16" s="7"/>
      <c r="F16" s="7"/>
      <c r="G16" s="7"/>
      <c r="H16" s="12">
        <f t="shared" si="0"/>
        <v>0</v>
      </c>
      <c r="I16" s="7"/>
      <c r="J16" s="5"/>
    </row>
    <row r="17" spans="1:10" ht="15.75" customHeight="1" x14ac:dyDescent="0.15">
      <c r="A17" s="15" t="s">
        <v>633</v>
      </c>
      <c r="B17" s="42" t="str">
        <f>HYPERLINK("https://uva.onlinejudge.org/index.php?option=com_onlinejudge&amp;Itemid=8&amp;page=show_problem&amp;problem=1541","UVA 10600")</f>
        <v>UVA 10600</v>
      </c>
      <c r="C17" s="7"/>
      <c r="D17" s="7"/>
      <c r="E17" s="7"/>
      <c r="F17" s="7"/>
      <c r="G17" s="7"/>
      <c r="H17" s="12">
        <f t="shared" si="0"/>
        <v>0</v>
      </c>
      <c r="I17" s="7"/>
      <c r="J17" s="5"/>
    </row>
    <row r="18" spans="1:10" ht="15.75" customHeight="1" x14ac:dyDescent="0.15">
      <c r="A18" s="15" t="s">
        <v>636</v>
      </c>
      <c r="B18" s="42" t="str">
        <f>HYPERLINK("http://www.spoj.com/problems/DICT/","SPOJ DICT")</f>
        <v>SPOJ DICT</v>
      </c>
      <c r="C18" s="7"/>
      <c r="D18" s="7"/>
      <c r="E18" s="7"/>
      <c r="F18" s="7"/>
      <c r="G18" s="7"/>
      <c r="H18" s="12">
        <f t="shared" si="0"/>
        <v>0</v>
      </c>
      <c r="I18" s="7"/>
      <c r="J18" s="5"/>
    </row>
    <row r="19" spans="1:10" ht="15.75" customHeight="1" x14ac:dyDescent="0.15">
      <c r="A19" s="15" t="s">
        <v>641</v>
      </c>
      <c r="B19" s="42" t="str">
        <f>HYPERLINK("https://uva.onlinejudge.org/index.php?option=onlinejudge&amp;page=show_problem&amp;problem=1183","UVA 10242")</f>
        <v>UVA 10242</v>
      </c>
      <c r="C19" s="7"/>
      <c r="D19" s="7"/>
      <c r="E19" s="7"/>
      <c r="F19" s="7"/>
      <c r="G19" s="7"/>
      <c r="H19" s="12">
        <f t="shared" si="0"/>
        <v>0</v>
      </c>
      <c r="I19" s="7"/>
      <c r="J19" s="7"/>
    </row>
    <row r="20" spans="1:10" ht="15.75" customHeight="1" x14ac:dyDescent="0.15">
      <c r="A20" s="15" t="s">
        <v>644</v>
      </c>
      <c r="B20" s="42" t="str">
        <f>HYPERLINK("https://uva.onlinejudge.org/index.php?option=onlinejudge&amp;page=show_problem&amp;problem=1266","UVA 10325")</f>
        <v>UVA 10325</v>
      </c>
      <c r="C20" s="7"/>
      <c r="D20" s="7"/>
      <c r="E20" s="7"/>
      <c r="F20" s="7"/>
      <c r="G20" s="7"/>
      <c r="H20" s="12">
        <f t="shared" si="0"/>
        <v>0</v>
      </c>
      <c r="I20" s="7"/>
      <c r="J20" s="7"/>
    </row>
    <row r="21" spans="1:10" ht="15.75" customHeight="1" x14ac:dyDescent="0.15">
      <c r="A21" s="15" t="s">
        <v>647</v>
      </c>
      <c r="B21" s="42" t="str">
        <f>HYPERLINK("https://uva.onlinejudge.org/index.php?option=com_onlinejudge&amp;Itemid=8&amp;page=show_problem&amp;problem=691","UVA 750")</f>
        <v>UVA 750</v>
      </c>
      <c r="C21" s="7"/>
      <c r="D21" s="7"/>
      <c r="E21" s="7"/>
      <c r="F21" s="7"/>
      <c r="G21" s="7"/>
      <c r="H21" s="12">
        <f t="shared" si="0"/>
        <v>0</v>
      </c>
      <c r="I21" s="7"/>
      <c r="J21" s="7"/>
    </row>
    <row r="22" spans="1:10" ht="15.75" customHeight="1" x14ac:dyDescent="0.15">
      <c r="A22" s="15" t="s">
        <v>651</v>
      </c>
      <c r="B22" s="42" t="str">
        <f>HYPERLINK("https://uva.onlinejudge.org/index.php?option=onlinejudge&amp;page=show_problem&amp;problem=1731","UVA 10790")</f>
        <v>UVA 10790</v>
      </c>
      <c r="C22" s="7"/>
      <c r="D22" s="7"/>
      <c r="E22" s="7"/>
      <c r="F22" s="7"/>
      <c r="G22" s="7"/>
      <c r="H22" s="12">
        <f t="shared" si="0"/>
        <v>0</v>
      </c>
      <c r="I22" s="7"/>
      <c r="J22" s="7"/>
    </row>
    <row r="23" spans="1:10" ht="15.75" customHeight="1" x14ac:dyDescent="0.15">
      <c r="A23" s="15" t="s">
        <v>654</v>
      </c>
      <c r="B23" s="42" t="str">
        <f>HYPERLINK("http://www.spoj.com/problems/CHOCOLA/","SPOJ CHOCOLA")</f>
        <v>SPOJ CHOCOLA</v>
      </c>
      <c r="C23" s="7"/>
      <c r="D23" s="7"/>
      <c r="E23" s="7"/>
      <c r="F23" s="7"/>
      <c r="G23" s="7"/>
      <c r="H23" s="12">
        <f t="shared" si="0"/>
        <v>0</v>
      </c>
      <c r="I23" s="7"/>
      <c r="J23" s="7"/>
    </row>
    <row r="24" spans="1:10" ht="15.75" customHeight="1" x14ac:dyDescent="0.15">
      <c r="A24" s="7"/>
      <c r="B24" s="7"/>
      <c r="C24" s="7"/>
      <c r="D24" s="7"/>
      <c r="E24" s="7"/>
      <c r="F24" s="7"/>
      <c r="G24" s="7"/>
      <c r="H24" s="12">
        <f t="shared" si="0"/>
        <v>0</v>
      </c>
      <c r="I24" s="7"/>
      <c r="J24" s="7"/>
    </row>
    <row r="25" spans="1:10" ht="15.75" customHeight="1" x14ac:dyDescent="0.15">
      <c r="A25" s="15" t="s">
        <v>657</v>
      </c>
      <c r="B25" s="42" t="str">
        <f>HYPERLINK("https://uva.onlinejudge.org/index.php?option=onlinejudge&amp;page=show_problem&amp;problem=1109","UVA 10168")</f>
        <v>UVA 10168</v>
      </c>
      <c r="C25" s="7"/>
      <c r="D25" s="7"/>
      <c r="E25" s="7"/>
      <c r="F25" s="7"/>
      <c r="G25" s="7"/>
      <c r="H25" s="12">
        <f t="shared" si="0"/>
        <v>0</v>
      </c>
      <c r="I25" s="7"/>
      <c r="J25" s="7"/>
    </row>
    <row r="26" spans="1:10" ht="15.75" customHeight="1" x14ac:dyDescent="0.15">
      <c r="A26" s="15" t="s">
        <v>660</v>
      </c>
      <c r="B26" s="42" t="str">
        <f>HYPERLINK("https://uva.onlinejudge.org/index.php?option=com_onlinejudge&amp;Itemid=8&amp;page=show_problem&amp;problem=1021","UVA 10080")</f>
        <v>UVA 10080</v>
      </c>
      <c r="C26" s="7"/>
      <c r="D26" s="7"/>
      <c r="E26" s="7"/>
      <c r="F26" s="7"/>
      <c r="G26" s="7"/>
      <c r="H26" s="12">
        <f t="shared" si="0"/>
        <v>0</v>
      </c>
      <c r="I26" s="7"/>
      <c r="J26" s="7"/>
    </row>
    <row r="27" spans="1:10" ht="15.75" customHeight="1" x14ac:dyDescent="0.15">
      <c r="A27" s="15" t="s">
        <v>663</v>
      </c>
      <c r="B27" s="42" t="str">
        <f>HYPERLINK("https://uva.onlinejudge.org/index.php?option=com_onlinejudge&amp;Itemid=8&amp;page=show_problem&amp;problem=995","UVA 10054")</f>
        <v>UVA 10054</v>
      </c>
      <c r="C27" s="7"/>
      <c r="D27" s="7"/>
      <c r="E27" s="7"/>
      <c r="F27" s="7"/>
      <c r="G27" s="7"/>
      <c r="H27" s="12">
        <f t="shared" si="0"/>
        <v>0</v>
      </c>
      <c r="I27" s="7"/>
      <c r="J27" s="7"/>
    </row>
    <row r="28" spans="1:10" ht="15.75" customHeight="1" x14ac:dyDescent="0.15">
      <c r="A28" s="15" t="s">
        <v>666</v>
      </c>
      <c r="B28" s="42" t="str">
        <f>HYPERLINK("https://uva.onlinejudge.org/index.php?option=com_onlinejudge&amp;Itemid=8&amp;page=show_problem&amp;problem=1018","UVA 10077")</f>
        <v>UVA 10077</v>
      </c>
      <c r="C28" s="7"/>
      <c r="D28" s="7"/>
      <c r="E28" s="7"/>
      <c r="F28" s="7"/>
      <c r="G28" s="7"/>
      <c r="H28" s="12">
        <f t="shared" si="0"/>
        <v>0</v>
      </c>
      <c r="I28" s="7"/>
      <c r="J28" s="5"/>
    </row>
    <row r="29" spans="1:10" ht="15.75" customHeight="1" x14ac:dyDescent="0.15">
      <c r="A29" s="15" t="s">
        <v>669</v>
      </c>
      <c r="B29" s="42" t="str">
        <f>HYPERLINK("https://uva.onlinejudge.org/index.php?option=onlinejudge&amp;page=show_problem&amp;problem=127","UVA 191")</f>
        <v>UVA 191</v>
      </c>
      <c r="C29" s="7"/>
      <c r="D29" s="7"/>
      <c r="E29" s="7"/>
      <c r="F29" s="7"/>
      <c r="G29" s="7"/>
      <c r="H29" s="12">
        <f t="shared" si="0"/>
        <v>0</v>
      </c>
      <c r="I29" s="7"/>
      <c r="J29" s="5"/>
    </row>
    <row r="30" spans="1:10" ht="15.75" customHeight="1" x14ac:dyDescent="0.15">
      <c r="A30" s="15" t="s">
        <v>655</v>
      </c>
      <c r="B30" s="42" t="str">
        <f>HYPERLINK("https://uva.onlinejudge.org/index.php?option=com_onlinejudge&amp;Itemid=8&amp;page=show_problem&amp;problem=1088","UVA 10147")</f>
        <v>UVA 10147</v>
      </c>
      <c r="C30" s="7"/>
      <c r="D30" s="7"/>
      <c r="E30" s="7"/>
      <c r="F30" s="7"/>
      <c r="G30" s="7"/>
      <c r="H30" s="12">
        <f t="shared" si="0"/>
        <v>0</v>
      </c>
      <c r="I30" s="7"/>
      <c r="J30" s="5"/>
    </row>
    <row r="31" spans="1:10" ht="15.75" customHeight="1" x14ac:dyDescent="0.15">
      <c r="A31" s="15" t="s">
        <v>672</v>
      </c>
      <c r="B31" s="42" t="str">
        <f>HYPERLINK("https://uva.onlinejudge.org/index.php?option=onlinejudge&amp;page=show_problem&amp;problem=1160","UVA 10219")</f>
        <v>UVA 10219</v>
      </c>
      <c r="C31" s="7"/>
      <c r="D31" s="7"/>
      <c r="E31" s="7"/>
      <c r="F31" s="7"/>
      <c r="G31" s="7"/>
      <c r="H31" s="12">
        <f t="shared" si="0"/>
        <v>0</v>
      </c>
      <c r="I31" s="7"/>
      <c r="J31" s="5"/>
    </row>
    <row r="32" spans="1:10" ht="15.75" customHeight="1" x14ac:dyDescent="0.15">
      <c r="A32" s="15" t="s">
        <v>675</v>
      </c>
      <c r="B32" s="16" t="str">
        <f>HYPERLINK("https://uva.onlinejudge.org/index.php?option=onlinejudge&amp;Itemid=8&amp;page=show_problem&amp;problem=1080","UVA 10139")</f>
        <v>UVA 10139</v>
      </c>
      <c r="C32" s="7"/>
      <c r="D32" s="7"/>
      <c r="E32" s="7"/>
      <c r="F32" s="7"/>
      <c r="G32" s="7"/>
      <c r="H32" s="12">
        <f t="shared" si="0"/>
        <v>0</v>
      </c>
      <c r="I32" s="7"/>
      <c r="J32" s="5"/>
    </row>
    <row r="33" spans="1:10" ht="15.75" customHeight="1" x14ac:dyDescent="0.15">
      <c r="A33" s="15" t="s">
        <v>677</v>
      </c>
      <c r="B33" s="42" t="str">
        <f>HYPERLINK("https://uva.onlinejudge.org/index.php?option=onlinejudge&amp;page=show_problem&amp;problem=238","UVA 302")</f>
        <v>UVA 302</v>
      </c>
      <c r="C33" s="7"/>
      <c r="D33" s="7"/>
      <c r="E33" s="7"/>
      <c r="F33" s="7"/>
      <c r="G33" s="7"/>
      <c r="H33" s="12">
        <f t="shared" si="0"/>
        <v>0</v>
      </c>
      <c r="I33" s="7"/>
      <c r="J33" s="5"/>
    </row>
    <row r="34" spans="1:10" ht="15.75" customHeight="1" x14ac:dyDescent="0.15">
      <c r="A34" s="15" t="s">
        <v>680</v>
      </c>
      <c r="B34" s="42" t="str">
        <f>HYPERLINK("https://uva.onlinejudge.org/index.php?option=onlinejudge&amp;page=show_problem&amp;problem=2096","UVA 11155")</f>
        <v>UVA 11155</v>
      </c>
      <c r="C34" s="7"/>
      <c r="D34" s="7"/>
      <c r="E34" s="7"/>
      <c r="F34" s="7"/>
      <c r="G34" s="7"/>
      <c r="H34" s="12">
        <f t="shared" si="0"/>
        <v>0</v>
      </c>
      <c r="I34" s="7"/>
      <c r="J34" s="5"/>
    </row>
    <row r="35" spans="1:10" ht="15.75" customHeight="1" x14ac:dyDescent="0.15">
      <c r="A35" s="7"/>
      <c r="B35" s="7"/>
      <c r="C35" s="7"/>
      <c r="D35" s="7"/>
      <c r="E35" s="7"/>
      <c r="F35" s="7"/>
      <c r="G35" s="7"/>
      <c r="H35" s="12">
        <f t="shared" si="0"/>
        <v>0</v>
      </c>
      <c r="I35" s="7"/>
      <c r="J35" s="5"/>
    </row>
    <row r="36" spans="1:10" ht="15.75" customHeight="1" x14ac:dyDescent="0.15">
      <c r="A36" s="15" t="s">
        <v>684</v>
      </c>
      <c r="B36" s="42" t="str">
        <f>HYPERLINK("https://uva.onlinejudge.org/index.php?option=onlinejudge&amp;page=show_problem&amp;problem=137","UVA 201")</f>
        <v>UVA 201</v>
      </c>
      <c r="C36" s="7"/>
      <c r="D36" s="7"/>
      <c r="E36" s="7"/>
      <c r="F36" s="7"/>
      <c r="G36" s="7"/>
      <c r="H36" s="12">
        <f t="shared" si="0"/>
        <v>0</v>
      </c>
      <c r="I36" s="7"/>
      <c r="J36" s="5"/>
    </row>
    <row r="37" spans="1:10" ht="15.75" customHeight="1" x14ac:dyDescent="0.15">
      <c r="A37" s="15" t="s">
        <v>687</v>
      </c>
      <c r="B37" s="42" t="str">
        <f>HYPERLINK("https://uva.onlinejudge.org/index.php?option=com_onlinejudge&amp;Itemid=8&amp;page=show_problem&amp;problem=64","UVA 128")</f>
        <v>UVA 128</v>
      </c>
      <c r="C37" s="7"/>
      <c r="D37" s="7"/>
      <c r="E37" s="7"/>
      <c r="F37" s="7"/>
      <c r="G37" s="7"/>
      <c r="H37" s="12">
        <f t="shared" si="0"/>
        <v>0</v>
      </c>
      <c r="I37" s="7"/>
      <c r="J37" s="5"/>
    </row>
    <row r="38" spans="1:10" ht="15.75" customHeight="1" x14ac:dyDescent="0.15">
      <c r="A38" s="15" t="s">
        <v>690</v>
      </c>
      <c r="B38" s="42" t="str">
        <f>HYPERLINK("https://uva.onlinejudge.org/index.php?option=onlinejudge&amp;page=show_problem&amp;problem=1217","UVA 10276")</f>
        <v>UVA 10276</v>
      </c>
      <c r="C38" s="7"/>
      <c r="D38" s="7"/>
      <c r="E38" s="7"/>
      <c r="F38" s="7"/>
      <c r="G38" s="7"/>
      <c r="H38" s="12">
        <f t="shared" si="0"/>
        <v>0</v>
      </c>
      <c r="I38" s="7"/>
      <c r="J38" s="5"/>
    </row>
    <row r="39" spans="1:10" ht="15.75" customHeight="1" x14ac:dyDescent="0.15">
      <c r="A39" s="15" t="s">
        <v>691</v>
      </c>
      <c r="B39" s="42" t="str">
        <f>HYPERLINK("https://uva.onlinejudge.org/index.php?option=com_onlinejudge&amp;Itemid=8&amp;page=show_problem&amp;problem=1917","UVA 10976")</f>
        <v>UVA 10976</v>
      </c>
      <c r="C39" s="7"/>
      <c r="D39" s="7"/>
      <c r="E39" s="7"/>
      <c r="F39" s="7"/>
      <c r="G39" s="7"/>
      <c r="H39" s="12">
        <f t="shared" si="0"/>
        <v>0</v>
      </c>
      <c r="I39" s="7"/>
      <c r="J39" s="5"/>
    </row>
    <row r="40" spans="1:10" ht="15.75" customHeight="1" x14ac:dyDescent="0.15">
      <c r="A40" s="15" t="s">
        <v>693</v>
      </c>
      <c r="B40" s="42" t="str">
        <f>HYPERLINK("https://uva.onlinejudge.org/index.php?option=onlinejudge&amp;page=show_problem&amp;problem=1066","UVA 10125")</f>
        <v>UVA 10125</v>
      </c>
      <c r="C40" s="7"/>
      <c r="D40" s="7"/>
      <c r="E40" s="7"/>
      <c r="F40" s="7"/>
      <c r="G40" s="7"/>
      <c r="H40" s="12">
        <f t="shared" si="0"/>
        <v>0</v>
      </c>
      <c r="I40" s="7"/>
      <c r="J40" s="5"/>
    </row>
    <row r="41" spans="1:10" ht="15.75" customHeight="1" x14ac:dyDescent="0.15">
      <c r="A41" s="15" t="s">
        <v>695</v>
      </c>
      <c r="B41" s="42" t="str">
        <f>HYPERLINK("https://uva.onlinejudge.org/index.php?option=onlinejudge&amp;page=show_problem&amp;problem=1170","UVA 10229")</f>
        <v>UVA 10229</v>
      </c>
      <c r="C41" s="7"/>
      <c r="D41" s="7"/>
      <c r="E41" s="7"/>
      <c r="F41" s="7"/>
      <c r="G41" s="7"/>
      <c r="H41" s="12">
        <f t="shared" si="0"/>
        <v>0</v>
      </c>
      <c r="I41" s="7"/>
      <c r="J41" s="5"/>
    </row>
    <row r="42" spans="1:10" ht="15.75" customHeight="1" x14ac:dyDescent="0.15">
      <c r="A42" s="15" t="s">
        <v>697</v>
      </c>
      <c r="B42" s="42" t="str">
        <f>HYPERLINK("https://uva.onlinejudge.org/index.php?option=com_onlinejudge&amp;Itemid=8&amp;page=show_problem&amp;problem=230","UVA 294")</f>
        <v>UVA 294</v>
      </c>
      <c r="C42" s="7"/>
      <c r="D42" s="7"/>
      <c r="E42" s="7"/>
      <c r="F42" s="7"/>
      <c r="G42" s="7"/>
      <c r="H42" s="12">
        <f t="shared" si="0"/>
        <v>0</v>
      </c>
      <c r="I42" s="7"/>
      <c r="J42" s="5"/>
    </row>
    <row r="43" spans="1:10" ht="15.75" customHeight="1" x14ac:dyDescent="0.15">
      <c r="A43" s="15" t="s">
        <v>698</v>
      </c>
      <c r="B43" s="42" t="str">
        <f>HYPERLINK("https://uva.onlinejudge.org/index.php?option=onlinejudge&amp;page=show_problem&amp;problem=1833","UVA 10892")</f>
        <v>UVA 10892</v>
      </c>
      <c r="C43" s="7"/>
      <c r="D43" s="7"/>
      <c r="E43" s="7"/>
      <c r="F43" s="7"/>
      <c r="G43" s="7"/>
      <c r="H43" s="12">
        <f t="shared" si="0"/>
        <v>0</v>
      </c>
      <c r="I43" s="7"/>
      <c r="J43" s="5"/>
    </row>
    <row r="44" spans="1:10" ht="15.75" customHeight="1" x14ac:dyDescent="0.15">
      <c r="A44" s="15" t="s">
        <v>699</v>
      </c>
      <c r="B44" s="42" t="str">
        <f>HYPERLINK("https://uva.onlinejudge.org/index.php?option=com_onlinejudge&amp;Itemid=8&amp;page=show_problem&amp;problem=3971","UVA 12526")</f>
        <v>UVA 12526</v>
      </c>
      <c r="C44" s="7"/>
      <c r="D44" s="7"/>
      <c r="E44" s="7"/>
      <c r="F44" s="7"/>
      <c r="G44" s="7"/>
      <c r="H44" s="12">
        <f t="shared" si="0"/>
        <v>0</v>
      </c>
      <c r="I44" s="7"/>
      <c r="J44" s="5"/>
    </row>
    <row r="45" spans="1:10" ht="13" x14ac:dyDescent="0.15">
      <c r="A45" s="15" t="s">
        <v>700</v>
      </c>
      <c r="B45" s="42" t="str">
        <f>HYPERLINK("https://uva.onlinejudge.org/index.php?option=com_onlinejudge&amp;Itemid=8&amp;page=show_problem&amp;problem=457","UVA 516")</f>
        <v>UVA 516</v>
      </c>
      <c r="C45" s="7"/>
      <c r="D45" s="7"/>
      <c r="E45" s="7"/>
      <c r="F45" s="7"/>
      <c r="G45" s="7"/>
      <c r="H45" s="12">
        <f t="shared" si="0"/>
        <v>0</v>
      </c>
      <c r="I45" s="7"/>
      <c r="J45" s="5"/>
    </row>
    <row r="46" spans="1:10" ht="13" x14ac:dyDescent="0.15">
      <c r="A46" s="7"/>
      <c r="B46" s="7"/>
      <c r="C46" s="7"/>
      <c r="D46" s="7"/>
      <c r="E46" s="7"/>
      <c r="F46" s="7"/>
      <c r="G46" s="7"/>
      <c r="H46" s="12">
        <f t="shared" si="0"/>
        <v>0</v>
      </c>
      <c r="I46" s="7"/>
      <c r="J46" s="5"/>
    </row>
    <row r="47" spans="1:10" ht="13" x14ac:dyDescent="0.15">
      <c r="A47" s="15" t="s">
        <v>701</v>
      </c>
      <c r="B47" s="42" t="str">
        <f>HYPERLINK("https://uva.onlinejudge.org/index.php?option=com_onlinejudge&amp;Itemid=8&amp;page=show_problem&amp;problem=1310","UVA 10369")</f>
        <v>UVA 10369</v>
      </c>
      <c r="C47" s="7"/>
      <c r="D47" s="7"/>
      <c r="E47" s="7"/>
      <c r="F47" s="7"/>
      <c r="G47" s="7"/>
      <c r="H47" s="12">
        <f t="shared" si="0"/>
        <v>0</v>
      </c>
      <c r="I47" s="7"/>
      <c r="J47" s="5"/>
    </row>
    <row r="48" spans="1:10" ht="13" x14ac:dyDescent="0.15">
      <c r="A48" s="15" t="s">
        <v>702</v>
      </c>
      <c r="B48" s="42" t="str">
        <f>HYPERLINK("https://uva.onlinejudge.org/index.php?option=com_onlinejudge&amp;Itemid=8&amp;page=show_problem&amp;problem=262","UVA 326")</f>
        <v>UVA 326</v>
      </c>
      <c r="C48" s="7"/>
      <c r="D48" s="7"/>
      <c r="E48" s="7"/>
      <c r="F48" s="7"/>
      <c r="G48" s="7"/>
      <c r="H48" s="12">
        <f t="shared" si="0"/>
        <v>0</v>
      </c>
      <c r="I48" s="7"/>
      <c r="J48" s="5"/>
    </row>
    <row r="49" spans="1:10" ht="13" x14ac:dyDescent="0.15">
      <c r="A49" s="15" t="s">
        <v>703</v>
      </c>
      <c r="B49" s="42" t="str">
        <f>HYPERLINK("https://uva.onlinejudge.org/index.php?option=com_onlinejudge&amp;Itemid=8&amp;page=show_problem&amp;problem=314","UVA 378")</f>
        <v>UVA 378</v>
      </c>
      <c r="C49" s="7"/>
      <c r="D49" s="7"/>
      <c r="E49" s="7"/>
      <c r="F49" s="7"/>
      <c r="G49" s="7"/>
      <c r="H49" s="12">
        <f t="shared" si="0"/>
        <v>0</v>
      </c>
      <c r="I49" s="7"/>
      <c r="J49" s="5"/>
    </row>
    <row r="50" spans="1:10" ht="13" x14ac:dyDescent="0.15">
      <c r="A50" s="7" t="s">
        <v>349</v>
      </c>
      <c r="B50" s="16" t="str">
        <f>HYPERLINK("http://codeforces.com/problemset/problem/476/C","CF476-D2-C")</f>
        <v>CF476-D2-C</v>
      </c>
      <c r="C50" s="7"/>
      <c r="D50" s="7"/>
      <c r="E50" s="7"/>
      <c r="F50" s="7"/>
      <c r="G50" s="7"/>
      <c r="H50" s="12">
        <f t="shared" si="0"/>
        <v>0</v>
      </c>
      <c r="I50" s="7"/>
      <c r="J50" s="5"/>
    </row>
    <row r="51" spans="1:10" ht="13" x14ac:dyDescent="0.15">
      <c r="A51" s="15" t="s">
        <v>704</v>
      </c>
      <c r="B51" s="42" t="str">
        <f>HYPERLINK("http://www.spoj.com/problems/SUBSUMS/","SPOJ SUBSUMS")</f>
        <v>SPOJ SUBSUMS</v>
      </c>
      <c r="C51" s="7"/>
      <c r="D51" s="7"/>
      <c r="E51" s="7"/>
      <c r="F51" s="7"/>
      <c r="G51" s="7"/>
      <c r="H51" s="12">
        <f t="shared" si="0"/>
        <v>0</v>
      </c>
      <c r="I51" s="7"/>
      <c r="J51" s="5"/>
    </row>
    <row r="52" spans="1:10" ht="13" x14ac:dyDescent="0.15">
      <c r="A52" s="15" t="s">
        <v>705</v>
      </c>
      <c r="B52" s="42" t="str">
        <f>HYPERLINK("https://uva.onlinejudge.org/index.php?option=com_onlinejudge&amp;Itemid=8&amp;page=show_problem&amp;problem=825","UVA 884")</f>
        <v>UVA 884</v>
      </c>
      <c r="C52" s="7"/>
      <c r="D52" s="7"/>
      <c r="E52" s="7"/>
      <c r="F52" s="7"/>
      <c r="G52" s="7"/>
      <c r="H52" s="12">
        <f t="shared" si="0"/>
        <v>0</v>
      </c>
      <c r="I52" s="7"/>
      <c r="J52" s="5"/>
    </row>
    <row r="53" spans="1:10" ht="13" x14ac:dyDescent="0.15">
      <c r="A53" s="7"/>
      <c r="B53" s="7"/>
      <c r="C53" s="7"/>
      <c r="D53" s="7"/>
      <c r="E53" s="7"/>
      <c r="F53" s="7"/>
      <c r="G53" s="7"/>
      <c r="H53" s="12">
        <f t="shared" si="0"/>
        <v>0</v>
      </c>
      <c r="I53" s="7"/>
      <c r="J53" s="36" t="s">
        <v>185</v>
      </c>
    </row>
  </sheetData>
  <conditionalFormatting sqref="C3:C53">
    <cfRule type="cellIs" dxfId="26" priority="1" operator="equal">
      <formula>"AC"</formula>
    </cfRule>
  </conditionalFormatting>
  <conditionalFormatting sqref="C3:C10">
    <cfRule type="containsText" dxfId="25" priority="2" operator="containsText" text="WA">
      <formula>NOT(ISERROR(SEARCH(("WA"),(C3))))</formula>
    </cfRule>
  </conditionalFormatting>
  <conditionalFormatting sqref="C11:C53">
    <cfRule type="containsText" dxfId="24" priority="3" operator="containsText" text="WA">
      <formula>NOT(ISERROR(SEARCH(("WA"),(C11))))</formula>
    </cfRule>
  </conditionalFormatting>
  <conditionalFormatting sqref="C3:C10">
    <cfRule type="containsText" dxfId="23" priority="4" operator="containsText" text="TLE">
      <formula>NOT(ISERROR(SEARCH(("TLE"),(C3))))</formula>
    </cfRule>
  </conditionalFormatting>
  <conditionalFormatting sqref="C11:C53">
    <cfRule type="containsText" dxfId="22" priority="5" operator="containsText" text="TLE">
      <formula>NOT(ISERROR(SEARCH(("TLE"),(C11))))</formula>
    </cfRule>
  </conditionalFormatting>
  <conditionalFormatting sqref="C3:C10">
    <cfRule type="containsText" dxfId="21" priority="6" operator="containsText" text="RTE">
      <formula>NOT(ISERROR(SEARCH(("RTE"),(C3))))</formula>
    </cfRule>
  </conditionalFormatting>
  <conditionalFormatting sqref="C11:C53">
    <cfRule type="containsText" dxfId="20" priority="7" operator="containsText" text="RTE">
      <formula>NOT(ISERROR(SEARCH(("RTE"),(C11))))</formula>
    </cfRule>
  </conditionalFormatting>
  <conditionalFormatting sqref="C3:C10">
    <cfRule type="containsText" dxfId="19" priority="8" operator="containsText" text="CS">
      <formula>NOT(ISERROR(SEARCH(("CS"),(C3))))</formula>
    </cfRule>
  </conditionalFormatting>
  <conditionalFormatting sqref="C11:C53">
    <cfRule type="containsText" dxfId="18" priority="9" operator="containsText" text="CS">
      <formula>NOT(ISERROR(SEARCH(("CS"),(C11))))</formula>
    </cfRule>
  </conditionalFormatting>
  <hyperlinks>
    <hyperlink ref="B3" r:id="rId1" display="https://uva.onlinejudge.org/index.php?option=com_onlinejudge&amp;Itemid=8&amp;page=show_problem&amp;problem=1820"/>
    <hyperlink ref="B4" r:id="rId2" display="http://www.spoj.com/problems/PIR/"/>
    <hyperlink ref="B5" r:id="rId3" display="https://uva.onlinejudge.org/index.php?option=onlinejudge&amp;page=show_problem&amp;problem=310"/>
    <hyperlink ref="B6" r:id="rId4" display="https://uva.onlinejudge.org/index.php?option=onlinejudge&amp;page=show_problem&amp;problem=1335"/>
    <hyperlink ref="B7" r:id="rId5" display="http://www.spoj.com/problems/ABCDEF/"/>
    <hyperlink ref="B8" r:id="rId6" display="https://uva.onlinejudge.org/index.php?option=com_onlinejudge&amp;Itemid=8&amp;page=show_problem&amp;problem=322"/>
    <hyperlink ref="B9" r:id="rId7" display="https://uva.onlinejudge.org/index.php?option=com_onlinejudge&amp;Itemid=8&amp;page=show_problem&amp;problem=1285"/>
    <hyperlink ref="B10" r:id="rId8" display="http://www.spoj.com/problems/PHONELST/"/>
    <hyperlink ref="B11" r:id="rId9" display="http://www.spoj.com/problems/AGGRCOW/"/>
    <hyperlink ref="B12" r:id="rId10" display="https://uva.onlinejudge.org/index.php?option=com_onlinejudge&amp;Itemid=8&amp;page=show_problem&amp;problem=499"/>
    <hyperlink ref="B14" r:id="rId11" display="https://uva.onlinejudge.org/index.php?option=com_onlinejudge&amp;Itemid=8&amp;page=show_problem&amp;problem=1552"/>
    <hyperlink ref="B15" r:id="rId12" display="https://uva.onlinejudge.org/index.php?option=onlinejudge&amp;page=show_problem&amp;problem=1658"/>
    <hyperlink ref="B16" r:id="rId13" display="https://uva.onlinejudge.org/index.php?option=com_onlinejudge&amp;Itemid=8&amp;page=show_problem&amp;problem=49"/>
    <hyperlink ref="B17" r:id="rId14" display="https://uva.onlinejudge.org/index.php?option=com_onlinejudge&amp;Itemid=8&amp;page=show_problem&amp;problem=1541"/>
    <hyperlink ref="B18" r:id="rId15" display="http://www.spoj.com/problems/DICT/"/>
    <hyperlink ref="B19" r:id="rId16" display="https://uva.onlinejudge.org/index.php?option=onlinejudge&amp;page=show_problem&amp;problem=1183"/>
    <hyperlink ref="B20" r:id="rId17" display="https://uva.onlinejudge.org/index.php?option=onlinejudge&amp;page=show_problem&amp;problem=1266"/>
    <hyperlink ref="B21" r:id="rId18" display="https://uva.onlinejudge.org/index.php?option=com_onlinejudge&amp;Itemid=8&amp;page=show_problem&amp;problem=691"/>
    <hyperlink ref="B22" r:id="rId19" display="https://uva.onlinejudge.org/index.php?option=onlinejudge&amp;page=show_problem&amp;problem=1731"/>
    <hyperlink ref="B23" r:id="rId20" display="http://www.spoj.com/problems/CHOCOLA/"/>
    <hyperlink ref="B25" r:id="rId21" display="https://uva.onlinejudge.org/index.php?option=onlinejudge&amp;page=show_problem&amp;problem=1109"/>
    <hyperlink ref="B26" r:id="rId22" display="https://uva.onlinejudge.org/index.php?option=com_onlinejudge&amp;Itemid=8&amp;page=show_problem&amp;problem=1021"/>
    <hyperlink ref="B27" r:id="rId23" display="https://uva.onlinejudge.org/index.php?option=com_onlinejudge&amp;Itemid=8&amp;page=show_problem&amp;problem=995"/>
    <hyperlink ref="B28" r:id="rId24" display="https://uva.onlinejudge.org/index.php?option=com_onlinejudge&amp;Itemid=8&amp;page=show_problem&amp;problem=1018"/>
    <hyperlink ref="B29" r:id="rId25" display="https://uva.onlinejudge.org/index.php?option=onlinejudge&amp;page=show_problem&amp;problem=127"/>
    <hyperlink ref="B30" r:id="rId26" display="https://uva.onlinejudge.org/index.php?option=com_onlinejudge&amp;Itemid=8&amp;page=show_problem&amp;problem=1088"/>
    <hyperlink ref="B31" r:id="rId27" display="https://uva.onlinejudge.org/index.php?option=onlinejudge&amp;page=show_problem&amp;problem=1160"/>
    <hyperlink ref="B32" r:id="rId28" display="https://uva.onlinejudge.org/index.php?option=onlinejudge&amp;Itemid=8&amp;page=show_problem&amp;problem=1080"/>
    <hyperlink ref="B33" r:id="rId29" display="https://uva.onlinejudge.org/index.php?option=onlinejudge&amp;page=show_problem&amp;problem=238"/>
    <hyperlink ref="B34" r:id="rId30" display="https://uva.onlinejudge.org/index.php?option=onlinejudge&amp;page=show_problem&amp;problem=2096"/>
    <hyperlink ref="B36" r:id="rId31" display="https://uva.onlinejudge.org/index.php?option=onlinejudge&amp;page=show_problem&amp;problem=137"/>
    <hyperlink ref="B37" r:id="rId32" display="https://uva.onlinejudge.org/index.php?option=com_onlinejudge&amp;Itemid=8&amp;page=show_problem&amp;problem=64"/>
    <hyperlink ref="B38" r:id="rId33" display="https://uva.onlinejudge.org/index.php?option=onlinejudge&amp;page=show_problem&amp;problem=1217"/>
    <hyperlink ref="B39" r:id="rId34" display="https://uva.onlinejudge.org/index.php?option=com_onlinejudge&amp;Itemid=8&amp;page=show_problem&amp;problem=1917"/>
    <hyperlink ref="B40" r:id="rId35" display="https://uva.onlinejudge.org/index.php?option=onlinejudge&amp;page=show_problem&amp;problem=1066"/>
    <hyperlink ref="B41" r:id="rId36" display="https://uva.onlinejudge.org/index.php?option=onlinejudge&amp;page=show_problem&amp;problem=1170"/>
    <hyperlink ref="B42" r:id="rId37" display="https://uva.onlinejudge.org/index.php?option=com_onlinejudge&amp;Itemid=8&amp;page=show_problem&amp;problem=230"/>
    <hyperlink ref="B43" r:id="rId38" display="https://uva.onlinejudge.org/index.php?option=onlinejudge&amp;page=show_problem&amp;problem=1833"/>
    <hyperlink ref="B44" r:id="rId39" display="https://uva.onlinejudge.org/index.php?option=com_onlinejudge&amp;Itemid=8&amp;page=show_problem&amp;problem=3971"/>
    <hyperlink ref="B45" r:id="rId40" display="https://uva.onlinejudge.org/index.php?option=com_onlinejudge&amp;Itemid=8&amp;page=show_problem&amp;problem=457"/>
    <hyperlink ref="B47" r:id="rId41" display="https://uva.onlinejudge.org/index.php?option=com_onlinejudge&amp;Itemid=8&amp;page=show_problem&amp;problem=1310"/>
    <hyperlink ref="B48" r:id="rId42" display="https://uva.onlinejudge.org/index.php?option=com_onlinejudge&amp;Itemid=8&amp;page=show_problem&amp;problem=262"/>
    <hyperlink ref="B49" r:id="rId43" display="https://uva.onlinejudge.org/index.php?option=com_onlinejudge&amp;Itemid=8&amp;page=show_problem&amp;problem=314"/>
    <hyperlink ref="B50" r:id="rId44" display="http://codeforces.com/problemset/problem/476/C"/>
    <hyperlink ref="B51" r:id="rId45" display="http://www.spoj.com/problems/SUBSUMS/"/>
    <hyperlink ref="B52" r:id="rId46" display="https://uva.onlinejudge.org/index.php?option=com_onlinejudge&amp;Itemid=8&amp;page=show_problem&amp;problem=82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7.33203125" defaultRowHeight="15.75" customHeight="1" x14ac:dyDescent="0.15"/>
  <cols>
    <col min="1" max="1" width="23.5" customWidth="1"/>
    <col min="3" max="3" width="6.83203125" customWidth="1"/>
    <col min="4" max="4" width="13" customWidth="1"/>
    <col min="5" max="5" width="8.5" customWidth="1"/>
    <col min="6" max="6" width="8.6640625" customWidth="1"/>
    <col min="7" max="7" width="10" customWidth="1"/>
    <col min="8" max="8" width="8.5" customWidth="1"/>
    <col min="9" max="9" width="10" customWidth="1"/>
    <col min="10" max="10" width="161.5" customWidth="1"/>
  </cols>
  <sheetData>
    <row r="1" spans="1:10" ht="15.75" customHeight="1" x14ac:dyDescent="0.15">
      <c r="A1" s="1" t="s">
        <v>0</v>
      </c>
      <c r="B1" s="1" t="s">
        <v>4</v>
      </c>
      <c r="C1" s="2" t="s">
        <v>2</v>
      </c>
      <c r="D1" s="3" t="s">
        <v>5</v>
      </c>
      <c r="E1" s="3" t="s">
        <v>7</v>
      </c>
      <c r="F1" s="2" t="s">
        <v>8</v>
      </c>
      <c r="G1" s="3" t="s">
        <v>9</v>
      </c>
      <c r="H1" s="3" t="s">
        <v>10</v>
      </c>
      <c r="I1" s="2" t="s">
        <v>11</v>
      </c>
      <c r="J1" s="4" t="s">
        <v>13</v>
      </c>
    </row>
    <row r="2" spans="1:10" ht="15.75" customHeight="1" x14ac:dyDescent="0.15">
      <c r="A2" s="5"/>
      <c r="B2" s="5" t="s">
        <v>14</v>
      </c>
      <c r="C2" s="8">
        <f>COUNTIF(C4:C9771, "AC")</f>
        <v>0</v>
      </c>
      <c r="D2" s="9" t="e">
        <f ca="1">SUMPRODUCT(D4:D9771,INT(EQ(C4:C9771, "AC")))/MAX(1, C2)</f>
        <v>#NAME?</v>
      </c>
      <c r="E2" s="9" t="e">
        <f ca="1">SUMPRODUCT(E4:E9771,INT(EQ(C4:C9771, "AC")))/MAX(1, C2)</f>
        <v>#NAME?</v>
      </c>
      <c r="F2" s="9" t="e">
        <f ca="1">SUMPRODUCT(F4:F9771,INT(EQ(C4:C9771, "AC")))/MAX(1, C2)</f>
        <v>#NAME?</v>
      </c>
      <c r="G2" s="9" t="e">
        <f ca="1">SUMPRODUCT(G4:G9771,INT(EQ(C4:C9771, "AC")))/MAX(1, C2)</f>
        <v>#NAME?</v>
      </c>
      <c r="H2" s="9" t="e">
        <f ca="1">SUMPRODUCT(H4:H9771,INT(EQ(C4:C9771, "AC")))/MAX(1, C2)</f>
        <v>#NAME?</v>
      </c>
      <c r="I2" s="9" t="e">
        <f ca="1">SUMPRODUCT(I4:I9771,INT(EQ(C4:C9771, "AC")))/MAX(1, C2)</f>
        <v>#NAME?</v>
      </c>
      <c r="J2" s="51">
        <f>COUNTIFS(C4:C9888, "&lt;&gt;AC", C4:C9888, "&lt;&gt;")</f>
        <v>0</v>
      </c>
    </row>
    <row r="3" spans="1:10" ht="15.75" customHeight="1" x14ac:dyDescent="0.15">
      <c r="A3" s="15" t="s">
        <v>706</v>
      </c>
      <c r="B3" s="16" t="str">
        <f>HYPERLINK("http://www.spoj.com/problems/TETRA/","SOPJ TETRA")</f>
        <v>SOPJ TETRA</v>
      </c>
      <c r="C3" s="5"/>
      <c r="D3" s="5"/>
      <c r="E3" s="5"/>
      <c r="F3" s="5"/>
      <c r="G3" s="5"/>
      <c r="H3" s="12">
        <f t="shared" ref="H3:H84" si="0">SUM(E3:G3)</f>
        <v>0</v>
      </c>
      <c r="I3" s="5"/>
      <c r="J3" s="5"/>
    </row>
    <row r="4" spans="1:10" ht="15.75" customHeight="1" x14ac:dyDescent="0.15">
      <c r="A4" s="15" t="s">
        <v>707</v>
      </c>
      <c r="B4" s="42" t="str">
        <f>HYPERLINK("http://www.spoj.com/problems/QUEST4/","SPOJ QUEST4")</f>
        <v>SPOJ QUEST4</v>
      </c>
      <c r="C4" s="5"/>
      <c r="D4" s="5"/>
      <c r="E4" s="5"/>
      <c r="F4" s="5"/>
      <c r="G4" s="5"/>
      <c r="H4" s="12">
        <f t="shared" si="0"/>
        <v>0</v>
      </c>
      <c r="I4" s="5"/>
      <c r="J4" s="5"/>
    </row>
    <row r="5" spans="1:10" ht="15.75" customHeight="1" x14ac:dyDescent="0.15">
      <c r="A5" s="15" t="s">
        <v>708</v>
      </c>
      <c r="B5" s="42" t="str">
        <f>HYPERLINK("https://uva.onlinejudge.org/index.php?option=com_onlinejudge&amp;Itemid=8&amp;page=show_problem&amp;problem=1498","UVA 10557")</f>
        <v>UVA 10557</v>
      </c>
      <c r="C5" s="5"/>
      <c r="D5" s="5"/>
      <c r="E5" s="5"/>
      <c r="F5" s="5"/>
      <c r="G5" s="5"/>
      <c r="H5" s="12">
        <f t="shared" si="0"/>
        <v>0</v>
      </c>
      <c r="I5" s="5"/>
      <c r="J5" s="5"/>
    </row>
    <row r="6" spans="1:10" ht="15.75" customHeight="1" x14ac:dyDescent="0.15">
      <c r="A6" s="15" t="s">
        <v>709</v>
      </c>
      <c r="B6" s="42" t="str">
        <f>HYPERLINK("https://uva.onlinejudge.org/index.php?option=onlinejudge&amp;page=show_problem&amp;problem=53","UVA 117")</f>
        <v>UVA 117</v>
      </c>
      <c r="C6" s="5"/>
      <c r="D6" s="5"/>
      <c r="E6" s="17"/>
      <c r="F6" s="5"/>
      <c r="G6" s="5"/>
      <c r="H6" s="18">
        <f t="shared" si="0"/>
        <v>0</v>
      </c>
      <c r="I6" s="5"/>
      <c r="J6" s="5"/>
    </row>
    <row r="7" spans="1:10" ht="15.75" customHeight="1" x14ac:dyDescent="0.15">
      <c r="A7" s="15" t="s">
        <v>710</v>
      </c>
      <c r="B7" s="42" t="str">
        <f>HYPERLINK("http://www.spoj.com/problems/MSKYCODE/en/","SPOJ MSKYCODE")</f>
        <v>SPOJ MSKYCODE</v>
      </c>
      <c r="C7" s="5"/>
      <c r="D7" s="5"/>
      <c r="E7" s="5"/>
      <c r="F7" s="5"/>
      <c r="G7" s="5"/>
      <c r="H7" s="12">
        <f t="shared" si="0"/>
        <v>0</v>
      </c>
      <c r="I7" s="5"/>
      <c r="J7" s="5"/>
    </row>
    <row r="8" spans="1:10" ht="15.75" customHeight="1" x14ac:dyDescent="0.15">
      <c r="A8" s="22" t="s">
        <v>712</v>
      </c>
      <c r="B8" s="42" t="str">
        <f>HYPERLINK("https://uva.onlinejudge.org/index.php?option=com_onlinejudge&amp;Itemid=8&amp;page=show_problem&amp;problem=1033","UVA 10092")</f>
        <v>UVA 10092</v>
      </c>
      <c r="C8" s="5"/>
      <c r="D8" s="5"/>
      <c r="E8" s="17"/>
      <c r="F8" s="5"/>
      <c r="G8" s="5"/>
      <c r="H8" s="18">
        <f t="shared" si="0"/>
        <v>0</v>
      </c>
      <c r="I8" s="5"/>
      <c r="J8" s="5"/>
    </row>
    <row r="9" spans="1:10" ht="15.75" customHeight="1" x14ac:dyDescent="0.15">
      <c r="A9" s="15" t="s">
        <v>714</v>
      </c>
      <c r="B9" s="42" t="str">
        <f>HYPERLINK("http://www.spoj.com/problems/DICTSUB/","SPOJ DICTSUB")</f>
        <v>SPOJ DICTSUB</v>
      </c>
      <c r="C9" s="5"/>
      <c r="D9" s="5"/>
      <c r="E9" s="17"/>
      <c r="F9" s="5"/>
      <c r="G9" s="5"/>
      <c r="H9" s="18">
        <f t="shared" si="0"/>
        <v>0</v>
      </c>
      <c r="I9" s="5"/>
      <c r="J9" s="5"/>
    </row>
    <row r="10" spans="1:10" ht="15.75" customHeight="1" x14ac:dyDescent="0.15">
      <c r="A10" s="15" t="s">
        <v>716</v>
      </c>
      <c r="B10" s="42" t="str">
        <f>HYPERLINK("http://www.spoj.com/problems/PT07X/","SPOJ PT07X")</f>
        <v>SPOJ PT07X</v>
      </c>
      <c r="C10" s="5"/>
      <c r="D10" s="7"/>
      <c r="E10" s="7"/>
      <c r="F10" s="7"/>
      <c r="G10" s="7"/>
      <c r="H10" s="12">
        <f t="shared" si="0"/>
        <v>0</v>
      </c>
      <c r="I10" s="7"/>
      <c r="J10" s="7"/>
    </row>
    <row r="11" spans="1:10" ht="15.75" customHeight="1" x14ac:dyDescent="0.15">
      <c r="A11" s="15" t="s">
        <v>718</v>
      </c>
      <c r="B11" s="42" t="str">
        <f>HYPERLINK("http://www.spoj.com/problems/ICPCS/","SPOJ ICPCS")</f>
        <v>SPOJ ICPCS</v>
      </c>
      <c r="C11" s="5"/>
      <c r="D11" s="7"/>
      <c r="E11" s="7"/>
      <c r="F11" s="7"/>
      <c r="G11" s="7"/>
      <c r="H11" s="12">
        <f t="shared" si="0"/>
        <v>0</v>
      </c>
      <c r="I11" s="7"/>
      <c r="J11" s="7"/>
    </row>
    <row r="12" spans="1:10" ht="15.75" customHeight="1" x14ac:dyDescent="0.15">
      <c r="A12" s="15" t="s">
        <v>719</v>
      </c>
      <c r="B12" s="42" t="str">
        <f>HYPERLINK("http://www.spoj.com/problems/CERC07K/","SPOJ CERC07K")</f>
        <v>SPOJ CERC07K</v>
      </c>
      <c r="C12" s="5"/>
      <c r="D12" s="7"/>
      <c r="E12" s="7"/>
      <c r="F12" s="7"/>
      <c r="G12" s="7"/>
      <c r="H12" s="12">
        <f t="shared" si="0"/>
        <v>0</v>
      </c>
      <c r="I12" s="7"/>
      <c r="J12" s="5"/>
    </row>
    <row r="13" spans="1:10" ht="15.75" customHeight="1" x14ac:dyDescent="0.15">
      <c r="A13" s="7"/>
      <c r="B13" s="7"/>
      <c r="C13" s="5"/>
      <c r="D13" s="7"/>
      <c r="E13" s="7"/>
      <c r="F13" s="7"/>
      <c r="G13" s="7"/>
      <c r="H13" s="12">
        <f t="shared" si="0"/>
        <v>0</v>
      </c>
      <c r="I13" s="7"/>
      <c r="J13" s="7"/>
    </row>
    <row r="14" spans="1:10" ht="15.75" customHeight="1" x14ac:dyDescent="0.15">
      <c r="A14" s="15" t="s">
        <v>720</v>
      </c>
      <c r="B14" s="42" t="str">
        <f>HYPERLINK("http://www.spoj.com/problems/ANARC08A/","SPOJ ANARC08A")</f>
        <v>SPOJ ANARC08A</v>
      </c>
      <c r="C14" s="5"/>
      <c r="D14" s="7"/>
      <c r="E14" s="7"/>
      <c r="F14" s="7"/>
      <c r="G14" s="7"/>
      <c r="H14" s="12">
        <f t="shared" si="0"/>
        <v>0</v>
      </c>
      <c r="I14" s="7"/>
      <c r="J14" s="5"/>
    </row>
    <row r="15" spans="1:10" ht="15.75" customHeight="1" x14ac:dyDescent="0.15">
      <c r="A15" s="15" t="s">
        <v>721</v>
      </c>
      <c r="B15" s="42" t="str">
        <f>HYPERLINK("http://www.spoj.com/problems/SUMFOUR/","SPOJ SUMFOUR")</f>
        <v>SPOJ SUMFOUR</v>
      </c>
      <c r="C15" s="5"/>
      <c r="D15" s="7"/>
      <c r="E15" s="7"/>
      <c r="F15" s="7"/>
      <c r="G15" s="7"/>
      <c r="H15" s="12">
        <f t="shared" si="0"/>
        <v>0</v>
      </c>
      <c r="I15" s="7"/>
      <c r="J15" s="5"/>
    </row>
    <row r="16" spans="1:10" ht="15.75" customHeight="1" x14ac:dyDescent="0.15">
      <c r="A16" s="15" t="s">
        <v>722</v>
      </c>
      <c r="B16" s="42" t="str">
        <f>HYPERLINK("http://www.spoj.com/problems/BOOKS1/","SPOJ BOOKS1")</f>
        <v>SPOJ BOOKS1</v>
      </c>
      <c r="C16" s="5"/>
      <c r="D16" s="7"/>
      <c r="E16" s="7"/>
      <c r="F16" s="7"/>
      <c r="G16" s="7"/>
      <c r="H16" s="12">
        <f t="shared" si="0"/>
        <v>0</v>
      </c>
      <c r="I16" s="7"/>
      <c r="J16" s="7"/>
    </row>
    <row r="17" spans="1:10" ht="15.75" customHeight="1" x14ac:dyDescent="0.15">
      <c r="A17" s="15" t="s">
        <v>723</v>
      </c>
      <c r="B17" s="42" t="str">
        <f>HYPERLINK("https://uva.onlinejudge.org/index.php?option=onlinejudge&amp;page=show_problem&amp;problem=122","UVA 186")</f>
        <v>UVA 186</v>
      </c>
      <c r="C17" s="5"/>
      <c r="D17" s="7"/>
      <c r="E17" s="7"/>
      <c r="F17" s="7"/>
      <c r="G17" s="7"/>
      <c r="H17" s="12">
        <f t="shared" si="0"/>
        <v>0</v>
      </c>
      <c r="I17" s="7"/>
      <c r="J17" s="7"/>
    </row>
    <row r="18" spans="1:10" ht="15.75" customHeight="1" x14ac:dyDescent="0.15">
      <c r="A18" s="15" t="s">
        <v>724</v>
      </c>
      <c r="B18" s="42" t="str">
        <f>HYPERLINK("https://uva.onlinejudge.org/index.php?option=com_onlinejudge&amp;Itemid=8&amp;page=show_problem&amp;problem=277","UVA 341")</f>
        <v>UVA 341</v>
      </c>
      <c r="C18" s="5"/>
      <c r="D18" s="7"/>
      <c r="E18" s="7"/>
      <c r="F18" s="7"/>
      <c r="G18" s="7"/>
      <c r="H18" s="12">
        <f t="shared" si="0"/>
        <v>0</v>
      </c>
      <c r="I18" s="7"/>
      <c r="J18" s="7"/>
    </row>
    <row r="19" spans="1:10" ht="15.75" customHeight="1" x14ac:dyDescent="0.15">
      <c r="A19" s="15" t="s">
        <v>725</v>
      </c>
      <c r="B19" s="42" t="str">
        <f>HYPERLINK("https://uva.onlinejudge.org/index.php?option=com_onlinejudge&amp;Itemid=8&amp;page=show_problem&amp;problem=698","UVA 757")</f>
        <v>UVA 757</v>
      </c>
      <c r="C19" s="5"/>
      <c r="D19" s="7"/>
      <c r="E19" s="7"/>
      <c r="F19" s="7"/>
      <c r="G19" s="7"/>
      <c r="H19" s="12">
        <f t="shared" si="0"/>
        <v>0</v>
      </c>
      <c r="I19" s="7"/>
      <c r="J19" s="7"/>
    </row>
    <row r="20" spans="1:10" ht="15.75" customHeight="1" x14ac:dyDescent="0.15">
      <c r="A20" s="15" t="s">
        <v>726</v>
      </c>
      <c r="B20" s="42" t="str">
        <f>HYPERLINK("https://uva.onlinejudge.org/index.php?option=com_onlinejudge&amp;Itemid=8&amp;page=show_problem&amp;problem=52","UVA 116")</f>
        <v>UVA 116</v>
      </c>
      <c r="C20" s="5"/>
      <c r="D20" s="7"/>
      <c r="E20" s="7"/>
      <c r="F20" s="7"/>
      <c r="G20" s="7"/>
      <c r="H20" s="12">
        <f t="shared" si="0"/>
        <v>0</v>
      </c>
      <c r="I20" s="7"/>
      <c r="J20" s="7"/>
    </row>
    <row r="21" spans="1:10" ht="15.75" customHeight="1" x14ac:dyDescent="0.15">
      <c r="A21" s="15" t="s">
        <v>727</v>
      </c>
      <c r="B21" s="42" t="str">
        <f>HYPERLINK("http://www.spoj.com/problems/MLASERP/","SPOJ MLASERP")</f>
        <v>SPOJ MLASERP</v>
      </c>
      <c r="C21" s="5"/>
      <c r="D21" s="7"/>
      <c r="E21" s="7"/>
      <c r="F21" s="7"/>
      <c r="G21" s="7"/>
      <c r="H21" s="12">
        <f t="shared" si="0"/>
        <v>0</v>
      </c>
      <c r="I21" s="7"/>
      <c r="J21" s="7"/>
    </row>
    <row r="22" spans="1:10" ht="15.75" customHeight="1" x14ac:dyDescent="0.15">
      <c r="A22" s="7"/>
      <c r="B22" s="7"/>
      <c r="C22" s="5"/>
      <c r="D22" s="7"/>
      <c r="E22" s="7"/>
      <c r="F22" s="7"/>
      <c r="G22" s="7"/>
      <c r="H22" s="12">
        <f t="shared" si="0"/>
        <v>0</v>
      </c>
      <c r="I22" s="7"/>
      <c r="J22" s="7"/>
    </row>
    <row r="23" spans="1:10" ht="15.75" customHeight="1" x14ac:dyDescent="0.15">
      <c r="A23" s="15" t="s">
        <v>728</v>
      </c>
      <c r="B23" s="42" t="str">
        <f>HYPERLINK("https://uva.onlinejudge.org/index.php?option=onlinejudge&amp;page=show_problem&amp;problem=611","UVA 670")</f>
        <v>UVA 670</v>
      </c>
      <c r="C23" s="7"/>
      <c r="D23" s="7"/>
      <c r="E23" s="7"/>
      <c r="F23" s="7"/>
      <c r="G23" s="7"/>
      <c r="H23" s="12">
        <f t="shared" si="0"/>
        <v>0</v>
      </c>
      <c r="I23" s="7"/>
      <c r="J23" s="7"/>
    </row>
    <row r="24" spans="1:10" ht="15.75" customHeight="1" x14ac:dyDescent="0.15">
      <c r="A24" s="15" t="s">
        <v>729</v>
      </c>
      <c r="B24" s="42" t="str">
        <f>HYPERLINK("https://uva.onlinejudge.org/index.php?option=onlinejudge&amp;page=show_problem&amp;problem=1425","UVA 10484")</f>
        <v>UVA 10484</v>
      </c>
      <c r="C24" s="7"/>
      <c r="D24" s="7"/>
      <c r="E24" s="7"/>
      <c r="F24" s="7"/>
      <c r="G24" s="7"/>
      <c r="H24" s="12">
        <f t="shared" si="0"/>
        <v>0</v>
      </c>
      <c r="I24" s="7"/>
      <c r="J24" s="7"/>
    </row>
    <row r="25" spans="1:10" ht="15.75" customHeight="1" x14ac:dyDescent="0.15">
      <c r="A25" s="15" t="s">
        <v>730</v>
      </c>
      <c r="B25" s="42" t="str">
        <f>HYPERLINK("https://uva.onlinejudge.org/index.php?option=com_onlinejudge&amp;Itemid=8&amp;page=show_problem&amp;problem=470","UVA 529")</f>
        <v>UVA 529</v>
      </c>
      <c r="C25" s="7"/>
      <c r="D25" s="7"/>
      <c r="E25" s="7"/>
      <c r="F25" s="7"/>
      <c r="G25" s="7"/>
      <c r="H25" s="12">
        <f t="shared" si="0"/>
        <v>0</v>
      </c>
      <c r="I25" s="7"/>
      <c r="J25" s="7"/>
    </row>
    <row r="26" spans="1:10" ht="15.75" customHeight="1" x14ac:dyDescent="0.15">
      <c r="A26" s="15" t="s">
        <v>731</v>
      </c>
      <c r="B26" s="42" t="str">
        <f>HYPERLINK("https://uva.onlinejudge.org/index.php?option=com_onlinejudge&amp;Itemid=8&amp;page=show_problem&amp;problem=124","UVA 188")</f>
        <v>UVA 188</v>
      </c>
      <c r="C26" s="7"/>
      <c r="D26" s="7"/>
      <c r="E26" s="7"/>
      <c r="F26" s="7"/>
      <c r="G26" s="7"/>
      <c r="H26" s="12">
        <f t="shared" si="0"/>
        <v>0</v>
      </c>
      <c r="I26" s="7"/>
      <c r="J26" s="7"/>
    </row>
    <row r="27" spans="1:10" ht="15.75" customHeight="1" x14ac:dyDescent="0.15">
      <c r="A27" s="15" t="s">
        <v>732</v>
      </c>
      <c r="B27" s="42" t="str">
        <f>HYPERLINK("https://uva.onlinejudge.org/index.php?option=onlinejudge&amp;page=show_problem&amp;problem=1757","UVA 10816")</f>
        <v>UVA 10816</v>
      </c>
      <c r="C27" s="7"/>
      <c r="D27" s="7"/>
      <c r="E27" s="7"/>
      <c r="F27" s="7"/>
      <c r="G27" s="7"/>
      <c r="H27" s="12">
        <f t="shared" si="0"/>
        <v>0</v>
      </c>
      <c r="I27" s="7"/>
      <c r="J27" s="7"/>
    </row>
    <row r="28" spans="1:10" ht="15.75" customHeight="1" x14ac:dyDescent="0.15">
      <c r="A28" s="15" t="s">
        <v>733</v>
      </c>
      <c r="B28" s="42" t="str">
        <f>HYPERLINK("http://www.spoj.com/problems/CATM/","SPOJ CATM")</f>
        <v>SPOJ CATM</v>
      </c>
      <c r="C28" s="7"/>
      <c r="D28" s="7"/>
      <c r="E28" s="7"/>
      <c r="F28" s="7"/>
      <c r="G28" s="7"/>
      <c r="H28" s="12">
        <f t="shared" si="0"/>
        <v>0</v>
      </c>
      <c r="I28" s="7"/>
      <c r="J28" s="7"/>
    </row>
    <row r="29" spans="1:10" ht="15.75" customHeight="1" x14ac:dyDescent="0.15">
      <c r="A29" s="15" t="s">
        <v>734</v>
      </c>
      <c r="B29" s="42" t="str">
        <f>HYPERLINK("https://uva.onlinejudge.org/index.php?option=onlinejudge&amp;page=show_problem&amp;problem=1403","UVA 10462")</f>
        <v>UVA 10462</v>
      </c>
      <c r="C29" s="7"/>
      <c r="D29" s="7"/>
      <c r="E29" s="7"/>
      <c r="F29" s="7"/>
      <c r="G29" s="7"/>
      <c r="H29" s="12">
        <f t="shared" si="0"/>
        <v>0</v>
      </c>
      <c r="I29" s="7"/>
      <c r="J29" s="7"/>
    </row>
    <row r="30" spans="1:10" ht="15.75" customHeight="1" x14ac:dyDescent="0.15">
      <c r="A30" s="15" t="s">
        <v>735</v>
      </c>
      <c r="B30" s="42" t="str">
        <f>HYPERLINK("https://uva.onlinejudge.org/index.php?option=onlinejudge&amp;page=show_problem&amp;problem=379","UVA 438")</f>
        <v>UVA 438</v>
      </c>
      <c r="C30" s="7"/>
      <c r="D30" s="7"/>
      <c r="E30" s="7"/>
      <c r="F30" s="7"/>
      <c r="G30" s="7"/>
      <c r="H30" s="12">
        <f t="shared" si="0"/>
        <v>0</v>
      </c>
      <c r="I30" s="7"/>
      <c r="J30" s="7"/>
    </row>
    <row r="31" spans="1:10" ht="15.75" customHeight="1" x14ac:dyDescent="0.15">
      <c r="A31" s="15" t="s">
        <v>736</v>
      </c>
      <c r="B31" s="42" t="str">
        <f>HYPERLINK("https://uva.onlinejudge.org/index.php?option=com_onlinejudge&amp;Itemid=8&amp;page=show_problem&amp;problem=1647","UVA 10706")</f>
        <v>UVA 10706</v>
      </c>
      <c r="C31" s="7"/>
      <c r="D31" s="7"/>
      <c r="E31" s="7"/>
      <c r="F31" s="7"/>
      <c r="G31" s="7"/>
      <c r="H31" s="12">
        <f t="shared" si="0"/>
        <v>0</v>
      </c>
      <c r="I31" s="7"/>
      <c r="J31" s="7"/>
    </row>
    <row r="32" spans="1:10" ht="15.75" customHeight="1" x14ac:dyDescent="0.15">
      <c r="A32" s="15" t="s">
        <v>737</v>
      </c>
      <c r="B32" s="42" t="str">
        <f>HYPERLINK("http://www.spoj.com/problems/MSE07E/","SPOJ MSE07E")</f>
        <v>SPOJ MSE07E</v>
      </c>
      <c r="C32" s="7"/>
      <c r="D32" s="7"/>
      <c r="E32" s="7"/>
      <c r="F32" s="7"/>
      <c r="G32" s="7"/>
      <c r="H32" s="12">
        <f t="shared" si="0"/>
        <v>0</v>
      </c>
      <c r="I32" s="7"/>
      <c r="J32" s="7"/>
    </row>
    <row r="33" spans="1:10" ht="15.75" customHeight="1" x14ac:dyDescent="0.15">
      <c r="A33" s="7"/>
      <c r="B33" s="7"/>
      <c r="C33" s="7"/>
      <c r="D33" s="7"/>
      <c r="E33" s="7"/>
      <c r="F33" s="7"/>
      <c r="G33" s="7"/>
      <c r="H33" s="12">
        <f t="shared" si="0"/>
        <v>0</v>
      </c>
      <c r="I33" s="7"/>
      <c r="J33" s="7"/>
    </row>
    <row r="34" spans="1:10" ht="15.75" customHeight="1" x14ac:dyDescent="0.15">
      <c r="A34" s="15" t="s">
        <v>738</v>
      </c>
      <c r="B34" s="42" t="str">
        <f>HYPERLINK("https://uva.onlinejudge.org/index.php?option=onlinejudge&amp;page=show_problem&amp;problem=2399","UVA 11404")</f>
        <v>UVA 11404</v>
      </c>
      <c r="C34" s="7"/>
      <c r="D34" s="7"/>
      <c r="E34" s="7"/>
      <c r="F34" s="7"/>
      <c r="G34" s="7"/>
      <c r="H34" s="12">
        <f t="shared" si="0"/>
        <v>0</v>
      </c>
      <c r="I34" s="7"/>
      <c r="J34" s="7"/>
    </row>
    <row r="35" spans="1:10" ht="15.75" customHeight="1" x14ac:dyDescent="0.15">
      <c r="A35" s="15" t="s">
        <v>739</v>
      </c>
      <c r="B35" s="42" t="str">
        <f>HYPERLINK("https://uva.onlinejudge.org/index.php?option=onlinejudge&amp;page=show_problem&amp;problem=63","UVA 127")</f>
        <v>UVA 127</v>
      </c>
      <c r="C35" s="7"/>
      <c r="D35" s="7"/>
      <c r="E35" s="7"/>
      <c r="F35" s="7"/>
      <c r="G35" s="7"/>
      <c r="H35" s="12">
        <f t="shared" si="0"/>
        <v>0</v>
      </c>
      <c r="I35" s="7"/>
      <c r="J35" s="7"/>
    </row>
    <row r="36" spans="1:10" ht="15.75" customHeight="1" x14ac:dyDescent="0.15">
      <c r="A36" s="15" t="s">
        <v>740</v>
      </c>
      <c r="B36" s="42" t="str">
        <f>HYPERLINK("https://uva.onlinejudge.org/index.php?option=onlinejudge&amp;page=show_problem&amp;problem=1400","UVA 10459")</f>
        <v>UVA 10459</v>
      </c>
      <c r="C36" s="7"/>
      <c r="D36" s="7"/>
      <c r="E36" s="7"/>
      <c r="F36" s="7"/>
      <c r="G36" s="7"/>
      <c r="H36" s="12">
        <f t="shared" si="0"/>
        <v>0</v>
      </c>
      <c r="I36" s="7"/>
      <c r="J36" s="7"/>
    </row>
    <row r="37" spans="1:10" ht="15.75" customHeight="1" x14ac:dyDescent="0.15">
      <c r="A37" s="15" t="s">
        <v>741</v>
      </c>
      <c r="B37" s="42" t="str">
        <f>HYPERLINK("https://uva.onlinejudge.org/index.php?option=onlinejudge&amp;page=show_problem&amp;problem=1928","UVA 10987")</f>
        <v>UVA 10987</v>
      </c>
      <c r="C37" s="7"/>
      <c r="D37" s="7"/>
      <c r="E37" s="7"/>
      <c r="F37" s="7"/>
      <c r="G37" s="7"/>
      <c r="H37" s="12">
        <f t="shared" si="0"/>
        <v>0</v>
      </c>
      <c r="I37" s="7"/>
      <c r="J37" s="7"/>
    </row>
    <row r="38" spans="1:10" ht="15.75" customHeight="1" x14ac:dyDescent="0.15">
      <c r="A38" s="15" t="s">
        <v>742</v>
      </c>
      <c r="B38" s="42" t="str">
        <f>HYPERLINK("https://uva.onlinejudge.org/index.php?option=com_onlinejudge&amp;Itemid=8&amp;page=show_problem&amp;problem=40","UVA 104")</f>
        <v>UVA 104</v>
      </c>
      <c r="C38" s="7"/>
      <c r="D38" s="7"/>
      <c r="E38" s="7"/>
      <c r="F38" s="7"/>
      <c r="G38" s="7"/>
      <c r="H38" s="12">
        <f t="shared" si="0"/>
        <v>0</v>
      </c>
      <c r="I38" s="7"/>
      <c r="J38" s="7"/>
    </row>
    <row r="39" spans="1:10" ht="15.75" customHeight="1" x14ac:dyDescent="0.15">
      <c r="A39" s="15" t="s">
        <v>743</v>
      </c>
      <c r="B39" s="42" t="str">
        <f>HYPERLINK("https://uva.onlinejudge.org/index.php?option=com_onlinejudge&amp;Itemid=8&amp;page=show_problem&amp;problem=2318","UVA 11343")</f>
        <v>UVA 11343</v>
      </c>
      <c r="C39" s="7"/>
      <c r="D39" s="7"/>
      <c r="E39" s="7"/>
      <c r="F39" s="7"/>
      <c r="G39" s="7"/>
      <c r="H39" s="12">
        <f t="shared" si="0"/>
        <v>0</v>
      </c>
      <c r="I39" s="7"/>
      <c r="J39" s="7"/>
    </row>
    <row r="40" spans="1:10" ht="15.75" customHeight="1" x14ac:dyDescent="0.15">
      <c r="A40" s="15" t="s">
        <v>744</v>
      </c>
      <c r="B40" s="42" t="str">
        <f>HYPERLINK("https://uva.onlinejudge.org/index.php?option=onlinejudge&amp;page=show_problem&amp;problem=2501","UVA 11506")</f>
        <v>UVA 11506</v>
      </c>
      <c r="C40" s="7"/>
      <c r="D40" s="7"/>
      <c r="E40" s="7"/>
      <c r="F40" s="7"/>
      <c r="G40" s="7"/>
      <c r="H40" s="12">
        <f t="shared" si="0"/>
        <v>0</v>
      </c>
      <c r="I40" s="7"/>
      <c r="J40" s="7"/>
    </row>
    <row r="41" spans="1:10" ht="15.75" customHeight="1" x14ac:dyDescent="0.15">
      <c r="A41" s="15" t="s">
        <v>745</v>
      </c>
      <c r="B41" s="42" t="str">
        <f>HYPERLINK("https://uva.onlinejudge.org/index.php?option=onlinejudge&amp;page=show_problem&amp;problem=1119","UVA 10178")</f>
        <v>UVA 10178</v>
      </c>
      <c r="C41" s="7"/>
      <c r="D41" s="7"/>
      <c r="E41" s="7"/>
      <c r="F41" s="7"/>
      <c r="G41" s="7"/>
      <c r="H41" s="12">
        <f t="shared" si="0"/>
        <v>0</v>
      </c>
      <c r="I41" s="7"/>
      <c r="J41" s="7"/>
    </row>
    <row r="42" spans="1:10" ht="15.75" customHeight="1" x14ac:dyDescent="0.15">
      <c r="A42" s="15" t="s">
        <v>746</v>
      </c>
      <c r="B42" s="42" t="str">
        <f>HYPERLINK("https://uva.onlinejudge.org/index.php?option=com_onlinejudge&amp;Itemid=8&amp;page=show_problem&amp;problem=195","UVA 259")</f>
        <v>UVA 259</v>
      </c>
      <c r="C42" s="7"/>
      <c r="D42" s="7"/>
      <c r="E42" s="7"/>
      <c r="F42" s="7"/>
      <c r="G42" s="7"/>
      <c r="H42" s="12">
        <f t="shared" si="0"/>
        <v>0</v>
      </c>
      <c r="I42" s="7"/>
      <c r="J42" s="7"/>
    </row>
    <row r="43" spans="1:10" ht="15.75" customHeight="1" x14ac:dyDescent="0.15">
      <c r="A43" s="15" t="s">
        <v>487</v>
      </c>
      <c r="B43" s="16" t="str">
        <f>HYPERLINK("http://codeforces.com/problemset/problem/294/C","CF294-D2-C")</f>
        <v>CF294-D2-C</v>
      </c>
      <c r="C43" s="7"/>
      <c r="D43" s="7"/>
      <c r="E43" s="7"/>
      <c r="F43" s="7"/>
      <c r="G43" s="7"/>
      <c r="H43" s="12">
        <f t="shared" si="0"/>
        <v>0</v>
      </c>
      <c r="I43" s="7"/>
      <c r="J43" s="7"/>
    </row>
    <row r="44" spans="1:10" ht="15.75" customHeight="1" x14ac:dyDescent="0.15">
      <c r="A44" s="7"/>
      <c r="B44" s="7"/>
      <c r="C44" s="7"/>
      <c r="D44" s="7"/>
      <c r="E44" s="7"/>
      <c r="F44" s="7"/>
      <c r="G44" s="7"/>
      <c r="H44" s="12">
        <f t="shared" si="0"/>
        <v>0</v>
      </c>
      <c r="I44" s="7"/>
      <c r="J44" s="7"/>
    </row>
    <row r="45" spans="1:10" ht="13" x14ac:dyDescent="0.15">
      <c r="A45" s="15" t="s">
        <v>747</v>
      </c>
      <c r="B45" s="42" t="str">
        <f>HYPERLINK("http://www.spoj.com/problems/MELE3/","SPOJ MELE3")</f>
        <v>SPOJ MELE3</v>
      </c>
      <c r="C45" s="7"/>
      <c r="D45" s="7"/>
      <c r="E45" s="7"/>
      <c r="F45" s="7"/>
      <c r="G45" s="7"/>
      <c r="H45" s="12">
        <f t="shared" si="0"/>
        <v>0</v>
      </c>
      <c r="I45" s="7"/>
      <c r="J45" s="7"/>
    </row>
    <row r="46" spans="1:10" ht="13" x14ac:dyDescent="0.15">
      <c r="A46" s="15" t="s">
        <v>748</v>
      </c>
      <c r="B46" s="42" t="str">
        <f>HYPERLINK("https://uva.onlinejudge.org/index.php?option=onlinejudge&amp;page=show_problem&amp;problem=548","UVA 607")</f>
        <v>UVA 607</v>
      </c>
      <c r="C46" s="7"/>
      <c r="D46" s="7"/>
      <c r="E46" s="7"/>
      <c r="F46" s="7"/>
      <c r="G46" s="7"/>
      <c r="H46" s="12">
        <f t="shared" si="0"/>
        <v>0</v>
      </c>
      <c r="I46" s="7"/>
      <c r="J46" s="7"/>
    </row>
    <row r="47" spans="1:10" ht="13" x14ac:dyDescent="0.15">
      <c r="A47" s="15" t="s">
        <v>749</v>
      </c>
      <c r="B47" s="42" t="str">
        <f>HYPERLINK("https://uva.onlinejudge.org/index.php?option=com_onlinejudge&amp;Itemid=8&amp;page=show_problem&amp;problem=89","UVA 153")</f>
        <v>UVA 153</v>
      </c>
      <c r="C47" s="7"/>
      <c r="D47" s="7"/>
      <c r="E47" s="7"/>
      <c r="F47" s="7"/>
      <c r="G47" s="7"/>
      <c r="H47" s="12">
        <f t="shared" si="0"/>
        <v>0</v>
      </c>
      <c r="I47" s="7"/>
      <c r="J47" s="7"/>
    </row>
    <row r="48" spans="1:10" ht="13" x14ac:dyDescent="0.15">
      <c r="A48" s="15" t="s">
        <v>750</v>
      </c>
      <c r="B48" s="42" t="str">
        <f>HYPERLINK("https://uva.onlinejudge.org/index.php?option=com_onlinejudge&amp;Itemid=8&amp;page=show_problem&amp;problem=2175","UVA 11234")</f>
        <v>UVA 11234</v>
      </c>
      <c r="C48" s="7"/>
      <c r="D48" s="7"/>
      <c r="E48" s="7"/>
      <c r="F48" s="7"/>
      <c r="G48" s="7"/>
      <c r="H48" s="12">
        <f t="shared" si="0"/>
        <v>0</v>
      </c>
      <c r="I48" s="7"/>
      <c r="J48" s="7"/>
    </row>
    <row r="49" spans="1:10" ht="13" x14ac:dyDescent="0.15">
      <c r="A49" s="15" t="s">
        <v>751</v>
      </c>
      <c r="B49" s="42" t="str">
        <f>HYPERLINK("https://uva.onlinejudge.org/index.php?option=onlinejudge&amp;page=show_problem&amp;problem=2499","UVA 11504")</f>
        <v>UVA 11504</v>
      </c>
      <c r="C49" s="7"/>
      <c r="D49" s="7"/>
      <c r="E49" s="7"/>
      <c r="F49" s="7"/>
      <c r="G49" s="7"/>
      <c r="H49" s="12">
        <f t="shared" si="0"/>
        <v>0</v>
      </c>
      <c r="I49" s="7"/>
      <c r="J49" s="7"/>
    </row>
    <row r="50" spans="1:10" ht="13" x14ac:dyDescent="0.15">
      <c r="A50" s="15" t="s">
        <v>752</v>
      </c>
      <c r="B50" s="42" t="str">
        <f>HYPERLINK("http://www.spoj.com/problems/MORSE/","SPOJ MORSE")</f>
        <v>SPOJ MORSE</v>
      </c>
      <c r="C50" s="7"/>
      <c r="D50" s="7"/>
      <c r="E50" s="7"/>
      <c r="F50" s="7"/>
      <c r="G50" s="7"/>
      <c r="H50" s="12">
        <f t="shared" si="0"/>
        <v>0</v>
      </c>
      <c r="I50" s="7"/>
      <c r="J50" s="7"/>
    </row>
    <row r="51" spans="1:10" ht="13" x14ac:dyDescent="0.15">
      <c r="A51" s="15" t="s">
        <v>753</v>
      </c>
      <c r="B51" s="42" t="str">
        <f>HYPERLINK("http://www.spoj.com/problems/PRHYME/","SPOJ PRHYME")</f>
        <v>SPOJ PRHYME</v>
      </c>
      <c r="C51" s="7"/>
      <c r="D51" s="7"/>
      <c r="E51" s="7"/>
      <c r="F51" s="7"/>
      <c r="G51" s="7"/>
      <c r="H51" s="12">
        <f t="shared" si="0"/>
        <v>0</v>
      </c>
      <c r="I51" s="7"/>
      <c r="J51" s="7"/>
    </row>
    <row r="52" spans="1:10" ht="13" x14ac:dyDescent="0.15">
      <c r="A52" s="15" t="s">
        <v>754</v>
      </c>
      <c r="B52" s="42" t="str">
        <f>HYPERLINK("https://uva.onlinejudge.org/index.php?option=com_onlinejudge&amp;Itemid=8&amp;page=show_problem&amp;problem=1070","UVA 10129")</f>
        <v>UVA 10129</v>
      </c>
      <c r="C52" s="7"/>
      <c r="D52" s="7"/>
      <c r="E52" s="7"/>
      <c r="F52" s="7"/>
      <c r="G52" s="7"/>
      <c r="H52" s="12">
        <f t="shared" si="0"/>
        <v>0</v>
      </c>
      <c r="I52" s="7"/>
      <c r="J52" s="7"/>
    </row>
    <row r="53" spans="1:10" ht="13" x14ac:dyDescent="0.15">
      <c r="A53" s="15" t="s">
        <v>755</v>
      </c>
      <c r="B53" s="42" t="str">
        <f>HYPERLINK("https://uva.onlinejudge.org/index.php?option=com_onlinejudge&amp;Itemid=8&amp;page=show_problem&amp;problem=1899","UVA 10958")</f>
        <v>UVA 10958</v>
      </c>
      <c r="C53" s="7"/>
      <c r="D53" s="7"/>
      <c r="E53" s="7"/>
      <c r="F53" s="7"/>
      <c r="G53" s="7"/>
      <c r="H53" s="12">
        <f t="shared" si="0"/>
        <v>0</v>
      </c>
      <c r="I53" s="7"/>
      <c r="J53" s="7"/>
    </row>
    <row r="54" spans="1:10" ht="13" x14ac:dyDescent="0.15">
      <c r="A54" s="15" t="s">
        <v>756</v>
      </c>
      <c r="B54" s="42" t="str">
        <f>HYPERLINK("http://www.spoj.com/problems/NGM2/","SPOJ NGM2")</f>
        <v>SPOJ NGM2</v>
      </c>
      <c r="C54" s="7"/>
      <c r="D54" s="7"/>
      <c r="E54" s="7"/>
      <c r="F54" s="7"/>
      <c r="G54" s="7"/>
      <c r="H54" s="12">
        <f t="shared" si="0"/>
        <v>0</v>
      </c>
      <c r="I54" s="7"/>
      <c r="J54" s="7"/>
    </row>
    <row r="55" spans="1:10" ht="13" x14ac:dyDescent="0.15">
      <c r="A55" s="7"/>
      <c r="B55" s="7"/>
      <c r="C55" s="7"/>
      <c r="D55" s="7"/>
      <c r="E55" s="7"/>
      <c r="F55" s="7"/>
      <c r="G55" s="7"/>
      <c r="H55" s="12">
        <f t="shared" si="0"/>
        <v>0</v>
      </c>
      <c r="I55" s="7"/>
      <c r="J55" s="7"/>
    </row>
    <row r="56" spans="1:10" ht="13" x14ac:dyDescent="0.15">
      <c r="A56" s="15" t="s">
        <v>757</v>
      </c>
      <c r="B56" s="42" t="str">
        <f>HYPERLINK("https://uva.onlinejudge.org/index.php?option=onlinejudge&amp;page=show_problem&amp;problem=1745","UVA 10804")</f>
        <v>UVA 10804</v>
      </c>
      <c r="C56" s="7"/>
      <c r="D56" s="7"/>
      <c r="E56" s="7"/>
      <c r="F56" s="7"/>
      <c r="G56" s="7"/>
      <c r="H56" s="12">
        <f t="shared" si="0"/>
        <v>0</v>
      </c>
      <c r="I56" s="7"/>
      <c r="J56" s="7"/>
    </row>
    <row r="57" spans="1:10" ht="13" x14ac:dyDescent="0.15">
      <c r="A57" s="15" t="s">
        <v>758</v>
      </c>
      <c r="B57" s="42" t="str">
        <f>HYPERLINK("https://uva.onlinejudge.org/index.php?option=com_onlinejudge&amp;Itemid=8&amp;page=show_problem&amp;problem=2224","UVA 11257")</f>
        <v>UVA 11257</v>
      </c>
      <c r="C57" s="7"/>
      <c r="D57" s="7"/>
      <c r="E57" s="7"/>
      <c r="F57" s="7"/>
      <c r="G57" s="7"/>
      <c r="H57" s="12">
        <f t="shared" si="0"/>
        <v>0</v>
      </c>
      <c r="I57" s="7"/>
      <c r="J57" s="7"/>
    </row>
    <row r="58" spans="1:10" ht="13" x14ac:dyDescent="0.15">
      <c r="A58" s="15" t="s">
        <v>759</v>
      </c>
      <c r="B58" s="42" t="str">
        <f>HYPERLINK("https://uva.onlinejudge.org/index.php?option=com_onlinejudge&amp;Itemid=8&amp;page=show_problem&amp;problem=645","UVA 704")</f>
        <v>UVA 704</v>
      </c>
      <c r="C58" s="7"/>
      <c r="D58" s="7"/>
      <c r="E58" s="7"/>
      <c r="F58" s="7"/>
      <c r="G58" s="7"/>
      <c r="H58" s="12">
        <f t="shared" si="0"/>
        <v>0</v>
      </c>
      <c r="I58" s="7"/>
      <c r="J58" s="7"/>
    </row>
    <row r="59" spans="1:10" ht="13" x14ac:dyDescent="0.15">
      <c r="A59" s="15" t="s">
        <v>760</v>
      </c>
      <c r="B59" s="42" t="str">
        <f>HYPERLINK("https://uva.onlinejudge.org/index.php?option=com_onlinejudge&amp;Itemid=8&amp;page=show_problem&amp;problem=43","UVA 107")</f>
        <v>UVA 107</v>
      </c>
      <c r="C59" s="7"/>
      <c r="D59" s="7"/>
      <c r="E59" s="7"/>
      <c r="F59" s="7"/>
      <c r="G59" s="7"/>
      <c r="H59" s="12">
        <f t="shared" si="0"/>
        <v>0</v>
      </c>
      <c r="I59" s="7"/>
      <c r="J59" s="7"/>
    </row>
    <row r="60" spans="1:10" ht="13" x14ac:dyDescent="0.15">
      <c r="A60" s="15" t="s">
        <v>761</v>
      </c>
      <c r="B60" s="42" t="str">
        <f>HYPERLINK("https://uva.onlinejudge.org/index.php?option=com_onlinejudge&amp;Itemid=8&amp;page=show_problem&amp;problem=62","UVA 126")</f>
        <v>UVA 126</v>
      </c>
      <c r="C60" s="7"/>
      <c r="D60" s="7"/>
      <c r="E60" s="7"/>
      <c r="F60" s="7"/>
      <c r="G60" s="7"/>
      <c r="H60" s="12">
        <f t="shared" si="0"/>
        <v>0</v>
      </c>
      <c r="I60" s="7"/>
      <c r="J60" s="7"/>
    </row>
    <row r="61" spans="1:10" ht="13" x14ac:dyDescent="0.15">
      <c r="A61" s="15" t="s">
        <v>762</v>
      </c>
      <c r="B61" s="42" t="str">
        <f>HYPERLINK("http://www.spoj.com/problems/PARITY/","SPOJ PARITY")</f>
        <v>SPOJ PARITY</v>
      </c>
      <c r="C61" s="7"/>
      <c r="D61" s="7"/>
      <c r="E61" s="7"/>
      <c r="F61" s="7"/>
      <c r="G61" s="7"/>
      <c r="H61" s="12">
        <f t="shared" si="0"/>
        <v>0</v>
      </c>
      <c r="I61" s="7"/>
      <c r="J61" s="7"/>
    </row>
    <row r="62" spans="1:10" ht="13" x14ac:dyDescent="0.15">
      <c r="A62" s="15" t="s">
        <v>763</v>
      </c>
      <c r="B62" s="42" t="str">
        <f>HYPERLINK("https://icpcarchive.ecs.baylor.edu/index.php?option=com_onlinejudge&amp;Itemid=8&amp;page=show_problem&amp;problem=3803","Live Archive 5792")</f>
        <v>Live Archive 5792</v>
      </c>
      <c r="C62" s="7"/>
      <c r="D62" s="7"/>
      <c r="E62" s="7"/>
      <c r="F62" s="7"/>
      <c r="G62" s="7"/>
      <c r="H62" s="12">
        <f t="shared" si="0"/>
        <v>0</v>
      </c>
      <c r="I62" s="7"/>
      <c r="J62" s="7"/>
    </row>
    <row r="63" spans="1:10" ht="13" x14ac:dyDescent="0.15">
      <c r="A63" s="15" t="s">
        <v>764</v>
      </c>
      <c r="B63" s="42" t="str">
        <f>HYPERLINK("https://uva.onlinejudge.org/index.php?option=com_onlinejudge&amp;Itemid=8&amp;page=show_problem&amp;problem=2929","UVA 11829")</f>
        <v>UVA 11829</v>
      </c>
      <c r="C63" s="7"/>
      <c r="D63" s="7"/>
      <c r="E63" s="7"/>
      <c r="F63" s="7"/>
      <c r="G63" s="7"/>
      <c r="H63" s="12">
        <f t="shared" si="0"/>
        <v>0</v>
      </c>
      <c r="I63" s="7"/>
      <c r="J63" s="7"/>
    </row>
    <row r="64" spans="1:10" ht="13" x14ac:dyDescent="0.15">
      <c r="A64" s="15" t="s">
        <v>765</v>
      </c>
      <c r="B64" s="42" t="str">
        <f>HYPERLINK("https://uva.onlinejudge.org/index.php?option=onlinejudge&amp;Itemid=8&amp;page=show_problem&amp;problem=2768","UVA 11721")</f>
        <v>UVA 11721</v>
      </c>
      <c r="C64" s="7"/>
      <c r="D64" s="7"/>
      <c r="E64" s="7"/>
      <c r="F64" s="7"/>
      <c r="G64" s="7"/>
      <c r="H64" s="12">
        <f t="shared" si="0"/>
        <v>0</v>
      </c>
      <c r="I64" s="7"/>
      <c r="J64" s="7"/>
    </row>
    <row r="65" spans="1:10" ht="13" x14ac:dyDescent="0.15">
      <c r="A65" s="15" t="s">
        <v>766</v>
      </c>
      <c r="B65" s="42" t="str">
        <f>HYPERLINK("https://uva.onlinejudge.org/index.php?option=com_onlinejudge&amp;Itemid=8&amp;page=show_problem&amp;problem=2184","UVA 11243")</f>
        <v>UVA 11243</v>
      </c>
      <c r="C65" s="7"/>
      <c r="D65" s="7"/>
      <c r="E65" s="7"/>
      <c r="F65" s="7"/>
      <c r="G65" s="7"/>
      <c r="H65" s="12">
        <f t="shared" si="0"/>
        <v>0</v>
      </c>
      <c r="I65" s="7"/>
      <c r="J65" s="7"/>
    </row>
    <row r="66" spans="1:10" ht="13" x14ac:dyDescent="0.15">
      <c r="A66" s="7"/>
      <c r="B66" s="7"/>
      <c r="C66" s="7"/>
      <c r="D66" s="7"/>
      <c r="E66" s="7"/>
      <c r="F66" s="7"/>
      <c r="G66" s="7"/>
      <c r="H66" s="12">
        <f t="shared" si="0"/>
        <v>0</v>
      </c>
      <c r="I66" s="7"/>
      <c r="J66" s="7"/>
    </row>
    <row r="67" spans="1:10" ht="13" x14ac:dyDescent="0.15">
      <c r="A67" s="15" t="s">
        <v>767</v>
      </c>
      <c r="B67" s="42" t="str">
        <f>HYPERLINK("http://www.spoj.com/problems/SOLIT/","SPOJ SOLIT")</f>
        <v>SPOJ SOLIT</v>
      </c>
      <c r="C67" s="7"/>
      <c r="D67" s="7"/>
      <c r="E67" s="7"/>
      <c r="F67" s="7"/>
      <c r="G67" s="7"/>
      <c r="H67" s="12">
        <f t="shared" si="0"/>
        <v>0</v>
      </c>
      <c r="I67" s="7"/>
      <c r="J67" s="7"/>
    </row>
    <row r="68" spans="1:10" ht="13" x14ac:dyDescent="0.15">
      <c r="A68" s="15" t="s">
        <v>768</v>
      </c>
      <c r="B68" s="42" t="str">
        <f>HYPERLINK("https://uva.onlinejudge.org/index.php?option=com_onlinejudge&amp;Itemid=8&amp;page=show_problem&amp;problem=779","UVA 838")</f>
        <v>UVA 838</v>
      </c>
      <c r="C68" s="7"/>
      <c r="D68" s="7"/>
      <c r="E68" s="7"/>
      <c r="F68" s="7"/>
      <c r="G68" s="7"/>
      <c r="H68" s="12">
        <f t="shared" si="0"/>
        <v>0</v>
      </c>
      <c r="I68" s="7"/>
      <c r="J68" s="7"/>
    </row>
    <row r="69" spans="1:10" ht="13" x14ac:dyDescent="0.15">
      <c r="A69" s="15" t="s">
        <v>769</v>
      </c>
      <c r="B69" s="42" t="str">
        <f>HYPERLINK("https://uva.onlinejudge.org/index.php?option=com_onlinejudge&amp;Itemid=8&amp;page=show_problem&amp;problem=476","UVA 535")</f>
        <v>UVA 535</v>
      </c>
      <c r="C69" s="7"/>
      <c r="D69" s="7"/>
      <c r="E69" s="7"/>
      <c r="F69" s="7"/>
      <c r="G69" s="7"/>
      <c r="H69" s="12">
        <f t="shared" si="0"/>
        <v>0</v>
      </c>
      <c r="I69" s="7"/>
      <c r="J69" s="7"/>
    </row>
    <row r="70" spans="1:10" ht="13" x14ac:dyDescent="0.15">
      <c r="A70" s="15" t="s">
        <v>770</v>
      </c>
      <c r="B70" s="42" t="str">
        <f>HYPERLINK("https://uva.onlinejudge.org/index.php?option=onlinejudge&amp;page=show_problem&amp;problem=1382","UVA 10441")</f>
        <v>UVA 10441</v>
      </c>
      <c r="C70" s="7"/>
      <c r="D70" s="7"/>
      <c r="E70" s="7"/>
      <c r="F70" s="7"/>
      <c r="G70" s="7"/>
      <c r="H70" s="12">
        <f t="shared" si="0"/>
        <v>0</v>
      </c>
      <c r="I70" s="7"/>
      <c r="J70" s="7"/>
    </row>
    <row r="71" spans="1:10" ht="13" x14ac:dyDescent="0.15">
      <c r="A71" s="15" t="s">
        <v>771</v>
      </c>
      <c r="B71" s="42" t="str">
        <f>HYPERLINK("https://uva.onlinejudge.org/index.php?option=com_onlinejudge&amp;Itemid=8&amp;page=show_problem&amp;problem=966","UVA 10025")</f>
        <v>UVA 10025</v>
      </c>
      <c r="C71" s="7"/>
      <c r="D71" s="7"/>
      <c r="E71" s="7"/>
      <c r="F71" s="7"/>
      <c r="G71" s="7"/>
      <c r="H71" s="12">
        <f t="shared" si="0"/>
        <v>0</v>
      </c>
      <c r="I71" s="7"/>
      <c r="J71" s="7"/>
    </row>
    <row r="72" spans="1:10" ht="13" x14ac:dyDescent="0.15">
      <c r="A72" s="15" t="s">
        <v>772</v>
      </c>
      <c r="B72" s="42" t="str">
        <f>HYPERLINK("http://www.spoj.com/problems/SQFREE/","SPOJ SQFREE")</f>
        <v>SPOJ SQFREE</v>
      </c>
      <c r="C72" s="7"/>
      <c r="D72" s="7"/>
      <c r="E72" s="7"/>
      <c r="F72" s="7"/>
      <c r="G72" s="7"/>
      <c r="H72" s="12">
        <f t="shared" si="0"/>
        <v>0</v>
      </c>
      <c r="I72" s="7"/>
      <c r="J72" s="7"/>
    </row>
    <row r="73" spans="1:10" ht="13" x14ac:dyDescent="0.15">
      <c r="A73" s="15" t="s">
        <v>773</v>
      </c>
      <c r="B73" s="42" t="str">
        <f>HYPERLINK("http://www.spoj.com/problems/ROADS/en/","SPOJ ROADS")</f>
        <v>SPOJ ROADS</v>
      </c>
      <c r="C73" s="7"/>
      <c r="D73" s="7"/>
      <c r="E73" s="7"/>
      <c r="F73" s="7"/>
      <c r="G73" s="7"/>
      <c r="H73" s="12">
        <f t="shared" si="0"/>
        <v>0</v>
      </c>
      <c r="I73" s="7"/>
      <c r="J73" s="7"/>
    </row>
    <row r="74" spans="1:10" ht="13" x14ac:dyDescent="0.15">
      <c r="A74" s="15" t="s">
        <v>774</v>
      </c>
      <c r="B74" s="42" t="str">
        <f>HYPERLINK("https://uva.onlinejudge.org/index.php?option=onlinejudge&amp;page=show_problem&amp;problem=244","UVA 308")</f>
        <v>UVA 308</v>
      </c>
      <c r="C74" s="7"/>
      <c r="D74" s="7"/>
      <c r="E74" s="7"/>
      <c r="F74" s="7"/>
      <c r="G74" s="7"/>
      <c r="H74" s="12">
        <f t="shared" si="0"/>
        <v>0</v>
      </c>
      <c r="I74" s="7"/>
      <c r="J74" s="7"/>
    </row>
    <row r="75" spans="1:10" ht="13" x14ac:dyDescent="0.15">
      <c r="A75" s="15" t="s">
        <v>775</v>
      </c>
      <c r="B75" s="42" t="str">
        <f>HYPERLINK("http://www.spoj.com/problems/COCONUTS/","SPOJ COCONUTS")</f>
        <v>SPOJ COCONUTS</v>
      </c>
      <c r="C75" s="7"/>
      <c r="D75" s="7"/>
      <c r="E75" s="7"/>
      <c r="F75" s="7"/>
      <c r="G75" s="7"/>
      <c r="H75" s="12">
        <f t="shared" si="0"/>
        <v>0</v>
      </c>
      <c r="I75" s="7"/>
      <c r="J75" s="7"/>
    </row>
    <row r="76" spans="1:10" ht="13" x14ac:dyDescent="0.15">
      <c r="A76" s="15" t="s">
        <v>776</v>
      </c>
      <c r="B76" s="42" t="str">
        <f>HYPERLINK("http://www.spoj.com/problems/CIJEVI/","SPOJ CIJEVI")</f>
        <v>SPOJ CIJEVI</v>
      </c>
      <c r="C76" s="7"/>
      <c r="D76" s="7"/>
      <c r="E76" s="7"/>
      <c r="F76" s="7"/>
      <c r="G76" s="7"/>
      <c r="H76" s="12">
        <f t="shared" si="0"/>
        <v>0</v>
      </c>
      <c r="I76" s="7"/>
      <c r="J76" s="7"/>
    </row>
    <row r="77" spans="1:10" ht="13" x14ac:dyDescent="0.15">
      <c r="A77" s="7"/>
      <c r="B77" s="7"/>
      <c r="C77" s="7"/>
      <c r="D77" s="7"/>
      <c r="E77" s="7"/>
      <c r="F77" s="7"/>
      <c r="G77" s="7"/>
      <c r="H77" s="12">
        <f t="shared" si="0"/>
        <v>0</v>
      </c>
      <c r="I77" s="7"/>
      <c r="J77" s="7"/>
    </row>
    <row r="78" spans="1:10" ht="13" x14ac:dyDescent="0.15">
      <c r="A78" s="15" t="s">
        <v>777</v>
      </c>
      <c r="B78" s="42" t="str">
        <f>HYPERLINK("https://uva.onlinejudge.org/index.php?option=com_onlinejudge&amp;Itemid=8&amp;page=show_problem&amp;problem=839","UVA 898")</f>
        <v>UVA 898</v>
      </c>
      <c r="C78" s="7"/>
      <c r="D78" s="7"/>
      <c r="E78" s="7"/>
      <c r="F78" s="7"/>
      <c r="G78" s="7"/>
      <c r="H78" s="12">
        <f t="shared" si="0"/>
        <v>0</v>
      </c>
      <c r="I78" s="7"/>
      <c r="J78" s="7"/>
    </row>
    <row r="79" spans="1:10" ht="13" x14ac:dyDescent="0.15">
      <c r="A79" s="15" t="s">
        <v>778</v>
      </c>
      <c r="B79" s="42" t="str">
        <f>HYPERLINK("http://www.spoj.com/problems/CHASE1/","SPOJ CHASE1")</f>
        <v>SPOJ CHASE1</v>
      </c>
      <c r="C79" s="7"/>
      <c r="D79" s="7"/>
      <c r="E79" s="7"/>
      <c r="F79" s="7"/>
      <c r="G79" s="7"/>
      <c r="H79" s="12">
        <f t="shared" si="0"/>
        <v>0</v>
      </c>
      <c r="I79" s="7"/>
      <c r="J79" s="7"/>
    </row>
    <row r="80" spans="1:10" ht="13" x14ac:dyDescent="0.15">
      <c r="A80" s="15" t="s">
        <v>779</v>
      </c>
      <c r="B80" s="42" t="str">
        <f>HYPERLINK("https://uva.onlinejudge.org/index.php?option=com_onlinejudge&amp;Itemid=8&amp;page=show_problem&amp;problem=1930","UVA 10989")</f>
        <v>UVA 10989</v>
      </c>
      <c r="C80" s="7"/>
      <c r="D80" s="7"/>
      <c r="E80" s="7"/>
      <c r="F80" s="7"/>
      <c r="G80" s="7"/>
      <c r="H80" s="12">
        <f t="shared" si="0"/>
        <v>0</v>
      </c>
      <c r="I80" s="7"/>
      <c r="J80" s="7"/>
    </row>
    <row r="81" spans="1:10" ht="13" x14ac:dyDescent="0.15">
      <c r="A81" s="15" t="s">
        <v>780</v>
      </c>
      <c r="B81" s="42" t="str">
        <f>HYPERLINK("https://uva.onlinejudge.org/index.php?option=com_onlinejudge&amp;Itemid=8&amp;page=show_problem&amp;problem=1475","UVA 10534")</f>
        <v>UVA 10534</v>
      </c>
      <c r="C81" s="7"/>
      <c r="D81" s="7"/>
      <c r="E81" s="7"/>
      <c r="F81" s="7"/>
      <c r="G81" s="7"/>
      <c r="H81" s="12">
        <f t="shared" si="0"/>
        <v>0</v>
      </c>
      <c r="I81" s="7"/>
      <c r="J81" s="7"/>
    </row>
    <row r="82" spans="1:10" ht="13" x14ac:dyDescent="0.15">
      <c r="A82" s="15" t="s">
        <v>781</v>
      </c>
      <c r="B82" s="42" t="str">
        <f>HYPERLINK("http://www.spoj.com/problems/DISJPATH/","SPOJ DISJPATH")</f>
        <v>SPOJ DISJPATH</v>
      </c>
      <c r="C82" s="7"/>
      <c r="D82" s="7"/>
      <c r="E82" s="7"/>
      <c r="F82" s="7"/>
      <c r="G82" s="7"/>
      <c r="H82" s="12">
        <f t="shared" si="0"/>
        <v>0</v>
      </c>
      <c r="I82" s="7"/>
      <c r="J82" s="7"/>
    </row>
    <row r="83" spans="1:10" ht="13" x14ac:dyDescent="0.15">
      <c r="A83" s="15" t="s">
        <v>782</v>
      </c>
      <c r="B83" s="42" t="str">
        <f>HYPERLINK("http://www.spoj.com/problems/QUEEN/","SPOJ QUEEN")</f>
        <v>SPOJ QUEEN</v>
      </c>
      <c r="C83" s="7"/>
      <c r="D83" s="7"/>
      <c r="E83" s="7"/>
      <c r="F83" s="7"/>
      <c r="G83" s="7"/>
      <c r="H83" s="12">
        <f t="shared" si="0"/>
        <v>0</v>
      </c>
      <c r="I83" s="7"/>
      <c r="J83" s="7"/>
    </row>
    <row r="84" spans="1:10" ht="13" x14ac:dyDescent="0.15">
      <c r="A84" s="7"/>
      <c r="B84" s="7"/>
      <c r="C84" s="7"/>
      <c r="D84" s="7"/>
      <c r="E84" s="7"/>
      <c r="F84" s="7"/>
      <c r="G84" s="7"/>
      <c r="H84" s="12">
        <f t="shared" si="0"/>
        <v>0</v>
      </c>
      <c r="I84" s="7"/>
      <c r="J84" s="68" t="str">
        <f>HYPERLINK("https://goo.gl/#analytics/goo.gl/gQjcek/all_time","Congrats. You are now a Semi-Senior. Email me your sheet. If have space, you can join my ICPC supervision.")</f>
        <v>Congrats. You are now a Semi-Senior. Email me your sheet. If have space, you can join my ICPC supervision.</v>
      </c>
    </row>
  </sheetData>
  <conditionalFormatting sqref="C3:C84">
    <cfRule type="cellIs" dxfId="17" priority="1" operator="equal">
      <formula>"AC"</formula>
    </cfRule>
  </conditionalFormatting>
  <conditionalFormatting sqref="C3:C22">
    <cfRule type="containsText" dxfId="16" priority="2" operator="containsText" text="WA">
      <formula>NOT(ISERROR(SEARCH(("WA"),(C3))))</formula>
    </cfRule>
  </conditionalFormatting>
  <conditionalFormatting sqref="C13:C84">
    <cfRule type="containsText" dxfId="15" priority="3" operator="containsText" text="WA">
      <formula>NOT(ISERROR(SEARCH(("WA"),(C13))))</formula>
    </cfRule>
  </conditionalFormatting>
  <conditionalFormatting sqref="C3:C22">
    <cfRule type="containsText" dxfId="14" priority="4" operator="containsText" text="TLE">
      <formula>NOT(ISERROR(SEARCH(("TLE"),(C3))))</formula>
    </cfRule>
  </conditionalFormatting>
  <conditionalFormatting sqref="C13:C84">
    <cfRule type="containsText" dxfId="13" priority="5" operator="containsText" text="TLE">
      <formula>NOT(ISERROR(SEARCH(("TLE"),(C13))))</formula>
    </cfRule>
  </conditionalFormatting>
  <conditionalFormatting sqref="C3:C22">
    <cfRule type="containsText" dxfId="12" priority="6" operator="containsText" text="RTE">
      <formula>NOT(ISERROR(SEARCH(("RTE"),(C3))))</formula>
    </cfRule>
  </conditionalFormatting>
  <conditionalFormatting sqref="C13:C84">
    <cfRule type="containsText" dxfId="11" priority="7" operator="containsText" text="RTE">
      <formula>NOT(ISERROR(SEARCH(("RTE"),(C13))))</formula>
    </cfRule>
  </conditionalFormatting>
  <conditionalFormatting sqref="C3:C22">
    <cfRule type="containsText" dxfId="10" priority="8" operator="containsText" text="CS">
      <formula>NOT(ISERROR(SEARCH(("CS"),(C3))))</formula>
    </cfRule>
  </conditionalFormatting>
  <conditionalFormatting sqref="C13:C84">
    <cfRule type="containsText" dxfId="9" priority="9" operator="containsText" text="CS">
      <formula>NOT(ISERROR(SEARCH(("CS"),(C13))))</formula>
    </cfRule>
  </conditionalFormatting>
  <hyperlinks>
    <hyperlink ref="B3" r:id="rId1" display="http://www.spoj.com/problems/TETRA/"/>
    <hyperlink ref="B4" r:id="rId2" display="http://www.spoj.com/problems/QUEST4/"/>
    <hyperlink ref="B5" r:id="rId3" display="https://uva.onlinejudge.org/index.php?option=com_onlinejudge&amp;Itemid=8&amp;page=show_problem&amp;problem=1498"/>
    <hyperlink ref="B6" r:id="rId4" display="https://uva.onlinejudge.org/index.php?option=onlinejudge&amp;page=show_problem&amp;problem=53"/>
    <hyperlink ref="B7" r:id="rId5" display="http://www.spoj.com/problems/MSKYCODE/en/"/>
    <hyperlink ref="B8" r:id="rId6" display="https://uva.onlinejudge.org/index.php?option=com_onlinejudge&amp;Itemid=8&amp;page=show_problem&amp;problem=1033"/>
    <hyperlink ref="B9" r:id="rId7" display="http://www.spoj.com/problems/DICTSUB/"/>
    <hyperlink ref="B10" r:id="rId8" display="http://www.spoj.com/problems/PT07X/"/>
    <hyperlink ref="B11" r:id="rId9" display="http://www.spoj.com/problems/ICPCS/"/>
    <hyperlink ref="B12" r:id="rId10" display="http://www.spoj.com/problems/CERC07K/"/>
    <hyperlink ref="B14" r:id="rId11" display="http://www.spoj.com/problems/ANARC08A/"/>
    <hyperlink ref="B15" r:id="rId12" display="http://www.spoj.com/problems/SUMFOUR/"/>
    <hyperlink ref="B16" r:id="rId13" display="http://www.spoj.com/problems/BOOKS1/"/>
    <hyperlink ref="B17" r:id="rId14" display="https://uva.onlinejudge.org/index.php?option=onlinejudge&amp;page=show_problem&amp;problem=122"/>
    <hyperlink ref="B18" r:id="rId15" display="https://uva.onlinejudge.org/index.php?option=com_onlinejudge&amp;Itemid=8&amp;page=show_problem&amp;problem=277"/>
    <hyperlink ref="B19" r:id="rId16" display="https://uva.onlinejudge.org/index.php?option=com_onlinejudge&amp;Itemid=8&amp;page=show_problem&amp;problem=698"/>
    <hyperlink ref="B20" r:id="rId17" display="https://uva.onlinejudge.org/index.php?option=com_onlinejudge&amp;Itemid=8&amp;page=show_problem&amp;problem=52"/>
    <hyperlink ref="B21" r:id="rId18" display="http://www.spoj.com/problems/MLASERP/"/>
    <hyperlink ref="B23" r:id="rId19" display="https://uva.onlinejudge.org/index.php?option=onlinejudge&amp;page=show_problem&amp;problem=611"/>
    <hyperlink ref="B24" r:id="rId20" display="https://uva.onlinejudge.org/index.php?option=onlinejudge&amp;page=show_problem&amp;problem=1425"/>
    <hyperlink ref="B25" r:id="rId21" display="https://uva.onlinejudge.org/index.php?option=com_onlinejudge&amp;Itemid=8&amp;page=show_problem&amp;problem=470"/>
    <hyperlink ref="B26" r:id="rId22" display="https://uva.onlinejudge.org/index.php?option=com_onlinejudge&amp;Itemid=8&amp;page=show_problem&amp;problem=124"/>
    <hyperlink ref="B27" r:id="rId23" display="https://uva.onlinejudge.org/index.php?option=onlinejudge&amp;page=show_problem&amp;problem=1757"/>
    <hyperlink ref="B28" r:id="rId24" display="http://www.spoj.com/problems/CATM/"/>
    <hyperlink ref="B29" r:id="rId25" display="https://uva.onlinejudge.org/index.php?option=onlinejudge&amp;page=show_problem&amp;problem=1403"/>
    <hyperlink ref="B30" r:id="rId26" display="https://uva.onlinejudge.org/index.php?option=onlinejudge&amp;page=show_problem&amp;problem=379"/>
    <hyperlink ref="B31" r:id="rId27" display="https://uva.onlinejudge.org/index.php?option=com_onlinejudge&amp;Itemid=8&amp;page=show_problem&amp;problem=1647"/>
    <hyperlink ref="B32" r:id="rId28" display="http://www.spoj.com/problems/MSE07E/"/>
    <hyperlink ref="B34" r:id="rId29" display="https://uva.onlinejudge.org/index.php?option=onlinejudge&amp;page=show_problem&amp;problem=2399"/>
    <hyperlink ref="B35" r:id="rId30" display="https://uva.onlinejudge.org/index.php?option=onlinejudge&amp;page=show_problem&amp;problem=63"/>
    <hyperlink ref="B36" r:id="rId31" display="https://uva.onlinejudge.org/index.php?option=onlinejudge&amp;page=show_problem&amp;problem=1400"/>
    <hyperlink ref="B37" r:id="rId32" display="https://uva.onlinejudge.org/index.php?option=onlinejudge&amp;page=show_problem&amp;problem=1928"/>
    <hyperlink ref="B38" r:id="rId33" display="https://uva.onlinejudge.org/index.php?option=com_onlinejudge&amp;Itemid=8&amp;page=show_problem&amp;problem=40"/>
    <hyperlink ref="B39" r:id="rId34" display="https://uva.onlinejudge.org/index.php?option=com_onlinejudge&amp;Itemid=8&amp;page=show_problem&amp;problem=2318"/>
    <hyperlink ref="B40" r:id="rId35" display="https://uva.onlinejudge.org/index.php?option=onlinejudge&amp;page=show_problem&amp;problem=2501"/>
    <hyperlink ref="B41" r:id="rId36" display="https://uva.onlinejudge.org/index.php?option=onlinejudge&amp;page=show_problem&amp;problem=1119"/>
    <hyperlink ref="B42" r:id="rId37" display="https://uva.onlinejudge.org/index.php?option=com_onlinejudge&amp;Itemid=8&amp;page=show_problem&amp;problem=195"/>
    <hyperlink ref="B43" r:id="rId38" display="http://codeforces.com/problemset/problem/294/C"/>
    <hyperlink ref="B45" r:id="rId39" display="http://www.spoj.com/problems/MELE3/"/>
    <hyperlink ref="B46" r:id="rId40" display="https://uva.onlinejudge.org/index.php?option=onlinejudge&amp;page=show_problem&amp;problem=548"/>
    <hyperlink ref="B47" r:id="rId41" display="https://uva.onlinejudge.org/index.php?option=com_onlinejudge&amp;Itemid=8&amp;page=show_problem&amp;problem=89"/>
    <hyperlink ref="B48" r:id="rId42" display="https://uva.onlinejudge.org/index.php?option=com_onlinejudge&amp;Itemid=8&amp;page=show_problem&amp;problem=2175"/>
    <hyperlink ref="B49" r:id="rId43" display="https://uva.onlinejudge.org/index.php?option=onlinejudge&amp;page=show_problem&amp;problem=2499"/>
    <hyperlink ref="B50" r:id="rId44" display="http://www.spoj.com/problems/MORSE/"/>
    <hyperlink ref="B51" r:id="rId45" display="http://www.spoj.com/problems/PRHYME/"/>
    <hyperlink ref="B52" r:id="rId46" display="https://uva.onlinejudge.org/index.php?option=com_onlinejudge&amp;Itemid=8&amp;page=show_problem&amp;problem=1070"/>
    <hyperlink ref="B53" r:id="rId47" display="https://uva.onlinejudge.org/index.php?option=com_onlinejudge&amp;Itemid=8&amp;page=show_problem&amp;problem=1899"/>
    <hyperlink ref="B54" r:id="rId48" display="http://www.spoj.com/problems/NGM2/"/>
    <hyperlink ref="B56" r:id="rId49" display="https://uva.onlinejudge.org/index.php?option=onlinejudge&amp;page=show_problem&amp;problem=1745"/>
    <hyperlink ref="B57" r:id="rId50" display="https://uva.onlinejudge.org/index.php?option=com_onlinejudge&amp;Itemid=8&amp;page=show_problem&amp;problem=2224"/>
    <hyperlink ref="B58" r:id="rId51" display="https://uva.onlinejudge.org/index.php?option=com_onlinejudge&amp;Itemid=8&amp;page=show_problem&amp;problem=645"/>
    <hyperlink ref="B59" r:id="rId52" display="https://uva.onlinejudge.org/index.php?option=com_onlinejudge&amp;Itemid=8&amp;page=show_problem&amp;problem=43"/>
    <hyperlink ref="B60" r:id="rId53" display="https://uva.onlinejudge.org/index.php?option=com_onlinejudge&amp;Itemid=8&amp;page=show_problem&amp;problem=62"/>
    <hyperlink ref="B61" r:id="rId54" display="http://www.spoj.com/problems/PARITY/"/>
    <hyperlink ref="B62" r:id="rId55" display="https://icpcarchive.ecs.baylor.edu/index.php?option=com_onlinejudge&amp;Itemid=8&amp;page=show_problem&amp;problem=3803"/>
    <hyperlink ref="B63" r:id="rId56" display="https://uva.onlinejudge.org/index.php?option=com_onlinejudge&amp;Itemid=8&amp;page=show_problem&amp;problem=2929"/>
    <hyperlink ref="B64" r:id="rId57" display="https://uva.onlinejudge.org/index.php?option=onlinejudge&amp;Itemid=8&amp;page=show_problem&amp;problem=2768"/>
    <hyperlink ref="B65" r:id="rId58" display="https://uva.onlinejudge.org/index.php?option=com_onlinejudge&amp;Itemid=8&amp;page=show_problem&amp;problem=2184"/>
    <hyperlink ref="B67" r:id="rId59" display="http://www.spoj.com/problems/SOLIT/"/>
    <hyperlink ref="B68" r:id="rId60" display="https://uva.onlinejudge.org/index.php?option=com_onlinejudge&amp;Itemid=8&amp;page=show_problem&amp;problem=779"/>
    <hyperlink ref="B69" r:id="rId61" display="https://uva.onlinejudge.org/index.php?option=com_onlinejudge&amp;Itemid=8&amp;page=show_problem&amp;problem=476"/>
    <hyperlink ref="B70" r:id="rId62" display="https://uva.onlinejudge.org/index.php?option=onlinejudge&amp;page=show_problem&amp;problem=1382"/>
    <hyperlink ref="B71" r:id="rId63" display="https://uva.onlinejudge.org/index.php?option=com_onlinejudge&amp;Itemid=8&amp;page=show_problem&amp;problem=966"/>
    <hyperlink ref="B72" r:id="rId64" display="http://www.spoj.com/problems/SQFREE/"/>
    <hyperlink ref="B73" r:id="rId65" display="http://www.spoj.com/problems/ROADS/en/"/>
    <hyperlink ref="B74" r:id="rId66" display="https://uva.onlinejudge.org/index.php?option=onlinejudge&amp;page=show_problem&amp;problem=244"/>
    <hyperlink ref="B75" r:id="rId67" display="http://www.spoj.com/problems/COCONUTS/"/>
    <hyperlink ref="B76" r:id="rId68" display="http://www.spoj.com/problems/CIJEVI/"/>
    <hyperlink ref="B78" r:id="rId69" display="https://uva.onlinejudge.org/index.php?option=com_onlinejudge&amp;Itemid=8&amp;page=show_problem&amp;problem=839"/>
    <hyperlink ref="B79" r:id="rId70" display="http://www.spoj.com/problems/CHASE1/"/>
    <hyperlink ref="B80" r:id="rId71" display="https://uva.onlinejudge.org/index.php?option=com_onlinejudge&amp;Itemid=8&amp;page=show_problem&amp;problem=1930"/>
    <hyperlink ref="B81" r:id="rId72" display="https://uva.onlinejudge.org/index.php?option=com_onlinejudge&amp;Itemid=8&amp;page=show_problem&amp;problem=1475"/>
    <hyperlink ref="B82" r:id="rId73" display="http://www.spoj.com/problems/DISJPATH/"/>
    <hyperlink ref="B83" r:id="rId74" display="http://www.spoj.com/problems/QUEEN/"/>
    <hyperlink ref="J84" r:id="rId75" location="analytics/goo.gl/gQjcek/all_time" display="https://goo.gl/ - analytics/goo.gl/gQjcek/all_tim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7.33203125" defaultRowHeight="15.75" customHeight="1" x14ac:dyDescent="0.15"/>
  <cols>
    <col min="2" max="2" width="6.83203125" customWidth="1"/>
    <col min="3" max="3" width="13" customWidth="1"/>
    <col min="4" max="4" width="8.5" customWidth="1"/>
    <col min="5" max="5" width="8.6640625" customWidth="1"/>
    <col min="6" max="6" width="10" customWidth="1"/>
    <col min="7" max="7" width="8.5" customWidth="1"/>
    <col min="8" max="8" width="10" customWidth="1"/>
    <col min="9" max="9" width="161.5" customWidth="1"/>
  </cols>
  <sheetData>
    <row r="1" spans="1:9" ht="15.75" customHeight="1" x14ac:dyDescent="0.15">
      <c r="A1" s="45" t="s">
        <v>4</v>
      </c>
      <c r="B1" s="46" t="s">
        <v>2</v>
      </c>
      <c r="C1" s="47" t="s">
        <v>5</v>
      </c>
      <c r="D1" s="47" t="s">
        <v>7</v>
      </c>
      <c r="E1" s="46" t="s">
        <v>8</v>
      </c>
      <c r="F1" s="47" t="s">
        <v>9</v>
      </c>
      <c r="G1" s="47" t="s">
        <v>10</v>
      </c>
      <c r="H1" s="46" t="s">
        <v>11</v>
      </c>
      <c r="I1" s="48" t="s">
        <v>13</v>
      </c>
    </row>
    <row r="2" spans="1:9" ht="15.75" customHeight="1" x14ac:dyDescent="0.15">
      <c r="A2" s="49" t="s">
        <v>14</v>
      </c>
      <c r="B2" s="50">
        <f>COUNTIF(B3:B10002, "AC")</f>
        <v>0</v>
      </c>
      <c r="C2" s="50" t="e">
        <f ca="1">SUMPRODUCT(C3:C10002,INT(EQ(B3:B10002, "AC")))/MAX(1, B2)</f>
        <v>#NAME?</v>
      </c>
      <c r="D2" s="50" t="e">
        <f ca="1">SUMPRODUCT(D3:D10002,INT(EQ(B3:B10002, "AC")))/MAX(1, B2)</f>
        <v>#NAME?</v>
      </c>
      <c r="E2" s="50" t="e">
        <f ca="1">SUMPRODUCT(E3:E10002,INT(EQ(B3:B10002, "AC")))/MAX(1, B2)</f>
        <v>#NAME?</v>
      </c>
      <c r="F2" s="50" t="e">
        <f ca="1">SUMPRODUCT(F3:F10002,INT(EQ(B3:B10002, "AC")))/MAX(1, B2)</f>
        <v>#NAME?</v>
      </c>
      <c r="G2" s="50" t="e">
        <f ca="1">SUMPRODUCT(G3:G10002,INT(EQ(B3:B10002, "AC")))/MAX(1, B2)</f>
        <v>#NAME?</v>
      </c>
      <c r="H2" s="50" t="e">
        <f ca="1">SUMPRODUCT(H3:H10002,INT(EQ(B3:B10002, "AC")))/MAX(1, B2)</f>
        <v>#NAME?</v>
      </c>
      <c r="I2" s="52">
        <f>COUNTIFS(B4:B10004, "&lt;&gt;AC", B4:B10004, "&lt;&gt;")</f>
        <v>0</v>
      </c>
    </row>
    <row r="3" spans="1:9" ht="15.75" customHeight="1" x14ac:dyDescent="0.15">
      <c r="A3" s="53"/>
      <c r="B3" s="54"/>
      <c r="C3" s="54"/>
      <c r="D3" s="54"/>
      <c r="E3" s="54"/>
      <c r="F3" s="54"/>
      <c r="G3" s="55">
        <f t="shared" ref="G3:G200" si="0">SUM(D3:F3)</f>
        <v>0</v>
      </c>
      <c r="H3" s="56"/>
      <c r="I3" s="57" t="s">
        <v>711</v>
      </c>
    </row>
    <row r="4" spans="1:9" ht="15.75" customHeight="1" x14ac:dyDescent="0.15">
      <c r="A4" s="53"/>
      <c r="B4" s="54"/>
      <c r="C4" s="54"/>
      <c r="D4" s="54"/>
      <c r="E4" s="54"/>
      <c r="F4" s="54"/>
      <c r="G4" s="55">
        <f t="shared" si="0"/>
        <v>0</v>
      </c>
      <c r="H4" s="54"/>
      <c r="I4" s="58"/>
    </row>
    <row r="5" spans="1:9" ht="15.75" customHeight="1" x14ac:dyDescent="0.15">
      <c r="A5" s="53"/>
      <c r="B5" s="54"/>
      <c r="C5" s="54"/>
      <c r="D5" s="54"/>
      <c r="E5" s="54"/>
      <c r="F5" s="54"/>
      <c r="G5" s="55">
        <f t="shared" si="0"/>
        <v>0</v>
      </c>
      <c r="H5" s="54"/>
      <c r="I5" s="58" t="s">
        <v>713</v>
      </c>
    </row>
    <row r="6" spans="1:9" ht="15.75" customHeight="1" x14ac:dyDescent="0.15">
      <c r="A6" s="53"/>
      <c r="B6" s="54"/>
      <c r="C6" s="54"/>
      <c r="D6" s="59"/>
      <c r="E6" s="54"/>
      <c r="F6" s="54"/>
      <c r="G6" s="59">
        <f t="shared" si="0"/>
        <v>0</v>
      </c>
      <c r="H6" s="54"/>
      <c r="I6" s="58"/>
    </row>
    <row r="7" spans="1:9" ht="15.75" customHeight="1" x14ac:dyDescent="0.15">
      <c r="A7" s="53"/>
      <c r="B7" s="54"/>
      <c r="C7" s="54"/>
      <c r="D7" s="54"/>
      <c r="E7" s="54"/>
      <c r="F7" s="54"/>
      <c r="G7" s="55">
        <f t="shared" si="0"/>
        <v>0</v>
      </c>
      <c r="H7" s="54"/>
      <c r="I7" s="58" t="s">
        <v>715</v>
      </c>
    </row>
    <row r="8" spans="1:9" ht="15.75" customHeight="1" x14ac:dyDescent="0.15">
      <c r="A8" s="53"/>
      <c r="B8" s="54"/>
      <c r="C8" s="54"/>
      <c r="D8" s="54"/>
      <c r="E8" s="54"/>
      <c r="F8" s="54"/>
      <c r="G8" s="55">
        <f t="shared" si="0"/>
        <v>0</v>
      </c>
      <c r="H8" s="54"/>
      <c r="I8" s="58" t="s">
        <v>717</v>
      </c>
    </row>
    <row r="9" spans="1:9" ht="15.75" customHeight="1" x14ac:dyDescent="0.15">
      <c r="A9" s="53"/>
      <c r="B9" s="54"/>
      <c r="C9" s="54"/>
      <c r="D9" s="54"/>
      <c r="E9" s="54"/>
      <c r="F9" s="54"/>
      <c r="G9" s="55">
        <f t="shared" si="0"/>
        <v>0</v>
      </c>
      <c r="H9" s="54"/>
      <c r="I9" s="58"/>
    </row>
    <row r="10" spans="1:9" ht="15.75" customHeight="1" x14ac:dyDescent="0.15">
      <c r="A10" s="60"/>
      <c r="B10" s="54"/>
      <c r="C10" s="55"/>
      <c r="D10" s="55"/>
      <c r="E10" s="55"/>
      <c r="F10" s="55"/>
      <c r="G10" s="55">
        <f t="shared" si="0"/>
        <v>0</v>
      </c>
      <c r="H10" s="55"/>
      <c r="I10" s="58"/>
    </row>
    <row r="11" spans="1:9" ht="15.75" customHeight="1" x14ac:dyDescent="0.15">
      <c r="A11" s="53"/>
      <c r="B11" s="54"/>
      <c r="C11" s="55"/>
      <c r="D11" s="55"/>
      <c r="E11" s="55"/>
      <c r="F11" s="55"/>
      <c r="G11" s="55">
        <f t="shared" si="0"/>
        <v>0</v>
      </c>
      <c r="H11" s="55"/>
      <c r="I11" s="57"/>
    </row>
    <row r="12" spans="1:9" ht="15.75" customHeight="1" x14ac:dyDescent="0.15">
      <c r="A12" s="53"/>
      <c r="B12" s="54"/>
      <c r="C12" s="55"/>
      <c r="D12" s="55"/>
      <c r="E12" s="55"/>
      <c r="F12" s="55"/>
      <c r="G12" s="55">
        <f t="shared" si="0"/>
        <v>0</v>
      </c>
      <c r="H12" s="55"/>
      <c r="I12" s="58"/>
    </row>
    <row r="13" spans="1:9" ht="15.75" customHeight="1" x14ac:dyDescent="0.15">
      <c r="B13" s="54"/>
      <c r="C13" s="61"/>
      <c r="D13" s="61"/>
      <c r="E13" s="61"/>
      <c r="F13" s="61"/>
      <c r="G13" s="55">
        <f t="shared" si="0"/>
        <v>0</v>
      </c>
      <c r="H13" s="55"/>
      <c r="I13" s="62"/>
    </row>
    <row r="14" spans="1:9" ht="15.75" customHeight="1" x14ac:dyDescent="0.15">
      <c r="A14" s="60"/>
      <c r="B14" s="54"/>
      <c r="C14" s="55"/>
      <c r="D14" s="55"/>
      <c r="E14" s="55"/>
      <c r="F14" s="55"/>
      <c r="G14" s="55">
        <f t="shared" si="0"/>
        <v>0</v>
      </c>
      <c r="H14" s="55"/>
      <c r="I14" s="58"/>
    </row>
    <row r="15" spans="1:9" ht="15.75" customHeight="1" x14ac:dyDescent="0.15">
      <c r="A15" s="53"/>
      <c r="B15" s="54"/>
      <c r="C15" s="55"/>
      <c r="D15" s="55"/>
      <c r="E15" s="55"/>
      <c r="F15" s="55"/>
      <c r="G15" s="55">
        <f t="shared" si="0"/>
        <v>0</v>
      </c>
      <c r="H15" s="55"/>
      <c r="I15" s="58"/>
    </row>
    <row r="16" spans="1:9" ht="15.75" customHeight="1" x14ac:dyDescent="0.15">
      <c r="A16" s="53"/>
      <c r="B16" s="54"/>
      <c r="C16" s="55"/>
      <c r="D16" s="55"/>
      <c r="E16" s="55"/>
      <c r="F16" s="55"/>
      <c r="G16" s="55">
        <f t="shared" si="0"/>
        <v>0</v>
      </c>
      <c r="H16" s="55"/>
      <c r="I16" s="63"/>
    </row>
    <row r="17" spans="1:9" ht="15.75" customHeight="1" x14ac:dyDescent="0.15">
      <c r="A17" s="53"/>
      <c r="B17" s="54"/>
      <c r="C17" s="55"/>
      <c r="D17" s="55"/>
      <c r="E17" s="55"/>
      <c r="F17" s="55"/>
      <c r="G17" s="55">
        <f t="shared" si="0"/>
        <v>0</v>
      </c>
      <c r="H17" s="55"/>
      <c r="I17" s="63"/>
    </row>
    <row r="18" spans="1:9" ht="15.75" customHeight="1" x14ac:dyDescent="0.15">
      <c r="A18" s="53"/>
      <c r="B18" s="54"/>
      <c r="C18" s="55"/>
      <c r="D18" s="55"/>
      <c r="E18" s="55"/>
      <c r="F18" s="55"/>
      <c r="G18" s="55">
        <f t="shared" si="0"/>
        <v>0</v>
      </c>
      <c r="H18" s="55"/>
      <c r="I18" s="63"/>
    </row>
    <row r="19" spans="1:9" ht="15.75" customHeight="1" x14ac:dyDescent="0.15">
      <c r="A19" s="53"/>
      <c r="B19" s="55"/>
      <c r="C19" s="55"/>
      <c r="D19" s="55"/>
      <c r="E19" s="55"/>
      <c r="F19" s="55"/>
      <c r="G19" s="55">
        <f t="shared" si="0"/>
        <v>0</v>
      </c>
      <c r="H19" s="55"/>
      <c r="I19" s="63"/>
    </row>
    <row r="20" spans="1:9" ht="15.75" customHeight="1" x14ac:dyDescent="0.15">
      <c r="A20" s="53"/>
      <c r="B20" s="55"/>
      <c r="C20" s="55"/>
      <c r="D20" s="55"/>
      <c r="E20" s="55"/>
      <c r="F20" s="55"/>
      <c r="G20" s="55">
        <f t="shared" si="0"/>
        <v>0</v>
      </c>
      <c r="H20" s="55"/>
      <c r="I20" s="63"/>
    </row>
    <row r="21" spans="1:9" ht="15.75" customHeight="1" x14ac:dyDescent="0.15">
      <c r="A21" s="53"/>
      <c r="B21" s="55"/>
      <c r="C21" s="55"/>
      <c r="D21" s="55"/>
      <c r="E21" s="55"/>
      <c r="F21" s="55"/>
      <c r="G21" s="55">
        <f t="shared" si="0"/>
        <v>0</v>
      </c>
      <c r="H21" s="55"/>
      <c r="I21" s="64"/>
    </row>
    <row r="22" spans="1:9" ht="15.75" customHeight="1" x14ac:dyDescent="0.15">
      <c r="A22" s="53"/>
      <c r="B22" s="55"/>
      <c r="C22" s="55"/>
      <c r="D22" s="55"/>
      <c r="E22" s="55"/>
      <c r="F22" s="55"/>
      <c r="G22" s="55">
        <f t="shared" si="0"/>
        <v>0</v>
      </c>
      <c r="H22" s="55"/>
      <c r="I22" s="64"/>
    </row>
    <row r="23" spans="1:9" ht="15.75" customHeight="1" x14ac:dyDescent="0.15">
      <c r="A23" s="53"/>
      <c r="B23" s="55"/>
      <c r="C23" s="55"/>
      <c r="D23" s="55"/>
      <c r="E23" s="55"/>
      <c r="F23" s="55"/>
      <c r="G23" s="55">
        <f t="shared" si="0"/>
        <v>0</v>
      </c>
      <c r="H23" s="55"/>
      <c r="I23" s="64"/>
    </row>
    <row r="24" spans="1:9" ht="15.75" customHeight="1" x14ac:dyDescent="0.15">
      <c r="B24" s="61"/>
      <c r="C24" s="61"/>
      <c r="D24" s="61"/>
      <c r="E24" s="61"/>
      <c r="F24" s="61"/>
      <c r="G24" s="55">
        <f t="shared" si="0"/>
        <v>0</v>
      </c>
      <c r="H24" s="55"/>
      <c r="I24" s="65"/>
    </row>
    <row r="25" spans="1:9" ht="15.75" customHeight="1" x14ac:dyDescent="0.15">
      <c r="A25" s="53"/>
      <c r="B25" s="55"/>
      <c r="C25" s="55"/>
      <c r="D25" s="55"/>
      <c r="E25" s="55"/>
      <c r="F25" s="55"/>
      <c r="G25" s="55">
        <f t="shared" si="0"/>
        <v>0</v>
      </c>
      <c r="H25" s="55"/>
      <c r="I25" s="64"/>
    </row>
    <row r="26" spans="1:9" ht="15.75" customHeight="1" x14ac:dyDescent="0.15">
      <c r="A26" s="53"/>
      <c r="B26" s="55"/>
      <c r="C26" s="55"/>
      <c r="D26" s="55"/>
      <c r="E26" s="55"/>
      <c r="F26" s="55"/>
      <c r="G26" s="55">
        <f t="shared" si="0"/>
        <v>0</v>
      </c>
      <c r="H26" s="55"/>
      <c r="I26" s="64"/>
    </row>
    <row r="27" spans="1:9" ht="15.75" customHeight="1" x14ac:dyDescent="0.15">
      <c r="A27" s="53"/>
      <c r="B27" s="55"/>
      <c r="C27" s="55"/>
      <c r="D27" s="55"/>
      <c r="E27" s="55"/>
      <c r="F27" s="55"/>
      <c r="G27" s="55">
        <f t="shared" si="0"/>
        <v>0</v>
      </c>
      <c r="H27" s="55"/>
      <c r="I27" s="64"/>
    </row>
    <row r="28" spans="1:9" ht="15.75" customHeight="1" x14ac:dyDescent="0.15">
      <c r="A28" s="53"/>
      <c r="B28" s="55"/>
      <c r="C28" s="55"/>
      <c r="D28" s="55"/>
      <c r="E28" s="55"/>
      <c r="F28" s="55"/>
      <c r="G28" s="55">
        <f t="shared" si="0"/>
        <v>0</v>
      </c>
      <c r="H28" s="55"/>
      <c r="I28" s="64"/>
    </row>
    <row r="29" spans="1:9" ht="15.75" customHeight="1" x14ac:dyDescent="0.15">
      <c r="A29" s="53"/>
      <c r="B29" s="55"/>
      <c r="C29" s="55"/>
      <c r="D29" s="55"/>
      <c r="E29" s="55"/>
      <c r="F29" s="55"/>
      <c r="G29" s="55">
        <f t="shared" si="0"/>
        <v>0</v>
      </c>
      <c r="H29" s="55"/>
      <c r="I29" s="64"/>
    </row>
    <row r="30" spans="1:9" ht="15.75" customHeight="1" x14ac:dyDescent="0.15">
      <c r="A30" s="53"/>
      <c r="B30" s="55"/>
      <c r="C30" s="55"/>
      <c r="D30" s="55"/>
      <c r="E30" s="55"/>
      <c r="F30" s="55"/>
      <c r="G30" s="55">
        <f t="shared" si="0"/>
        <v>0</v>
      </c>
      <c r="H30" s="55"/>
      <c r="I30" s="64"/>
    </row>
    <row r="31" spans="1:9" ht="15.75" customHeight="1" x14ac:dyDescent="0.15">
      <c r="A31" s="53"/>
      <c r="B31" s="55"/>
      <c r="C31" s="55"/>
      <c r="D31" s="55"/>
      <c r="E31" s="55"/>
      <c r="F31" s="55"/>
      <c r="G31" s="55">
        <f t="shared" si="0"/>
        <v>0</v>
      </c>
      <c r="H31" s="55"/>
      <c r="I31" s="64"/>
    </row>
    <row r="32" spans="1:9" ht="15.75" customHeight="1" x14ac:dyDescent="0.15">
      <c r="A32" s="53"/>
      <c r="B32" s="55"/>
      <c r="C32" s="55"/>
      <c r="D32" s="55"/>
      <c r="E32" s="55"/>
      <c r="F32" s="55"/>
      <c r="G32" s="55">
        <f t="shared" si="0"/>
        <v>0</v>
      </c>
      <c r="H32" s="55"/>
      <c r="I32" s="64"/>
    </row>
    <row r="33" spans="1:9" ht="15.75" customHeight="1" x14ac:dyDescent="0.15">
      <c r="A33" s="53"/>
      <c r="B33" s="55"/>
      <c r="C33" s="55"/>
      <c r="D33" s="55"/>
      <c r="E33" s="55"/>
      <c r="F33" s="55"/>
      <c r="G33" s="55">
        <f t="shared" si="0"/>
        <v>0</v>
      </c>
      <c r="H33" s="55"/>
      <c r="I33" s="64"/>
    </row>
    <row r="34" spans="1:9" ht="15.75" customHeight="1" x14ac:dyDescent="0.15">
      <c r="A34" s="53"/>
      <c r="B34" s="55"/>
      <c r="C34" s="55"/>
      <c r="D34" s="55"/>
      <c r="E34" s="55"/>
      <c r="F34" s="55"/>
      <c r="G34" s="55">
        <f t="shared" si="0"/>
        <v>0</v>
      </c>
      <c r="H34" s="55"/>
      <c r="I34" s="64"/>
    </row>
    <row r="35" spans="1:9" ht="15.75" customHeight="1" x14ac:dyDescent="0.15">
      <c r="B35" s="61"/>
      <c r="C35" s="61"/>
      <c r="D35" s="61"/>
      <c r="E35" s="61"/>
      <c r="F35" s="61"/>
      <c r="G35" s="55">
        <f t="shared" si="0"/>
        <v>0</v>
      </c>
      <c r="H35" s="55"/>
      <c r="I35" s="65"/>
    </row>
    <row r="36" spans="1:9" ht="15.75" customHeight="1" x14ac:dyDescent="0.15">
      <c r="A36" s="53"/>
      <c r="B36" s="55"/>
      <c r="C36" s="55"/>
      <c r="D36" s="55"/>
      <c r="E36" s="55"/>
      <c r="F36" s="55"/>
      <c r="G36" s="55">
        <f t="shared" si="0"/>
        <v>0</v>
      </c>
      <c r="H36" s="55"/>
      <c r="I36" s="64"/>
    </row>
    <row r="37" spans="1:9" ht="15.75" customHeight="1" x14ac:dyDescent="0.15">
      <c r="A37" s="53"/>
      <c r="B37" s="55"/>
      <c r="C37" s="55"/>
      <c r="D37" s="55"/>
      <c r="E37" s="55"/>
      <c r="F37" s="55"/>
      <c r="G37" s="55">
        <f t="shared" si="0"/>
        <v>0</v>
      </c>
      <c r="H37" s="55"/>
      <c r="I37" s="64"/>
    </row>
    <row r="38" spans="1:9" ht="15.75" customHeight="1" x14ac:dyDescent="0.15">
      <c r="A38" s="53"/>
      <c r="B38" s="55"/>
      <c r="C38" s="55"/>
      <c r="D38" s="55"/>
      <c r="E38" s="55"/>
      <c r="F38" s="55"/>
      <c r="G38" s="55">
        <f t="shared" si="0"/>
        <v>0</v>
      </c>
      <c r="H38" s="55"/>
      <c r="I38" s="64"/>
    </row>
    <row r="39" spans="1:9" ht="15.75" customHeight="1" x14ac:dyDescent="0.15">
      <c r="A39" s="53"/>
      <c r="B39" s="55"/>
      <c r="C39" s="55"/>
      <c r="D39" s="55"/>
      <c r="E39" s="55"/>
      <c r="F39" s="55"/>
      <c r="G39" s="55">
        <f t="shared" si="0"/>
        <v>0</v>
      </c>
      <c r="H39" s="55"/>
      <c r="I39" s="64"/>
    </row>
    <row r="40" spans="1:9" ht="15.75" customHeight="1" x14ac:dyDescent="0.15">
      <c r="A40" s="53"/>
      <c r="B40" s="55"/>
      <c r="C40" s="55"/>
      <c r="D40" s="55"/>
      <c r="E40" s="55"/>
      <c r="F40" s="55"/>
      <c r="G40" s="55">
        <f t="shared" si="0"/>
        <v>0</v>
      </c>
      <c r="H40" s="55"/>
      <c r="I40" s="64"/>
    </row>
    <row r="41" spans="1:9" ht="15.75" customHeight="1" x14ac:dyDescent="0.15">
      <c r="A41" s="53"/>
      <c r="B41" s="55"/>
      <c r="C41" s="55"/>
      <c r="D41" s="55"/>
      <c r="E41" s="55"/>
      <c r="F41" s="55"/>
      <c r="G41" s="55">
        <f t="shared" si="0"/>
        <v>0</v>
      </c>
      <c r="H41" s="55"/>
      <c r="I41" s="64"/>
    </row>
    <row r="42" spans="1:9" ht="15.75" customHeight="1" x14ac:dyDescent="0.15">
      <c r="A42" s="53"/>
      <c r="B42" s="55"/>
      <c r="C42" s="55"/>
      <c r="D42" s="55"/>
      <c r="E42" s="55"/>
      <c r="F42" s="55"/>
      <c r="G42" s="55">
        <f t="shared" si="0"/>
        <v>0</v>
      </c>
      <c r="H42" s="55"/>
      <c r="I42" s="64"/>
    </row>
    <row r="43" spans="1:9" ht="15.75" customHeight="1" x14ac:dyDescent="0.15">
      <c r="A43" s="53"/>
      <c r="B43" s="55"/>
      <c r="C43" s="55"/>
      <c r="D43" s="55"/>
      <c r="E43" s="55"/>
      <c r="F43" s="55"/>
      <c r="G43" s="55">
        <f t="shared" si="0"/>
        <v>0</v>
      </c>
      <c r="H43" s="55"/>
      <c r="I43" s="64"/>
    </row>
    <row r="44" spans="1:9" ht="15.75" customHeight="1" x14ac:dyDescent="0.15">
      <c r="A44" s="53"/>
      <c r="B44" s="55"/>
      <c r="C44" s="55"/>
      <c r="D44" s="55"/>
      <c r="E44" s="55"/>
      <c r="F44" s="55"/>
      <c r="G44" s="55">
        <f t="shared" si="0"/>
        <v>0</v>
      </c>
      <c r="H44" s="55"/>
      <c r="I44" s="64"/>
    </row>
    <row r="45" spans="1:9" ht="13" x14ac:dyDescent="0.15">
      <c r="A45" s="53"/>
      <c r="B45" s="55"/>
      <c r="C45" s="55"/>
      <c r="D45" s="55"/>
      <c r="E45" s="55"/>
      <c r="F45" s="55"/>
      <c r="G45" s="55">
        <f t="shared" si="0"/>
        <v>0</v>
      </c>
      <c r="H45" s="55"/>
      <c r="I45" s="66"/>
    </row>
    <row r="46" spans="1:9" ht="13" x14ac:dyDescent="0.15">
      <c r="B46" s="61"/>
      <c r="C46" s="61"/>
      <c r="D46" s="61"/>
      <c r="E46" s="61"/>
      <c r="F46" s="61"/>
      <c r="G46" s="55">
        <f t="shared" si="0"/>
        <v>0</v>
      </c>
      <c r="H46" s="55"/>
      <c r="I46" s="65"/>
    </row>
    <row r="47" spans="1:9" ht="13" x14ac:dyDescent="0.15">
      <c r="A47" s="53"/>
      <c r="B47" s="55"/>
      <c r="C47" s="55"/>
      <c r="D47" s="55"/>
      <c r="E47" s="55"/>
      <c r="F47" s="55"/>
      <c r="G47" s="55">
        <f t="shared" si="0"/>
        <v>0</v>
      </c>
      <c r="H47" s="55"/>
      <c r="I47" s="64"/>
    </row>
    <row r="48" spans="1:9" ht="13" x14ac:dyDescent="0.15">
      <c r="A48" s="53"/>
      <c r="B48" s="55"/>
      <c r="C48" s="55"/>
      <c r="D48" s="55"/>
      <c r="E48" s="55"/>
      <c r="F48" s="55"/>
      <c r="G48" s="55">
        <f t="shared" si="0"/>
        <v>0</v>
      </c>
      <c r="H48" s="55"/>
      <c r="I48" s="64"/>
    </row>
    <row r="49" spans="1:9" ht="13" x14ac:dyDescent="0.15">
      <c r="A49" s="53"/>
      <c r="B49" s="55"/>
      <c r="C49" s="55"/>
      <c r="D49" s="55"/>
      <c r="E49" s="55"/>
      <c r="F49" s="55"/>
      <c r="G49" s="55">
        <f t="shared" si="0"/>
        <v>0</v>
      </c>
      <c r="H49" s="55"/>
      <c r="I49" s="64"/>
    </row>
    <row r="50" spans="1:9" ht="13" x14ac:dyDescent="0.15">
      <c r="A50" s="53"/>
      <c r="B50" s="55"/>
      <c r="C50" s="55"/>
      <c r="D50" s="55"/>
      <c r="E50" s="55"/>
      <c r="F50" s="55"/>
      <c r="G50" s="55">
        <f t="shared" si="0"/>
        <v>0</v>
      </c>
      <c r="H50" s="55"/>
      <c r="I50" s="64"/>
    </row>
    <row r="51" spans="1:9" ht="13" x14ac:dyDescent="0.15">
      <c r="A51" s="53"/>
      <c r="B51" s="55"/>
      <c r="C51" s="55"/>
      <c r="D51" s="55"/>
      <c r="E51" s="55"/>
      <c r="F51" s="55"/>
      <c r="G51" s="55">
        <f t="shared" si="0"/>
        <v>0</v>
      </c>
      <c r="H51" s="55"/>
      <c r="I51" s="64"/>
    </row>
    <row r="52" spans="1:9" ht="13" x14ac:dyDescent="0.15">
      <c r="A52" s="53"/>
      <c r="B52" s="55"/>
      <c r="C52" s="55"/>
      <c r="D52" s="55"/>
      <c r="E52" s="55"/>
      <c r="F52" s="55"/>
      <c r="G52" s="55">
        <f t="shared" si="0"/>
        <v>0</v>
      </c>
      <c r="H52" s="55"/>
      <c r="I52" s="64"/>
    </row>
    <row r="53" spans="1:9" ht="13" x14ac:dyDescent="0.15">
      <c r="A53" s="53"/>
      <c r="B53" s="55"/>
      <c r="C53" s="55"/>
      <c r="D53" s="55"/>
      <c r="E53" s="55"/>
      <c r="F53" s="55"/>
      <c r="G53" s="55">
        <f t="shared" si="0"/>
        <v>0</v>
      </c>
      <c r="H53" s="55"/>
      <c r="I53" s="64"/>
    </row>
    <row r="54" spans="1:9" ht="13" x14ac:dyDescent="0.15">
      <c r="A54" s="53"/>
      <c r="B54" s="55"/>
      <c r="C54" s="55"/>
      <c r="D54" s="55"/>
      <c r="E54" s="55"/>
      <c r="F54" s="55"/>
      <c r="G54" s="55">
        <f t="shared" si="0"/>
        <v>0</v>
      </c>
      <c r="H54" s="55"/>
      <c r="I54" s="64"/>
    </row>
    <row r="55" spans="1:9" ht="13" x14ac:dyDescent="0.15">
      <c r="A55" s="53"/>
      <c r="B55" s="55"/>
      <c r="C55" s="55"/>
      <c r="D55" s="55"/>
      <c r="E55" s="55"/>
      <c r="F55" s="55"/>
      <c r="G55" s="55">
        <f t="shared" si="0"/>
        <v>0</v>
      </c>
      <c r="H55" s="55"/>
      <c r="I55" s="64"/>
    </row>
    <row r="56" spans="1:9" ht="13" x14ac:dyDescent="0.15">
      <c r="A56" s="53"/>
      <c r="B56" s="55"/>
      <c r="C56" s="55"/>
      <c r="D56" s="55"/>
      <c r="E56" s="55"/>
      <c r="F56" s="55"/>
      <c r="G56" s="55">
        <f t="shared" si="0"/>
        <v>0</v>
      </c>
      <c r="H56" s="55"/>
      <c r="I56" s="64"/>
    </row>
    <row r="57" spans="1:9" ht="13" x14ac:dyDescent="0.15">
      <c r="B57" s="61"/>
      <c r="C57" s="61"/>
      <c r="D57" s="61"/>
      <c r="E57" s="61"/>
      <c r="F57" s="61"/>
      <c r="G57" s="55">
        <f t="shared" si="0"/>
        <v>0</v>
      </c>
      <c r="H57" s="55"/>
      <c r="I57" s="65"/>
    </row>
    <row r="58" spans="1:9" ht="13" x14ac:dyDescent="0.15">
      <c r="A58" s="53"/>
      <c r="B58" s="55"/>
      <c r="C58" s="55"/>
      <c r="D58" s="55"/>
      <c r="E58" s="55"/>
      <c r="F58" s="55"/>
      <c r="G58" s="55">
        <f t="shared" si="0"/>
        <v>0</v>
      </c>
      <c r="H58" s="55"/>
      <c r="I58" s="64"/>
    </row>
    <row r="59" spans="1:9" ht="13" x14ac:dyDescent="0.15">
      <c r="A59" s="53"/>
      <c r="B59" s="55"/>
      <c r="C59" s="55"/>
      <c r="D59" s="55"/>
      <c r="E59" s="55"/>
      <c r="F59" s="55"/>
      <c r="G59" s="55">
        <f t="shared" si="0"/>
        <v>0</v>
      </c>
      <c r="H59" s="55"/>
      <c r="I59" s="64"/>
    </row>
    <row r="60" spans="1:9" ht="13" x14ac:dyDescent="0.15">
      <c r="A60" s="53"/>
      <c r="B60" s="55"/>
      <c r="C60" s="55"/>
      <c r="D60" s="55"/>
      <c r="E60" s="55"/>
      <c r="F60" s="55"/>
      <c r="G60" s="55">
        <f t="shared" si="0"/>
        <v>0</v>
      </c>
      <c r="H60" s="55"/>
      <c r="I60" s="64"/>
    </row>
    <row r="61" spans="1:9" ht="13" x14ac:dyDescent="0.15">
      <c r="A61" s="53"/>
      <c r="B61" s="55"/>
      <c r="C61" s="55"/>
      <c r="D61" s="55"/>
      <c r="E61" s="55"/>
      <c r="F61" s="55"/>
      <c r="G61" s="55">
        <f t="shared" si="0"/>
        <v>0</v>
      </c>
      <c r="H61" s="55"/>
      <c r="I61" s="64"/>
    </row>
    <row r="62" spans="1:9" ht="13" x14ac:dyDescent="0.15">
      <c r="A62" s="53"/>
      <c r="B62" s="55"/>
      <c r="C62" s="55"/>
      <c r="D62" s="55"/>
      <c r="E62" s="55"/>
      <c r="F62" s="55"/>
      <c r="G62" s="55">
        <f t="shared" si="0"/>
        <v>0</v>
      </c>
      <c r="H62" s="55"/>
      <c r="I62" s="64"/>
    </row>
    <row r="63" spans="1:9" ht="13" x14ac:dyDescent="0.15">
      <c r="A63" s="53"/>
      <c r="B63" s="55"/>
      <c r="C63" s="55"/>
      <c r="D63" s="55"/>
      <c r="E63" s="55"/>
      <c r="F63" s="55"/>
      <c r="G63" s="55">
        <f t="shared" si="0"/>
        <v>0</v>
      </c>
      <c r="H63" s="55"/>
      <c r="I63" s="64"/>
    </row>
    <row r="64" spans="1:9" ht="13" x14ac:dyDescent="0.15">
      <c r="A64" s="53"/>
      <c r="B64" s="55"/>
      <c r="C64" s="55"/>
      <c r="D64" s="55"/>
      <c r="E64" s="55"/>
      <c r="F64" s="55"/>
      <c r="G64" s="55">
        <f t="shared" si="0"/>
        <v>0</v>
      </c>
      <c r="H64" s="55"/>
      <c r="I64" s="64"/>
    </row>
    <row r="65" spans="1:9" ht="13" x14ac:dyDescent="0.15">
      <c r="A65" s="60"/>
      <c r="B65" s="55"/>
      <c r="C65" s="55"/>
      <c r="D65" s="55"/>
      <c r="E65" s="55"/>
      <c r="F65" s="55"/>
      <c r="G65" s="55">
        <f t="shared" si="0"/>
        <v>0</v>
      </c>
      <c r="H65" s="55"/>
      <c r="I65" s="64"/>
    </row>
    <row r="66" spans="1:9" ht="13" x14ac:dyDescent="0.15">
      <c r="A66" s="53"/>
      <c r="B66" s="55"/>
      <c r="C66" s="55"/>
      <c r="D66" s="55"/>
      <c r="E66" s="55"/>
      <c r="F66" s="55"/>
      <c r="G66" s="55">
        <f t="shared" si="0"/>
        <v>0</v>
      </c>
      <c r="H66" s="55"/>
      <c r="I66" s="64"/>
    </row>
    <row r="67" spans="1:9" ht="13" x14ac:dyDescent="0.15">
      <c r="A67" s="53"/>
      <c r="B67" s="55"/>
      <c r="C67" s="55"/>
      <c r="D67" s="55"/>
      <c r="E67" s="55"/>
      <c r="F67" s="55"/>
      <c r="G67" s="55">
        <f t="shared" si="0"/>
        <v>0</v>
      </c>
      <c r="H67" s="55"/>
      <c r="I67" s="64"/>
    </row>
    <row r="68" spans="1:9" ht="13" x14ac:dyDescent="0.15">
      <c r="B68" s="61"/>
      <c r="C68" s="61"/>
      <c r="D68" s="61"/>
      <c r="E68" s="61"/>
      <c r="F68" s="61"/>
      <c r="G68" s="55">
        <f t="shared" si="0"/>
        <v>0</v>
      </c>
      <c r="H68" s="55"/>
      <c r="I68" s="65"/>
    </row>
    <row r="69" spans="1:9" ht="13" x14ac:dyDescent="0.15">
      <c r="A69" s="60"/>
      <c r="B69" s="55"/>
      <c r="C69" s="55"/>
      <c r="D69" s="55"/>
      <c r="E69" s="55"/>
      <c r="F69" s="55"/>
      <c r="G69" s="55">
        <f t="shared" si="0"/>
        <v>0</v>
      </c>
      <c r="H69" s="55"/>
      <c r="I69" s="64"/>
    </row>
    <row r="70" spans="1:9" ht="13" x14ac:dyDescent="0.15">
      <c r="A70" s="53"/>
      <c r="B70" s="55"/>
      <c r="C70" s="55"/>
      <c r="D70" s="55"/>
      <c r="E70" s="55"/>
      <c r="F70" s="55"/>
      <c r="G70" s="55">
        <f t="shared" si="0"/>
        <v>0</v>
      </c>
      <c r="H70" s="55"/>
      <c r="I70" s="64"/>
    </row>
    <row r="71" spans="1:9" ht="13" x14ac:dyDescent="0.15">
      <c r="A71" s="53"/>
      <c r="B71" s="55"/>
      <c r="C71" s="55"/>
      <c r="D71" s="55"/>
      <c r="E71" s="55"/>
      <c r="F71" s="55"/>
      <c r="G71" s="55">
        <f t="shared" si="0"/>
        <v>0</v>
      </c>
      <c r="H71" s="55"/>
      <c r="I71" s="64"/>
    </row>
    <row r="72" spans="1:9" ht="13" x14ac:dyDescent="0.15">
      <c r="A72" s="53"/>
      <c r="B72" s="55"/>
      <c r="C72" s="55"/>
      <c r="D72" s="55"/>
      <c r="E72" s="55"/>
      <c r="F72" s="55"/>
      <c r="G72" s="55">
        <f t="shared" si="0"/>
        <v>0</v>
      </c>
      <c r="H72" s="55"/>
      <c r="I72" s="64"/>
    </row>
    <row r="73" spans="1:9" ht="13" x14ac:dyDescent="0.15">
      <c r="A73" s="53"/>
      <c r="B73" s="55"/>
      <c r="C73" s="55"/>
      <c r="D73" s="55"/>
      <c r="E73" s="55"/>
      <c r="F73" s="55"/>
      <c r="G73" s="55">
        <f t="shared" si="0"/>
        <v>0</v>
      </c>
      <c r="H73" s="55"/>
      <c r="I73" s="64"/>
    </row>
    <row r="74" spans="1:9" ht="13" x14ac:dyDescent="0.15">
      <c r="A74" s="53"/>
      <c r="B74" s="55"/>
      <c r="C74" s="55"/>
      <c r="D74" s="55"/>
      <c r="E74" s="55"/>
      <c r="F74" s="55"/>
      <c r="G74" s="55">
        <f t="shared" si="0"/>
        <v>0</v>
      </c>
      <c r="H74" s="55"/>
      <c r="I74" s="64"/>
    </row>
    <row r="75" spans="1:9" ht="13" x14ac:dyDescent="0.15">
      <c r="A75" s="53"/>
      <c r="B75" s="55"/>
      <c r="C75" s="55"/>
      <c r="D75" s="55"/>
      <c r="E75" s="55"/>
      <c r="F75" s="55"/>
      <c r="G75" s="55">
        <f t="shared" si="0"/>
        <v>0</v>
      </c>
      <c r="H75" s="55"/>
      <c r="I75" s="66"/>
    </row>
    <row r="76" spans="1:9" ht="13" x14ac:dyDescent="0.15">
      <c r="A76" s="53"/>
      <c r="B76" s="55"/>
      <c r="C76" s="55"/>
      <c r="D76" s="55"/>
      <c r="E76" s="55"/>
      <c r="F76" s="55"/>
      <c r="G76" s="55">
        <f t="shared" si="0"/>
        <v>0</v>
      </c>
      <c r="H76" s="55"/>
      <c r="I76" s="64"/>
    </row>
    <row r="77" spans="1:9" ht="13" x14ac:dyDescent="0.15">
      <c r="A77" s="53"/>
      <c r="B77" s="55"/>
      <c r="C77" s="55"/>
      <c r="D77" s="55"/>
      <c r="E77" s="55"/>
      <c r="F77" s="55"/>
      <c r="G77" s="55">
        <f t="shared" si="0"/>
        <v>0</v>
      </c>
      <c r="H77" s="55"/>
      <c r="I77" s="64"/>
    </row>
    <row r="78" spans="1:9" ht="13" x14ac:dyDescent="0.15">
      <c r="A78" s="53"/>
      <c r="B78" s="55"/>
      <c r="C78" s="55"/>
      <c r="D78" s="55"/>
      <c r="E78" s="55"/>
      <c r="F78" s="55"/>
      <c r="G78" s="55">
        <f t="shared" si="0"/>
        <v>0</v>
      </c>
      <c r="H78" s="55"/>
      <c r="I78" s="64"/>
    </row>
    <row r="79" spans="1:9" ht="13" x14ac:dyDescent="0.15">
      <c r="B79" s="61"/>
      <c r="C79" s="61"/>
      <c r="D79" s="61"/>
      <c r="E79" s="61"/>
      <c r="F79" s="61"/>
      <c r="G79" s="55">
        <f t="shared" si="0"/>
        <v>0</v>
      </c>
      <c r="H79" s="55"/>
      <c r="I79" s="65"/>
    </row>
    <row r="80" spans="1:9" ht="13" x14ac:dyDescent="0.15">
      <c r="A80" s="53"/>
      <c r="B80" s="55"/>
      <c r="C80" s="55"/>
      <c r="D80" s="55"/>
      <c r="E80" s="55"/>
      <c r="F80" s="55"/>
      <c r="G80" s="55">
        <f t="shared" si="0"/>
        <v>0</v>
      </c>
      <c r="H80" s="55"/>
      <c r="I80" s="64"/>
    </row>
    <row r="81" spans="1:9" ht="13" x14ac:dyDescent="0.15">
      <c r="A81" s="53"/>
      <c r="B81" s="55"/>
      <c r="C81" s="55"/>
      <c r="D81" s="55"/>
      <c r="E81" s="55"/>
      <c r="F81" s="55"/>
      <c r="G81" s="55">
        <f t="shared" si="0"/>
        <v>0</v>
      </c>
      <c r="H81" s="55"/>
      <c r="I81" s="64"/>
    </row>
    <row r="82" spans="1:9" ht="13" x14ac:dyDescent="0.15">
      <c r="A82" s="53"/>
      <c r="B82" s="55"/>
      <c r="C82" s="55"/>
      <c r="D82" s="55"/>
      <c r="E82" s="55"/>
      <c r="F82" s="55"/>
      <c r="G82" s="55">
        <f t="shared" si="0"/>
        <v>0</v>
      </c>
      <c r="H82" s="55"/>
      <c r="I82" s="64"/>
    </row>
    <row r="83" spans="1:9" ht="13" x14ac:dyDescent="0.15">
      <c r="A83" s="53"/>
      <c r="B83" s="55"/>
      <c r="C83" s="55"/>
      <c r="D83" s="55"/>
      <c r="E83" s="55"/>
      <c r="F83" s="55"/>
      <c r="G83" s="55">
        <f t="shared" si="0"/>
        <v>0</v>
      </c>
      <c r="H83" s="55"/>
      <c r="I83" s="64"/>
    </row>
    <row r="84" spans="1:9" ht="13" x14ac:dyDescent="0.15">
      <c r="A84" s="53"/>
      <c r="B84" s="55"/>
      <c r="C84" s="55"/>
      <c r="D84" s="55"/>
      <c r="E84" s="55"/>
      <c r="F84" s="55"/>
      <c r="G84" s="55">
        <f t="shared" si="0"/>
        <v>0</v>
      </c>
      <c r="H84" s="55"/>
      <c r="I84" s="64"/>
    </row>
    <row r="85" spans="1:9" ht="13" x14ac:dyDescent="0.15">
      <c r="A85" s="53"/>
      <c r="B85" s="55"/>
      <c r="C85" s="55"/>
      <c r="D85" s="55"/>
      <c r="E85" s="55"/>
      <c r="F85" s="55"/>
      <c r="G85" s="55">
        <f t="shared" si="0"/>
        <v>0</v>
      </c>
      <c r="H85" s="55"/>
      <c r="I85" s="64"/>
    </row>
    <row r="86" spans="1:9" ht="13" x14ac:dyDescent="0.15">
      <c r="A86" s="53"/>
      <c r="B86" s="55"/>
      <c r="C86" s="55"/>
      <c r="D86" s="55"/>
      <c r="E86" s="55"/>
      <c r="F86" s="55"/>
      <c r="G86" s="55">
        <f t="shared" si="0"/>
        <v>0</v>
      </c>
      <c r="H86" s="55"/>
      <c r="I86" s="64"/>
    </row>
    <row r="87" spans="1:9" ht="13" x14ac:dyDescent="0.15">
      <c r="A87" s="53"/>
      <c r="B87" s="55"/>
      <c r="C87" s="55"/>
      <c r="D87" s="55"/>
      <c r="E87" s="55"/>
      <c r="F87" s="55"/>
      <c r="G87" s="55">
        <f t="shared" si="0"/>
        <v>0</v>
      </c>
      <c r="H87" s="55"/>
      <c r="I87" s="64"/>
    </row>
    <row r="88" spans="1:9" ht="13" x14ac:dyDescent="0.15">
      <c r="A88" s="53"/>
      <c r="B88" s="55"/>
      <c r="C88" s="55"/>
      <c r="D88" s="55"/>
      <c r="E88" s="55"/>
      <c r="F88" s="55"/>
      <c r="G88" s="55">
        <f t="shared" si="0"/>
        <v>0</v>
      </c>
      <c r="H88" s="55"/>
      <c r="I88" s="64"/>
    </row>
    <row r="89" spans="1:9" ht="13" x14ac:dyDescent="0.15">
      <c r="A89" s="53"/>
      <c r="B89" s="55"/>
      <c r="C89" s="55"/>
      <c r="D89" s="55"/>
      <c r="E89" s="55"/>
      <c r="F89" s="55"/>
      <c r="G89" s="55">
        <f t="shared" si="0"/>
        <v>0</v>
      </c>
      <c r="H89" s="55"/>
      <c r="I89" s="64"/>
    </row>
    <row r="90" spans="1:9" ht="13" x14ac:dyDescent="0.15">
      <c r="B90" s="61"/>
      <c r="C90" s="61"/>
      <c r="D90" s="61"/>
      <c r="E90" s="61"/>
      <c r="F90" s="61"/>
      <c r="G90" s="55">
        <f t="shared" si="0"/>
        <v>0</v>
      </c>
      <c r="H90" s="55"/>
      <c r="I90" s="65"/>
    </row>
    <row r="91" spans="1:9" ht="13" x14ac:dyDescent="0.15">
      <c r="A91" s="53"/>
      <c r="B91" s="55"/>
      <c r="C91" s="55"/>
      <c r="D91" s="55"/>
      <c r="E91" s="55"/>
      <c r="F91" s="55"/>
      <c r="G91" s="55">
        <f t="shared" si="0"/>
        <v>0</v>
      </c>
      <c r="H91" s="55"/>
      <c r="I91" s="64"/>
    </row>
    <row r="92" spans="1:9" ht="13" x14ac:dyDescent="0.15">
      <c r="A92" s="53"/>
      <c r="B92" s="55"/>
      <c r="C92" s="55"/>
      <c r="D92" s="55"/>
      <c r="E92" s="55"/>
      <c r="F92" s="55"/>
      <c r="G92" s="55">
        <f t="shared" si="0"/>
        <v>0</v>
      </c>
      <c r="H92" s="55"/>
      <c r="I92" s="64"/>
    </row>
    <row r="93" spans="1:9" ht="13" x14ac:dyDescent="0.15">
      <c r="A93" s="53"/>
      <c r="B93" s="55"/>
      <c r="C93" s="55"/>
      <c r="D93" s="55"/>
      <c r="E93" s="55"/>
      <c r="F93" s="55"/>
      <c r="G93" s="55">
        <f t="shared" si="0"/>
        <v>0</v>
      </c>
      <c r="H93" s="55"/>
      <c r="I93" s="64"/>
    </row>
    <row r="94" spans="1:9" ht="13" x14ac:dyDescent="0.15">
      <c r="A94" s="53"/>
      <c r="B94" s="55"/>
      <c r="C94" s="55"/>
      <c r="D94" s="55"/>
      <c r="E94" s="55"/>
      <c r="F94" s="55"/>
      <c r="G94" s="55">
        <f t="shared" si="0"/>
        <v>0</v>
      </c>
      <c r="H94" s="55"/>
      <c r="I94" s="64"/>
    </row>
    <row r="95" spans="1:9" ht="13" x14ac:dyDescent="0.15">
      <c r="A95" s="53"/>
      <c r="B95" s="55"/>
      <c r="C95" s="55"/>
      <c r="D95" s="55"/>
      <c r="E95" s="55"/>
      <c r="F95" s="55"/>
      <c r="G95" s="55">
        <f t="shared" si="0"/>
        <v>0</v>
      </c>
      <c r="H95" s="55"/>
      <c r="I95" s="64"/>
    </row>
    <row r="96" spans="1:9" ht="13" x14ac:dyDescent="0.15">
      <c r="A96" s="53"/>
      <c r="B96" s="55"/>
      <c r="C96" s="55"/>
      <c r="D96" s="55"/>
      <c r="E96" s="55"/>
      <c r="F96" s="55"/>
      <c r="G96" s="55">
        <f t="shared" si="0"/>
        <v>0</v>
      </c>
      <c r="H96" s="55"/>
      <c r="I96" s="64"/>
    </row>
    <row r="97" spans="1:9" ht="13" x14ac:dyDescent="0.15">
      <c r="A97" s="53"/>
      <c r="B97" s="55"/>
      <c r="C97" s="55"/>
      <c r="D97" s="55"/>
      <c r="E97" s="55"/>
      <c r="F97" s="55"/>
      <c r="G97" s="55">
        <f t="shared" si="0"/>
        <v>0</v>
      </c>
      <c r="H97" s="55"/>
      <c r="I97" s="64"/>
    </row>
    <row r="98" spans="1:9" ht="13" x14ac:dyDescent="0.15">
      <c r="A98" s="53"/>
      <c r="B98" s="55"/>
      <c r="C98" s="55"/>
      <c r="D98" s="55"/>
      <c r="E98" s="55"/>
      <c r="F98" s="55"/>
      <c r="G98" s="55">
        <f t="shared" si="0"/>
        <v>0</v>
      </c>
      <c r="H98" s="55"/>
      <c r="I98" s="64"/>
    </row>
    <row r="99" spans="1:9" ht="13" x14ac:dyDescent="0.15">
      <c r="A99" s="53"/>
      <c r="B99" s="55"/>
      <c r="C99" s="55"/>
      <c r="D99" s="55"/>
      <c r="E99" s="55"/>
      <c r="F99" s="55"/>
      <c r="G99" s="55">
        <f t="shared" si="0"/>
        <v>0</v>
      </c>
      <c r="H99" s="55"/>
      <c r="I99" s="64"/>
    </row>
    <row r="100" spans="1:9" ht="13" x14ac:dyDescent="0.15">
      <c r="A100" s="53"/>
      <c r="B100" s="55"/>
      <c r="C100" s="55"/>
      <c r="D100" s="55"/>
      <c r="E100" s="55"/>
      <c r="F100" s="55"/>
      <c r="G100" s="55">
        <f t="shared" si="0"/>
        <v>0</v>
      </c>
      <c r="H100" s="55"/>
      <c r="I100" s="64"/>
    </row>
    <row r="101" spans="1:9" ht="13" x14ac:dyDescent="0.15">
      <c r="B101" s="61"/>
      <c r="C101" s="61"/>
      <c r="D101" s="61"/>
      <c r="E101" s="61"/>
      <c r="F101" s="61"/>
      <c r="G101" s="55">
        <f t="shared" si="0"/>
        <v>0</v>
      </c>
      <c r="H101" s="55"/>
      <c r="I101" s="65"/>
    </row>
    <row r="102" spans="1:9" ht="13" x14ac:dyDescent="0.15">
      <c r="A102" s="53"/>
      <c r="B102" s="55"/>
      <c r="C102" s="55"/>
      <c r="D102" s="55"/>
      <c r="E102" s="55"/>
      <c r="F102" s="55"/>
      <c r="G102" s="55">
        <f t="shared" si="0"/>
        <v>0</v>
      </c>
      <c r="H102" s="55"/>
      <c r="I102" s="64"/>
    </row>
    <row r="103" spans="1:9" ht="13" x14ac:dyDescent="0.15">
      <c r="A103" s="53"/>
      <c r="B103" s="55"/>
      <c r="C103" s="55"/>
      <c r="D103" s="55"/>
      <c r="E103" s="55"/>
      <c r="F103" s="55"/>
      <c r="G103" s="55">
        <f t="shared" si="0"/>
        <v>0</v>
      </c>
      <c r="H103" s="55"/>
      <c r="I103" s="64"/>
    </row>
    <row r="104" spans="1:9" ht="13" x14ac:dyDescent="0.15">
      <c r="A104" s="53"/>
      <c r="B104" s="55"/>
      <c r="C104" s="55"/>
      <c r="D104" s="55"/>
      <c r="E104" s="55"/>
      <c r="F104" s="55"/>
      <c r="G104" s="55">
        <f t="shared" si="0"/>
        <v>0</v>
      </c>
      <c r="H104" s="55"/>
      <c r="I104" s="64"/>
    </row>
    <row r="105" spans="1:9" ht="13" x14ac:dyDescent="0.15">
      <c r="A105" s="53"/>
      <c r="B105" s="55"/>
      <c r="C105" s="55"/>
      <c r="D105" s="55"/>
      <c r="E105" s="55"/>
      <c r="F105" s="55"/>
      <c r="G105" s="55">
        <f t="shared" si="0"/>
        <v>0</v>
      </c>
      <c r="H105" s="55"/>
      <c r="I105" s="64"/>
    </row>
    <row r="106" spans="1:9" ht="13" x14ac:dyDescent="0.15">
      <c r="A106" s="53"/>
      <c r="B106" s="55"/>
      <c r="C106" s="55"/>
      <c r="D106" s="55"/>
      <c r="E106" s="55"/>
      <c r="F106" s="55"/>
      <c r="G106" s="55">
        <f t="shared" si="0"/>
        <v>0</v>
      </c>
      <c r="H106" s="55"/>
      <c r="I106" s="64"/>
    </row>
    <row r="107" spans="1:9" ht="13" x14ac:dyDescent="0.15">
      <c r="A107" s="53"/>
      <c r="B107" s="55"/>
      <c r="C107" s="55"/>
      <c r="D107" s="55"/>
      <c r="E107" s="55"/>
      <c r="F107" s="55"/>
      <c r="G107" s="55">
        <f t="shared" si="0"/>
        <v>0</v>
      </c>
      <c r="H107" s="55"/>
      <c r="I107" s="64"/>
    </row>
    <row r="108" spans="1:9" ht="13" x14ac:dyDescent="0.15">
      <c r="A108" s="53"/>
      <c r="B108" s="55"/>
      <c r="C108" s="55"/>
      <c r="D108" s="55"/>
      <c r="E108" s="55"/>
      <c r="F108" s="55"/>
      <c r="G108" s="55">
        <f t="shared" si="0"/>
        <v>0</v>
      </c>
      <c r="H108" s="55"/>
      <c r="I108" s="64"/>
    </row>
    <row r="109" spans="1:9" ht="13" x14ac:dyDescent="0.15">
      <c r="A109" s="53"/>
      <c r="B109" s="55"/>
      <c r="C109" s="55"/>
      <c r="D109" s="55"/>
      <c r="E109" s="55"/>
      <c r="F109" s="55"/>
      <c r="G109" s="55">
        <f t="shared" si="0"/>
        <v>0</v>
      </c>
      <c r="H109" s="55"/>
      <c r="I109" s="64"/>
    </row>
    <row r="110" spans="1:9" ht="13" x14ac:dyDescent="0.15">
      <c r="A110" s="53"/>
      <c r="B110" s="55"/>
      <c r="C110" s="55"/>
      <c r="D110" s="55"/>
      <c r="E110" s="55"/>
      <c r="F110" s="55"/>
      <c r="G110" s="55">
        <f t="shared" si="0"/>
        <v>0</v>
      </c>
      <c r="H110" s="55"/>
      <c r="I110" s="64"/>
    </row>
    <row r="111" spans="1:9" ht="13" x14ac:dyDescent="0.15">
      <c r="A111" s="53"/>
      <c r="B111" s="55"/>
      <c r="C111" s="55"/>
      <c r="D111" s="55"/>
      <c r="E111" s="55"/>
      <c r="F111" s="55"/>
      <c r="G111" s="55">
        <f t="shared" si="0"/>
        <v>0</v>
      </c>
      <c r="H111" s="55"/>
      <c r="I111" s="65"/>
    </row>
    <row r="112" spans="1:9" ht="13" x14ac:dyDescent="0.15">
      <c r="B112" s="61"/>
      <c r="C112" s="61"/>
      <c r="D112" s="61"/>
      <c r="E112" s="61"/>
      <c r="F112" s="61"/>
      <c r="G112" s="55">
        <f t="shared" si="0"/>
        <v>0</v>
      </c>
      <c r="H112" s="55"/>
      <c r="I112" s="65"/>
    </row>
    <row r="113" spans="1:9" ht="13" x14ac:dyDescent="0.15">
      <c r="A113" s="53"/>
      <c r="B113" s="55"/>
      <c r="C113" s="55"/>
      <c r="D113" s="55"/>
      <c r="E113" s="55"/>
      <c r="F113" s="55"/>
      <c r="G113" s="55">
        <f t="shared" si="0"/>
        <v>0</v>
      </c>
      <c r="H113" s="55"/>
      <c r="I113" s="64"/>
    </row>
    <row r="114" spans="1:9" ht="13" x14ac:dyDescent="0.15">
      <c r="A114" s="53"/>
      <c r="B114" s="55"/>
      <c r="C114" s="55"/>
      <c r="D114" s="55"/>
      <c r="E114" s="55"/>
      <c r="F114" s="55"/>
      <c r="G114" s="55">
        <f t="shared" si="0"/>
        <v>0</v>
      </c>
      <c r="H114" s="55"/>
      <c r="I114" s="64"/>
    </row>
    <row r="115" spans="1:9" ht="13" x14ac:dyDescent="0.15">
      <c r="A115" s="53"/>
      <c r="B115" s="55"/>
      <c r="C115" s="55"/>
      <c r="D115" s="55"/>
      <c r="E115" s="55"/>
      <c r="F115" s="55"/>
      <c r="G115" s="55">
        <f t="shared" si="0"/>
        <v>0</v>
      </c>
      <c r="H115" s="55"/>
      <c r="I115" s="64"/>
    </row>
    <row r="116" spans="1:9" ht="13" x14ac:dyDescent="0.15">
      <c r="A116" s="53"/>
      <c r="B116" s="55"/>
      <c r="C116" s="55"/>
      <c r="D116" s="55"/>
      <c r="E116" s="55"/>
      <c r="F116" s="55"/>
      <c r="G116" s="55">
        <f t="shared" si="0"/>
        <v>0</v>
      </c>
      <c r="H116" s="55"/>
      <c r="I116" s="64"/>
    </row>
    <row r="117" spans="1:9" ht="13" x14ac:dyDescent="0.15">
      <c r="A117" s="60"/>
      <c r="B117" s="55"/>
      <c r="C117" s="55"/>
      <c r="D117" s="55"/>
      <c r="E117" s="55"/>
      <c r="F117" s="55"/>
      <c r="G117" s="55">
        <f t="shared" si="0"/>
        <v>0</v>
      </c>
      <c r="H117" s="55"/>
      <c r="I117" s="64"/>
    </row>
    <row r="118" spans="1:9" ht="13" x14ac:dyDescent="0.15">
      <c r="A118" s="53"/>
      <c r="B118" s="55"/>
      <c r="C118" s="55"/>
      <c r="D118" s="55"/>
      <c r="E118" s="55"/>
      <c r="F118" s="55"/>
      <c r="G118" s="55">
        <f t="shared" si="0"/>
        <v>0</v>
      </c>
      <c r="H118" s="55"/>
      <c r="I118" s="64"/>
    </row>
    <row r="119" spans="1:9" ht="13" x14ac:dyDescent="0.15">
      <c r="A119" s="53"/>
      <c r="B119" s="55"/>
      <c r="C119" s="55"/>
      <c r="D119" s="55"/>
      <c r="E119" s="55"/>
      <c r="F119" s="55"/>
      <c r="G119" s="55">
        <f t="shared" si="0"/>
        <v>0</v>
      </c>
      <c r="H119" s="55"/>
      <c r="I119" s="64"/>
    </row>
    <row r="120" spans="1:9" ht="13" x14ac:dyDescent="0.15">
      <c r="A120" s="53"/>
      <c r="B120" s="55"/>
      <c r="C120" s="55"/>
      <c r="D120" s="55"/>
      <c r="E120" s="55"/>
      <c r="F120" s="55"/>
      <c r="G120" s="55">
        <f t="shared" si="0"/>
        <v>0</v>
      </c>
      <c r="H120" s="55"/>
      <c r="I120" s="64"/>
    </row>
    <row r="121" spans="1:9" ht="13" x14ac:dyDescent="0.15">
      <c r="A121" s="53"/>
      <c r="B121" s="55"/>
      <c r="C121" s="55"/>
      <c r="D121" s="55"/>
      <c r="E121" s="55"/>
      <c r="F121" s="55"/>
      <c r="G121" s="55">
        <f t="shared" si="0"/>
        <v>0</v>
      </c>
      <c r="H121" s="55"/>
      <c r="I121" s="64"/>
    </row>
    <row r="122" spans="1:9" ht="13" x14ac:dyDescent="0.15">
      <c r="A122" s="53"/>
      <c r="B122" s="55"/>
      <c r="C122" s="55"/>
      <c r="D122" s="55"/>
      <c r="E122" s="55"/>
      <c r="F122" s="55"/>
      <c r="G122" s="55">
        <f t="shared" si="0"/>
        <v>0</v>
      </c>
      <c r="H122" s="55"/>
      <c r="I122" s="64"/>
    </row>
    <row r="123" spans="1:9" ht="13" x14ac:dyDescent="0.15">
      <c r="B123" s="61"/>
      <c r="C123" s="61"/>
      <c r="D123" s="61"/>
      <c r="E123" s="61"/>
      <c r="F123" s="61"/>
      <c r="G123" s="55">
        <f t="shared" si="0"/>
        <v>0</v>
      </c>
      <c r="H123" s="55"/>
      <c r="I123" s="65"/>
    </row>
    <row r="124" spans="1:9" ht="13" x14ac:dyDescent="0.15">
      <c r="A124" s="53"/>
      <c r="B124" s="55"/>
      <c r="C124" s="55"/>
      <c r="D124" s="55"/>
      <c r="E124" s="55"/>
      <c r="F124" s="55"/>
      <c r="G124" s="55">
        <f t="shared" si="0"/>
        <v>0</v>
      </c>
      <c r="H124" s="55"/>
      <c r="I124" s="64"/>
    </row>
    <row r="125" spans="1:9" ht="13" x14ac:dyDescent="0.15">
      <c r="A125" s="53"/>
      <c r="B125" s="55"/>
      <c r="C125" s="55"/>
      <c r="D125" s="55"/>
      <c r="E125" s="55"/>
      <c r="F125" s="55"/>
      <c r="G125" s="55">
        <f t="shared" si="0"/>
        <v>0</v>
      </c>
      <c r="H125" s="55"/>
      <c r="I125" s="64"/>
    </row>
    <row r="126" spans="1:9" ht="13" x14ac:dyDescent="0.15">
      <c r="A126" s="53"/>
      <c r="B126" s="55"/>
      <c r="C126" s="55"/>
      <c r="D126" s="55"/>
      <c r="E126" s="55"/>
      <c r="F126" s="55"/>
      <c r="G126" s="55">
        <f t="shared" si="0"/>
        <v>0</v>
      </c>
      <c r="H126" s="55"/>
      <c r="I126" s="64"/>
    </row>
    <row r="127" spans="1:9" ht="13" x14ac:dyDescent="0.15">
      <c r="A127" s="60"/>
      <c r="B127" s="55"/>
      <c r="C127" s="55"/>
      <c r="D127" s="55"/>
      <c r="E127" s="55"/>
      <c r="F127" s="55"/>
      <c r="G127" s="55">
        <f t="shared" si="0"/>
        <v>0</v>
      </c>
      <c r="H127" s="55"/>
      <c r="I127" s="64"/>
    </row>
    <row r="128" spans="1:9" ht="13" x14ac:dyDescent="0.15">
      <c r="A128" s="60"/>
      <c r="B128" s="61"/>
      <c r="C128" s="61"/>
      <c r="D128" s="61"/>
      <c r="E128" s="61"/>
      <c r="F128" s="61"/>
      <c r="G128" s="55">
        <f t="shared" si="0"/>
        <v>0</v>
      </c>
      <c r="H128" s="55"/>
      <c r="I128" s="65"/>
    </row>
    <row r="129" spans="1:9" ht="13" x14ac:dyDescent="0.15">
      <c r="A129" s="60"/>
      <c r="B129" s="61"/>
      <c r="C129" s="61"/>
      <c r="D129" s="61"/>
      <c r="E129" s="61"/>
      <c r="F129" s="61"/>
      <c r="G129" s="55">
        <f t="shared" si="0"/>
        <v>0</v>
      </c>
      <c r="H129" s="55"/>
      <c r="I129" s="65"/>
    </row>
    <row r="130" spans="1:9" ht="13" x14ac:dyDescent="0.15">
      <c r="A130" s="60"/>
      <c r="B130" s="61"/>
      <c r="C130" s="61"/>
      <c r="D130" s="61"/>
      <c r="E130" s="61"/>
      <c r="F130" s="61"/>
      <c r="G130" s="55">
        <f t="shared" si="0"/>
        <v>0</v>
      </c>
      <c r="H130" s="55"/>
      <c r="I130" s="65"/>
    </row>
    <row r="131" spans="1:9" ht="13" x14ac:dyDescent="0.15">
      <c r="A131" s="60"/>
      <c r="B131" s="61"/>
      <c r="C131" s="61"/>
      <c r="D131" s="61"/>
      <c r="E131" s="61"/>
      <c r="F131" s="61"/>
      <c r="G131" s="55">
        <f t="shared" si="0"/>
        <v>0</v>
      </c>
      <c r="H131" s="55"/>
      <c r="I131" s="65"/>
    </row>
    <row r="132" spans="1:9" ht="13" x14ac:dyDescent="0.15">
      <c r="A132" s="60"/>
      <c r="B132" s="61"/>
      <c r="C132" s="61"/>
      <c r="D132" s="61"/>
      <c r="E132" s="61"/>
      <c r="F132" s="61"/>
      <c r="G132" s="55">
        <f t="shared" si="0"/>
        <v>0</v>
      </c>
      <c r="H132" s="55"/>
      <c r="I132" s="65"/>
    </row>
    <row r="133" spans="1:9" ht="13" x14ac:dyDescent="0.15">
      <c r="A133" s="60"/>
      <c r="B133" s="61"/>
      <c r="C133" s="61"/>
      <c r="D133" s="61"/>
      <c r="E133" s="61"/>
      <c r="F133" s="61"/>
      <c r="G133" s="55">
        <f t="shared" si="0"/>
        <v>0</v>
      </c>
      <c r="H133" s="55"/>
      <c r="I133" s="65"/>
    </row>
    <row r="134" spans="1:9" ht="13" x14ac:dyDescent="0.15">
      <c r="A134" s="67"/>
      <c r="B134" s="61"/>
      <c r="C134" s="61"/>
      <c r="D134" s="61"/>
      <c r="E134" s="61"/>
      <c r="F134" s="61"/>
      <c r="G134" s="55">
        <f t="shared" si="0"/>
        <v>0</v>
      </c>
      <c r="H134" s="55"/>
      <c r="I134" s="65"/>
    </row>
    <row r="135" spans="1:9" ht="13" x14ac:dyDescent="0.15">
      <c r="B135" s="61"/>
      <c r="C135" s="61"/>
      <c r="D135" s="61"/>
      <c r="E135" s="61"/>
      <c r="F135" s="61"/>
      <c r="G135" s="55">
        <f t="shared" si="0"/>
        <v>0</v>
      </c>
      <c r="H135" s="55"/>
      <c r="I135" s="65"/>
    </row>
    <row r="136" spans="1:9" ht="13" x14ac:dyDescent="0.15">
      <c r="B136" s="61"/>
      <c r="C136" s="61"/>
      <c r="D136" s="61"/>
      <c r="E136" s="61"/>
      <c r="F136" s="61"/>
      <c r="G136" s="55">
        <f t="shared" si="0"/>
        <v>0</v>
      </c>
      <c r="H136" s="55"/>
      <c r="I136" s="65"/>
    </row>
    <row r="137" spans="1:9" ht="13" x14ac:dyDescent="0.15">
      <c r="B137" s="61"/>
      <c r="C137" s="61"/>
      <c r="D137" s="61"/>
      <c r="E137" s="61"/>
      <c r="F137" s="61"/>
      <c r="G137" s="55">
        <f t="shared" si="0"/>
        <v>0</v>
      </c>
      <c r="H137" s="55"/>
      <c r="I137" s="65"/>
    </row>
    <row r="138" spans="1:9" ht="13" x14ac:dyDescent="0.15">
      <c r="B138" s="61"/>
      <c r="C138" s="61"/>
      <c r="D138" s="61"/>
      <c r="E138" s="61"/>
      <c r="F138" s="61"/>
      <c r="G138" s="55">
        <f t="shared" si="0"/>
        <v>0</v>
      </c>
      <c r="H138" s="55"/>
      <c r="I138" s="65"/>
    </row>
    <row r="139" spans="1:9" ht="13" x14ac:dyDescent="0.15">
      <c r="B139" s="61"/>
      <c r="C139" s="61"/>
      <c r="D139" s="61"/>
      <c r="E139" s="61"/>
      <c r="F139" s="61"/>
      <c r="G139" s="55">
        <f t="shared" si="0"/>
        <v>0</v>
      </c>
      <c r="H139" s="55"/>
      <c r="I139" s="65"/>
    </row>
    <row r="140" spans="1:9" ht="13" x14ac:dyDescent="0.15">
      <c r="B140" s="61"/>
      <c r="C140" s="61"/>
      <c r="D140" s="61"/>
      <c r="E140" s="61"/>
      <c r="F140" s="61"/>
      <c r="G140" s="55">
        <f t="shared" si="0"/>
        <v>0</v>
      </c>
      <c r="H140" s="55"/>
      <c r="I140" s="65"/>
    </row>
    <row r="141" spans="1:9" ht="13" x14ac:dyDescent="0.15">
      <c r="B141" s="61"/>
      <c r="C141" s="61"/>
      <c r="D141" s="61"/>
      <c r="E141" s="61"/>
      <c r="F141" s="61"/>
      <c r="G141" s="55">
        <f t="shared" si="0"/>
        <v>0</v>
      </c>
      <c r="H141" s="55"/>
      <c r="I141" s="65"/>
    </row>
    <row r="142" spans="1:9" ht="13" x14ac:dyDescent="0.15">
      <c r="B142" s="61"/>
      <c r="C142" s="61"/>
      <c r="D142" s="61"/>
      <c r="E142" s="61"/>
      <c r="F142" s="61"/>
      <c r="G142" s="55">
        <f t="shared" si="0"/>
        <v>0</v>
      </c>
      <c r="H142" s="55"/>
      <c r="I142" s="65"/>
    </row>
    <row r="143" spans="1:9" ht="13" x14ac:dyDescent="0.15">
      <c r="B143" s="61"/>
      <c r="C143" s="61"/>
      <c r="D143" s="61"/>
      <c r="E143" s="61"/>
      <c r="F143" s="61"/>
      <c r="G143" s="55">
        <f t="shared" si="0"/>
        <v>0</v>
      </c>
      <c r="H143" s="55"/>
      <c r="I143" s="65"/>
    </row>
    <row r="144" spans="1:9" ht="13" x14ac:dyDescent="0.15">
      <c r="B144" s="61"/>
      <c r="C144" s="61"/>
      <c r="D144" s="61"/>
      <c r="E144" s="61"/>
      <c r="F144" s="61"/>
      <c r="G144" s="55">
        <f t="shared" si="0"/>
        <v>0</v>
      </c>
      <c r="H144" s="55"/>
      <c r="I144" s="65"/>
    </row>
    <row r="145" spans="2:9" ht="13" x14ac:dyDescent="0.15">
      <c r="B145" s="61"/>
      <c r="C145" s="61"/>
      <c r="D145" s="61"/>
      <c r="E145" s="61"/>
      <c r="F145" s="61"/>
      <c r="G145" s="55">
        <f t="shared" si="0"/>
        <v>0</v>
      </c>
      <c r="H145" s="55"/>
      <c r="I145" s="65"/>
    </row>
    <row r="146" spans="2:9" ht="13" x14ac:dyDescent="0.15">
      <c r="B146" s="61"/>
      <c r="C146" s="61"/>
      <c r="D146" s="61"/>
      <c r="E146" s="61"/>
      <c r="F146" s="61"/>
      <c r="G146" s="55">
        <f t="shared" si="0"/>
        <v>0</v>
      </c>
      <c r="H146" s="55"/>
      <c r="I146" s="65"/>
    </row>
    <row r="147" spans="2:9" ht="13" x14ac:dyDescent="0.15">
      <c r="B147" s="61"/>
      <c r="C147" s="61"/>
      <c r="D147" s="61"/>
      <c r="E147" s="61"/>
      <c r="F147" s="61"/>
      <c r="G147" s="55">
        <f t="shared" si="0"/>
        <v>0</v>
      </c>
      <c r="H147" s="55"/>
      <c r="I147" s="65"/>
    </row>
    <row r="148" spans="2:9" ht="13" x14ac:dyDescent="0.15">
      <c r="B148" s="61"/>
      <c r="C148" s="61"/>
      <c r="D148" s="61"/>
      <c r="E148" s="61"/>
      <c r="F148" s="61"/>
      <c r="G148" s="55">
        <f t="shared" si="0"/>
        <v>0</v>
      </c>
      <c r="H148" s="55"/>
      <c r="I148" s="65"/>
    </row>
    <row r="149" spans="2:9" ht="13" x14ac:dyDescent="0.15">
      <c r="B149" s="61"/>
      <c r="C149" s="61"/>
      <c r="D149" s="61"/>
      <c r="E149" s="61"/>
      <c r="F149" s="61"/>
      <c r="G149" s="55">
        <f t="shared" si="0"/>
        <v>0</v>
      </c>
      <c r="H149" s="55"/>
      <c r="I149" s="65"/>
    </row>
    <row r="150" spans="2:9" ht="13" x14ac:dyDescent="0.15">
      <c r="B150" s="61"/>
      <c r="C150" s="61"/>
      <c r="D150" s="61"/>
      <c r="E150" s="61"/>
      <c r="F150" s="61"/>
      <c r="G150" s="55">
        <f t="shared" si="0"/>
        <v>0</v>
      </c>
      <c r="H150" s="55"/>
      <c r="I150" s="65"/>
    </row>
    <row r="151" spans="2:9" ht="13" x14ac:dyDescent="0.15">
      <c r="B151" s="61"/>
      <c r="C151" s="61"/>
      <c r="D151" s="61"/>
      <c r="E151" s="61"/>
      <c r="F151" s="61"/>
      <c r="G151" s="55">
        <f t="shared" si="0"/>
        <v>0</v>
      </c>
      <c r="H151" s="55"/>
      <c r="I151" s="65"/>
    </row>
    <row r="152" spans="2:9" ht="13" x14ac:dyDescent="0.15">
      <c r="B152" s="61"/>
      <c r="C152" s="61"/>
      <c r="D152" s="61"/>
      <c r="E152" s="61"/>
      <c r="F152" s="61"/>
      <c r="G152" s="55">
        <f t="shared" si="0"/>
        <v>0</v>
      </c>
      <c r="H152" s="55"/>
      <c r="I152" s="65"/>
    </row>
    <row r="153" spans="2:9" ht="13" x14ac:dyDescent="0.15">
      <c r="B153" s="61"/>
      <c r="C153" s="61"/>
      <c r="D153" s="61"/>
      <c r="E153" s="61"/>
      <c r="F153" s="61"/>
      <c r="G153" s="55">
        <f t="shared" si="0"/>
        <v>0</v>
      </c>
      <c r="H153" s="55"/>
      <c r="I153" s="65"/>
    </row>
    <row r="154" spans="2:9" ht="13" x14ac:dyDescent="0.15">
      <c r="B154" s="61"/>
      <c r="C154" s="61"/>
      <c r="D154" s="61"/>
      <c r="E154" s="61"/>
      <c r="F154" s="61"/>
      <c r="G154" s="55">
        <f t="shared" si="0"/>
        <v>0</v>
      </c>
      <c r="H154" s="55"/>
      <c r="I154" s="65"/>
    </row>
    <row r="155" spans="2:9" ht="13" x14ac:dyDescent="0.15">
      <c r="B155" s="61"/>
      <c r="C155" s="61"/>
      <c r="D155" s="61"/>
      <c r="E155" s="61"/>
      <c r="F155" s="61"/>
      <c r="G155" s="55">
        <f t="shared" si="0"/>
        <v>0</v>
      </c>
      <c r="H155" s="55"/>
      <c r="I155" s="65"/>
    </row>
    <row r="156" spans="2:9" ht="13" x14ac:dyDescent="0.15">
      <c r="B156" s="61"/>
      <c r="C156" s="61"/>
      <c r="D156" s="61"/>
      <c r="E156" s="61"/>
      <c r="F156" s="61"/>
      <c r="G156" s="55">
        <f t="shared" si="0"/>
        <v>0</v>
      </c>
      <c r="H156" s="55"/>
      <c r="I156" s="65"/>
    </row>
    <row r="157" spans="2:9" ht="13" x14ac:dyDescent="0.15">
      <c r="B157" s="61"/>
      <c r="C157" s="61"/>
      <c r="D157" s="61"/>
      <c r="E157" s="61"/>
      <c r="F157" s="61"/>
      <c r="G157" s="55">
        <f t="shared" si="0"/>
        <v>0</v>
      </c>
      <c r="H157" s="55"/>
      <c r="I157" s="65"/>
    </row>
    <row r="158" spans="2:9" ht="13" x14ac:dyDescent="0.15">
      <c r="B158" s="61"/>
      <c r="C158" s="61"/>
      <c r="D158" s="61"/>
      <c r="E158" s="61"/>
      <c r="F158" s="61"/>
      <c r="G158" s="55">
        <f t="shared" si="0"/>
        <v>0</v>
      </c>
      <c r="H158" s="55"/>
      <c r="I158" s="65"/>
    </row>
    <row r="159" spans="2:9" ht="13" x14ac:dyDescent="0.15">
      <c r="B159" s="61"/>
      <c r="C159" s="61"/>
      <c r="D159" s="61"/>
      <c r="E159" s="61"/>
      <c r="F159" s="61"/>
      <c r="G159" s="55">
        <f t="shared" si="0"/>
        <v>0</v>
      </c>
      <c r="H159" s="55"/>
      <c r="I159" s="65"/>
    </row>
    <row r="160" spans="2:9" ht="13" x14ac:dyDescent="0.15">
      <c r="B160" s="61"/>
      <c r="C160" s="61"/>
      <c r="D160" s="61"/>
      <c r="E160" s="61"/>
      <c r="F160" s="61"/>
      <c r="G160" s="55">
        <f t="shared" si="0"/>
        <v>0</v>
      </c>
      <c r="H160" s="55"/>
      <c r="I160" s="65"/>
    </row>
    <row r="161" spans="2:9" ht="13" x14ac:dyDescent="0.15">
      <c r="B161" s="61"/>
      <c r="C161" s="61"/>
      <c r="D161" s="61"/>
      <c r="E161" s="61"/>
      <c r="F161" s="61"/>
      <c r="G161" s="55">
        <f t="shared" si="0"/>
        <v>0</v>
      </c>
      <c r="H161" s="55"/>
      <c r="I161" s="65"/>
    </row>
    <row r="162" spans="2:9" ht="13" x14ac:dyDescent="0.15">
      <c r="B162" s="61"/>
      <c r="C162" s="61"/>
      <c r="D162" s="61"/>
      <c r="E162" s="61"/>
      <c r="F162" s="61"/>
      <c r="G162" s="55">
        <f t="shared" si="0"/>
        <v>0</v>
      </c>
      <c r="H162" s="55"/>
      <c r="I162" s="65"/>
    </row>
    <row r="163" spans="2:9" ht="13" x14ac:dyDescent="0.15">
      <c r="B163" s="61"/>
      <c r="C163" s="61"/>
      <c r="D163" s="61"/>
      <c r="E163" s="61"/>
      <c r="F163" s="61"/>
      <c r="G163" s="55">
        <f t="shared" si="0"/>
        <v>0</v>
      </c>
      <c r="H163" s="55"/>
      <c r="I163" s="65"/>
    </row>
    <row r="164" spans="2:9" ht="13" x14ac:dyDescent="0.15">
      <c r="B164" s="61"/>
      <c r="C164" s="61"/>
      <c r="D164" s="61"/>
      <c r="E164" s="61"/>
      <c r="F164" s="61"/>
      <c r="G164" s="55">
        <f t="shared" si="0"/>
        <v>0</v>
      </c>
      <c r="H164" s="55"/>
      <c r="I164" s="65"/>
    </row>
    <row r="165" spans="2:9" ht="13" x14ac:dyDescent="0.15">
      <c r="B165" s="61"/>
      <c r="C165" s="61"/>
      <c r="D165" s="61"/>
      <c r="E165" s="61"/>
      <c r="F165" s="61"/>
      <c r="G165" s="55">
        <f t="shared" si="0"/>
        <v>0</v>
      </c>
      <c r="H165" s="55"/>
      <c r="I165" s="65"/>
    </row>
    <row r="166" spans="2:9" ht="13" x14ac:dyDescent="0.15">
      <c r="B166" s="61"/>
      <c r="C166" s="61"/>
      <c r="D166" s="61"/>
      <c r="E166" s="61"/>
      <c r="F166" s="61"/>
      <c r="G166" s="55">
        <f t="shared" si="0"/>
        <v>0</v>
      </c>
      <c r="H166" s="55"/>
      <c r="I166" s="65"/>
    </row>
    <row r="167" spans="2:9" ht="13" x14ac:dyDescent="0.15">
      <c r="B167" s="61"/>
      <c r="C167" s="61"/>
      <c r="D167" s="61"/>
      <c r="E167" s="61"/>
      <c r="F167" s="61"/>
      <c r="G167" s="55">
        <f t="shared" si="0"/>
        <v>0</v>
      </c>
      <c r="H167" s="55"/>
      <c r="I167" s="65"/>
    </row>
    <row r="168" spans="2:9" ht="13" x14ac:dyDescent="0.15">
      <c r="B168" s="61"/>
      <c r="C168" s="61"/>
      <c r="D168" s="61"/>
      <c r="E168" s="61"/>
      <c r="F168" s="61"/>
      <c r="G168" s="55">
        <f t="shared" si="0"/>
        <v>0</v>
      </c>
      <c r="H168" s="55"/>
      <c r="I168" s="65"/>
    </row>
    <row r="169" spans="2:9" ht="13" x14ac:dyDescent="0.15">
      <c r="B169" s="61"/>
      <c r="C169" s="61"/>
      <c r="D169" s="61"/>
      <c r="E169" s="61"/>
      <c r="F169" s="61"/>
      <c r="G169" s="55">
        <f t="shared" si="0"/>
        <v>0</v>
      </c>
      <c r="H169" s="55"/>
      <c r="I169" s="65"/>
    </row>
    <row r="170" spans="2:9" ht="13" x14ac:dyDescent="0.15">
      <c r="B170" s="61"/>
      <c r="C170" s="61"/>
      <c r="D170" s="61"/>
      <c r="E170" s="61"/>
      <c r="F170" s="61"/>
      <c r="G170" s="55">
        <f t="shared" si="0"/>
        <v>0</v>
      </c>
      <c r="H170" s="55"/>
      <c r="I170" s="65"/>
    </row>
    <row r="171" spans="2:9" ht="13" x14ac:dyDescent="0.15">
      <c r="B171" s="61"/>
      <c r="C171" s="61"/>
      <c r="D171" s="61"/>
      <c r="E171" s="61"/>
      <c r="F171" s="61"/>
      <c r="G171" s="55">
        <f t="shared" si="0"/>
        <v>0</v>
      </c>
      <c r="H171" s="55"/>
      <c r="I171" s="65"/>
    </row>
    <row r="172" spans="2:9" ht="13" x14ac:dyDescent="0.15">
      <c r="B172" s="61"/>
      <c r="C172" s="61"/>
      <c r="D172" s="61"/>
      <c r="E172" s="61"/>
      <c r="F172" s="61"/>
      <c r="G172" s="55">
        <f t="shared" si="0"/>
        <v>0</v>
      </c>
      <c r="H172" s="55"/>
      <c r="I172" s="65"/>
    </row>
    <row r="173" spans="2:9" ht="13" x14ac:dyDescent="0.15">
      <c r="B173" s="61"/>
      <c r="C173" s="61"/>
      <c r="D173" s="61"/>
      <c r="E173" s="61"/>
      <c r="F173" s="61"/>
      <c r="G173" s="55">
        <f t="shared" si="0"/>
        <v>0</v>
      </c>
      <c r="H173" s="55"/>
      <c r="I173" s="65"/>
    </row>
    <row r="174" spans="2:9" ht="13" x14ac:dyDescent="0.15">
      <c r="B174" s="61"/>
      <c r="C174" s="61"/>
      <c r="D174" s="61"/>
      <c r="E174" s="61"/>
      <c r="F174" s="61"/>
      <c r="G174" s="55">
        <f t="shared" si="0"/>
        <v>0</v>
      </c>
      <c r="H174" s="55"/>
      <c r="I174" s="65"/>
    </row>
    <row r="175" spans="2:9" ht="13" x14ac:dyDescent="0.15">
      <c r="B175" s="61"/>
      <c r="C175" s="61"/>
      <c r="D175" s="61"/>
      <c r="E175" s="61"/>
      <c r="F175" s="61"/>
      <c r="G175" s="55">
        <f t="shared" si="0"/>
        <v>0</v>
      </c>
      <c r="H175" s="55"/>
      <c r="I175" s="65"/>
    </row>
    <row r="176" spans="2:9" ht="13" x14ac:dyDescent="0.15">
      <c r="B176" s="61"/>
      <c r="C176" s="61"/>
      <c r="D176" s="61"/>
      <c r="E176" s="61"/>
      <c r="F176" s="61"/>
      <c r="G176" s="55">
        <f t="shared" si="0"/>
        <v>0</v>
      </c>
      <c r="H176" s="55"/>
      <c r="I176" s="65"/>
    </row>
    <row r="177" spans="2:9" ht="13" x14ac:dyDescent="0.15">
      <c r="B177" s="61"/>
      <c r="C177" s="61"/>
      <c r="D177" s="61"/>
      <c r="E177" s="61"/>
      <c r="F177" s="61"/>
      <c r="G177" s="55">
        <f t="shared" si="0"/>
        <v>0</v>
      </c>
      <c r="H177" s="55"/>
      <c r="I177" s="65"/>
    </row>
    <row r="178" spans="2:9" ht="13" x14ac:dyDescent="0.15">
      <c r="B178" s="61"/>
      <c r="C178" s="61"/>
      <c r="D178" s="61"/>
      <c r="E178" s="61"/>
      <c r="F178" s="61"/>
      <c r="G178" s="55">
        <f t="shared" si="0"/>
        <v>0</v>
      </c>
      <c r="H178" s="55"/>
      <c r="I178" s="65"/>
    </row>
    <row r="179" spans="2:9" ht="13" x14ac:dyDescent="0.15">
      <c r="B179" s="61"/>
      <c r="C179" s="61"/>
      <c r="D179" s="61"/>
      <c r="E179" s="61"/>
      <c r="F179" s="61"/>
      <c r="G179" s="55">
        <f t="shared" si="0"/>
        <v>0</v>
      </c>
      <c r="H179" s="55"/>
      <c r="I179" s="65"/>
    </row>
    <row r="180" spans="2:9" ht="13" x14ac:dyDescent="0.15">
      <c r="B180" s="61"/>
      <c r="C180" s="61"/>
      <c r="D180" s="61"/>
      <c r="E180" s="61"/>
      <c r="F180" s="61"/>
      <c r="G180" s="55">
        <f t="shared" si="0"/>
        <v>0</v>
      </c>
      <c r="H180" s="55"/>
      <c r="I180" s="65"/>
    </row>
    <row r="181" spans="2:9" ht="13" x14ac:dyDescent="0.15">
      <c r="B181" s="61"/>
      <c r="C181" s="61"/>
      <c r="D181" s="61"/>
      <c r="E181" s="61"/>
      <c r="F181" s="61"/>
      <c r="G181" s="55">
        <f t="shared" si="0"/>
        <v>0</v>
      </c>
      <c r="H181" s="55"/>
      <c r="I181" s="65"/>
    </row>
    <row r="182" spans="2:9" ht="13" x14ac:dyDescent="0.15">
      <c r="B182" s="61"/>
      <c r="C182" s="61"/>
      <c r="D182" s="61"/>
      <c r="E182" s="61"/>
      <c r="F182" s="61"/>
      <c r="G182" s="55">
        <f t="shared" si="0"/>
        <v>0</v>
      </c>
      <c r="H182" s="55"/>
      <c r="I182" s="65"/>
    </row>
    <row r="183" spans="2:9" ht="13" x14ac:dyDescent="0.15">
      <c r="B183" s="61"/>
      <c r="C183" s="61"/>
      <c r="D183" s="61"/>
      <c r="E183" s="61"/>
      <c r="F183" s="61"/>
      <c r="G183" s="55">
        <f t="shared" si="0"/>
        <v>0</v>
      </c>
      <c r="H183" s="55"/>
      <c r="I183" s="65"/>
    </row>
    <row r="184" spans="2:9" ht="13" x14ac:dyDescent="0.15">
      <c r="B184" s="61"/>
      <c r="C184" s="61"/>
      <c r="D184" s="61"/>
      <c r="E184" s="61"/>
      <c r="F184" s="61"/>
      <c r="G184" s="55">
        <f t="shared" si="0"/>
        <v>0</v>
      </c>
      <c r="H184" s="55"/>
      <c r="I184" s="65"/>
    </row>
    <row r="185" spans="2:9" ht="13" x14ac:dyDescent="0.15">
      <c r="B185" s="61"/>
      <c r="C185" s="61"/>
      <c r="D185" s="61"/>
      <c r="E185" s="61"/>
      <c r="F185" s="61"/>
      <c r="G185" s="55">
        <f t="shared" si="0"/>
        <v>0</v>
      </c>
      <c r="H185" s="55"/>
      <c r="I185" s="65"/>
    </row>
    <row r="186" spans="2:9" ht="13" x14ac:dyDescent="0.15">
      <c r="B186" s="61"/>
      <c r="C186" s="61"/>
      <c r="D186" s="61"/>
      <c r="E186" s="61"/>
      <c r="F186" s="61"/>
      <c r="G186" s="55">
        <f t="shared" si="0"/>
        <v>0</v>
      </c>
      <c r="H186" s="55"/>
      <c r="I186" s="65"/>
    </row>
    <row r="187" spans="2:9" ht="13" x14ac:dyDescent="0.15">
      <c r="B187" s="61"/>
      <c r="C187" s="61"/>
      <c r="D187" s="61"/>
      <c r="E187" s="61"/>
      <c r="F187" s="61"/>
      <c r="G187" s="55">
        <f t="shared" si="0"/>
        <v>0</v>
      </c>
      <c r="H187" s="55"/>
      <c r="I187" s="65"/>
    </row>
    <row r="188" spans="2:9" ht="13" x14ac:dyDescent="0.15">
      <c r="B188" s="61"/>
      <c r="C188" s="61"/>
      <c r="D188" s="61"/>
      <c r="E188" s="61"/>
      <c r="F188" s="61"/>
      <c r="G188" s="55">
        <f t="shared" si="0"/>
        <v>0</v>
      </c>
      <c r="H188" s="55"/>
      <c r="I188" s="65"/>
    </row>
    <row r="189" spans="2:9" ht="13" x14ac:dyDescent="0.15">
      <c r="B189" s="54"/>
      <c r="C189" s="61"/>
      <c r="D189" s="61"/>
      <c r="E189" s="61"/>
      <c r="F189" s="61"/>
      <c r="G189" s="55">
        <f t="shared" si="0"/>
        <v>0</v>
      </c>
      <c r="H189" s="55"/>
      <c r="I189" s="65"/>
    </row>
    <row r="190" spans="2:9" ht="13" x14ac:dyDescent="0.15">
      <c r="B190" s="54"/>
      <c r="C190" s="61"/>
      <c r="D190" s="61"/>
      <c r="E190" s="61"/>
      <c r="F190" s="61"/>
      <c r="G190" s="55">
        <f t="shared" si="0"/>
        <v>0</v>
      </c>
      <c r="H190" s="55"/>
      <c r="I190" s="65"/>
    </row>
    <row r="191" spans="2:9" ht="13" x14ac:dyDescent="0.15">
      <c r="B191" s="54"/>
      <c r="C191" s="61"/>
      <c r="D191" s="61"/>
      <c r="E191" s="61"/>
      <c r="F191" s="61"/>
      <c r="G191" s="55">
        <f t="shared" si="0"/>
        <v>0</v>
      </c>
      <c r="H191" s="55"/>
      <c r="I191" s="65"/>
    </row>
    <row r="192" spans="2:9" ht="13" x14ac:dyDescent="0.15">
      <c r="B192" s="54"/>
      <c r="C192" s="61"/>
      <c r="D192" s="61"/>
      <c r="E192" s="61"/>
      <c r="F192" s="61"/>
      <c r="G192" s="55">
        <f t="shared" si="0"/>
        <v>0</v>
      </c>
      <c r="H192" s="55"/>
      <c r="I192" s="65"/>
    </row>
    <row r="193" spans="2:9" ht="13" x14ac:dyDescent="0.15">
      <c r="B193" s="54"/>
      <c r="C193" s="61"/>
      <c r="D193" s="61"/>
      <c r="E193" s="61"/>
      <c r="F193" s="61"/>
      <c r="G193" s="55">
        <f t="shared" si="0"/>
        <v>0</v>
      </c>
      <c r="H193" s="55"/>
      <c r="I193" s="65"/>
    </row>
    <row r="194" spans="2:9" ht="13" x14ac:dyDescent="0.15">
      <c r="B194" s="54"/>
      <c r="C194" s="61"/>
      <c r="D194" s="61"/>
      <c r="E194" s="61"/>
      <c r="F194" s="61"/>
      <c r="G194" s="55">
        <f t="shared" si="0"/>
        <v>0</v>
      </c>
      <c r="H194" s="55"/>
      <c r="I194" s="65"/>
    </row>
    <row r="195" spans="2:9" ht="13" x14ac:dyDescent="0.15">
      <c r="B195" s="54"/>
      <c r="C195" s="61"/>
      <c r="D195" s="61"/>
      <c r="E195" s="61"/>
      <c r="F195" s="61"/>
      <c r="G195" s="55">
        <f t="shared" si="0"/>
        <v>0</v>
      </c>
      <c r="H195" s="55"/>
      <c r="I195" s="65"/>
    </row>
    <row r="196" spans="2:9" ht="13" x14ac:dyDescent="0.15">
      <c r="B196" s="54"/>
      <c r="C196" s="61"/>
      <c r="D196" s="61"/>
      <c r="E196" s="61"/>
      <c r="F196" s="61"/>
      <c r="G196" s="55">
        <f t="shared" si="0"/>
        <v>0</v>
      </c>
      <c r="H196" s="55"/>
      <c r="I196" s="65"/>
    </row>
    <row r="197" spans="2:9" ht="13" x14ac:dyDescent="0.15">
      <c r="B197" s="54"/>
      <c r="C197" s="61"/>
      <c r="D197" s="61"/>
      <c r="E197" s="61"/>
      <c r="F197" s="61"/>
      <c r="G197" s="55">
        <f t="shared" si="0"/>
        <v>0</v>
      </c>
      <c r="H197" s="55"/>
      <c r="I197" s="65"/>
    </row>
    <row r="198" spans="2:9" ht="13" x14ac:dyDescent="0.15">
      <c r="B198" s="54"/>
      <c r="C198" s="61"/>
      <c r="D198" s="61"/>
      <c r="E198" s="61"/>
      <c r="F198" s="61"/>
      <c r="G198" s="55">
        <f t="shared" si="0"/>
        <v>0</v>
      </c>
      <c r="H198" s="55"/>
      <c r="I198" s="65"/>
    </row>
    <row r="199" spans="2:9" ht="13" x14ac:dyDescent="0.15">
      <c r="B199" s="54"/>
      <c r="C199" s="61"/>
      <c r="D199" s="61"/>
      <c r="E199" s="61"/>
      <c r="F199" s="61"/>
      <c r="G199" s="55">
        <f t="shared" si="0"/>
        <v>0</v>
      </c>
      <c r="H199" s="55"/>
      <c r="I199" s="65"/>
    </row>
    <row r="200" spans="2:9" ht="13" x14ac:dyDescent="0.15">
      <c r="B200" s="54"/>
      <c r="C200" s="61"/>
      <c r="D200" s="61"/>
      <c r="E200" s="61"/>
      <c r="F200" s="61"/>
      <c r="G200" s="55">
        <f t="shared" si="0"/>
        <v>0</v>
      </c>
      <c r="H200" s="55"/>
      <c r="I200" s="65"/>
    </row>
  </sheetData>
  <conditionalFormatting sqref="B3:B200">
    <cfRule type="cellIs" dxfId="8" priority="1" operator="equal">
      <formula>"AC"</formula>
    </cfRule>
  </conditionalFormatting>
  <conditionalFormatting sqref="B3:B18 B189:B200">
    <cfRule type="containsText" dxfId="7" priority="2" operator="containsText" text="WA">
      <formula>NOT(ISERROR(SEARCH(("WA"),(B3))))</formula>
    </cfRule>
  </conditionalFormatting>
  <conditionalFormatting sqref="B13:B199">
    <cfRule type="containsText" dxfId="6" priority="3" operator="containsText" text="WA">
      <formula>NOT(ISERROR(SEARCH(("WA"),(B13))))</formula>
    </cfRule>
  </conditionalFormatting>
  <conditionalFormatting sqref="B3:B18 B189:B200">
    <cfRule type="containsText" dxfId="5" priority="4" operator="containsText" text="TLE">
      <formula>NOT(ISERROR(SEARCH(("TLE"),(B3))))</formula>
    </cfRule>
  </conditionalFormatting>
  <conditionalFormatting sqref="B13:B199">
    <cfRule type="containsText" dxfId="4" priority="5" operator="containsText" text="TLE">
      <formula>NOT(ISERROR(SEARCH(("TLE"),(B13))))</formula>
    </cfRule>
  </conditionalFormatting>
  <conditionalFormatting sqref="B3:B18 B189:B200">
    <cfRule type="containsText" dxfId="3" priority="6" operator="containsText" text="RTE">
      <formula>NOT(ISERROR(SEARCH(("RTE"),(B3))))</formula>
    </cfRule>
  </conditionalFormatting>
  <conditionalFormatting sqref="B13:B199">
    <cfRule type="containsText" dxfId="2" priority="7" operator="containsText" text="RTE">
      <formula>NOT(ISERROR(SEARCH(("RTE"),(B13))))</formula>
    </cfRule>
  </conditionalFormatting>
  <conditionalFormatting sqref="B3:B18 B189:B200">
    <cfRule type="containsText" dxfId="1" priority="8" operator="containsText" text="CS">
      <formula>NOT(ISERROR(SEARCH(("CS"),(B3))))</formula>
    </cfRule>
  </conditionalFormatting>
  <conditionalFormatting sqref="B13:B199">
    <cfRule type="containsText" dxfId="0" priority="9" operator="containsText" text="CS">
      <formula>NOT(ISERROR(SEARCH(("CS"),(B13))))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P1A</vt:lpstr>
      <vt:lpstr>P1B</vt:lpstr>
      <vt:lpstr>P2A</vt:lpstr>
      <vt:lpstr>P2B</vt:lpstr>
      <vt:lpstr>P3A</vt:lpstr>
      <vt:lpstr>P3B</vt:lpstr>
      <vt:lpstr>P3C</vt:lpstr>
      <vt:lpstr>Yours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2017-12-30T22:37:58Z</dcterms:created>
  <dcterms:modified xsi:type="dcterms:W3CDTF">2017-12-30T22:37:58Z</dcterms:modified>
</cp:coreProperties>
</file>