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\Desktop\Summer Project-2023\"/>
    </mc:Choice>
  </mc:AlternateContent>
  <xr:revisionPtr revIDLastSave="0" documentId="13_ncr:1_{AF10880F-EC02-459B-8128-DC397D693130}" xr6:coauthVersionLast="47" xr6:coauthVersionMax="47" xr10:uidLastSave="{00000000-0000-0000-0000-000000000000}"/>
  <bookViews>
    <workbookView xWindow="-108" yWindow="-108" windowWidth="23256" windowHeight="12456" tabRatio="278" xr2:uid="{272FBB5F-7FBA-4CCC-814C-35F66C65BADF}"/>
  </bookViews>
  <sheets>
    <sheet name="PCS Simulation " sheetId="4" r:id="rId1"/>
    <sheet name="PCS Calculations" sheetId="1" r:id="rId2"/>
    <sheet name="Trend Analysis" sheetId="2" r:id="rId3"/>
  </sheets>
  <externalReferences>
    <externalReference r:id="rId4"/>
  </externalReferences>
  <calcPr calcId="191029" iterate="1" iterateCount="300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4" l="1"/>
  <c r="L6" i="4" s="1"/>
  <c r="L7" i="4"/>
  <c r="L8" i="4" s="1"/>
  <c r="I8" i="4"/>
  <c r="C9" i="4"/>
  <c r="D9" i="4"/>
  <c r="E9" i="4"/>
  <c r="AH12" i="4"/>
  <c r="AI12" i="4" s="1"/>
  <c r="AH13" i="4"/>
  <c r="AI13" i="4"/>
  <c r="AH14" i="4"/>
  <c r="AI14" i="4" s="1"/>
  <c r="AH15" i="4"/>
  <c r="AI15" i="4"/>
  <c r="AH16" i="4"/>
  <c r="AI16" i="4" s="1"/>
  <c r="AH17" i="4"/>
  <c r="AI17" i="4"/>
  <c r="AH18" i="4"/>
  <c r="AI18" i="4"/>
  <c r="D42" i="4"/>
  <c r="E42" i="4"/>
  <c r="F42" i="4"/>
  <c r="G42" i="4"/>
  <c r="H42" i="4"/>
  <c r="I42" i="4"/>
  <c r="J42" i="4"/>
  <c r="D59" i="4"/>
  <c r="E59" i="4"/>
  <c r="F59" i="4"/>
  <c r="G59" i="4"/>
  <c r="H59" i="4"/>
  <c r="I59" i="4"/>
  <c r="J59" i="4"/>
  <c r="D60" i="4"/>
  <c r="H60" i="4"/>
  <c r="J28" i="1"/>
  <c r="G60" i="4" l="1"/>
  <c r="J60" i="4"/>
  <c r="F60" i="4"/>
  <c r="I60" i="4"/>
  <c r="E60" i="4"/>
  <c r="L9" i="4"/>
  <c r="E43" i="4" s="1"/>
  <c r="E44" i="4" s="1"/>
  <c r="J13" i="1"/>
  <c r="J22" i="1"/>
  <c r="J15" i="1"/>
  <c r="U7" i="1" s="1"/>
  <c r="E45" i="4" l="1"/>
  <c r="E46" i="4" s="1"/>
  <c r="E47" i="4"/>
  <c r="F43" i="4"/>
  <c r="F44" i="4" s="1"/>
  <c r="J43" i="4"/>
  <c r="J44" i="4" s="1"/>
  <c r="G43" i="4"/>
  <c r="G44" i="4" s="1"/>
  <c r="G61" i="4" s="1"/>
  <c r="D43" i="4"/>
  <c r="D44" i="4" s="1"/>
  <c r="I43" i="4"/>
  <c r="I44" i="4" s="1"/>
  <c r="E61" i="4"/>
  <c r="E62" i="4" s="1"/>
  <c r="H43" i="4"/>
  <c r="H44" i="4" s="1"/>
  <c r="Y31" i="1"/>
  <c r="O31" i="1"/>
  <c r="U6" i="1"/>
  <c r="O6" i="1" s="1"/>
  <c r="P11" i="1" s="1"/>
  <c r="G66" i="4" l="1"/>
  <c r="G65" i="4"/>
  <c r="F45" i="4"/>
  <c r="F46" i="4" s="1"/>
  <c r="F47" i="4" s="1"/>
  <c r="I45" i="4"/>
  <c r="I46" i="4" s="1"/>
  <c r="I47" i="4" s="1"/>
  <c r="I62" i="4"/>
  <c r="E66" i="4"/>
  <c r="E65" i="4"/>
  <c r="J45" i="4"/>
  <c r="J46" i="4" s="1"/>
  <c r="J47" i="4" s="1"/>
  <c r="E76" i="4"/>
  <c r="E49" i="4"/>
  <c r="E50" i="4" s="1"/>
  <c r="E51" i="4" s="1"/>
  <c r="E48" i="4"/>
  <c r="E52" i="4" s="1"/>
  <c r="G62" i="4"/>
  <c r="G45" i="4"/>
  <c r="G46" i="4" s="1"/>
  <c r="H45" i="4"/>
  <c r="H46" i="4" s="1"/>
  <c r="H61" i="4"/>
  <c r="D45" i="4"/>
  <c r="D46" i="4" s="1"/>
  <c r="D61" i="4"/>
  <c r="F61" i="4"/>
  <c r="I61" i="4"/>
  <c r="J61" i="4"/>
  <c r="E55" i="4"/>
  <c r="E54" i="4"/>
  <c r="P13" i="1"/>
  <c r="I76" i="4" l="1"/>
  <c r="I49" i="4"/>
  <c r="I50" i="4" s="1"/>
  <c r="I51" i="4" s="1"/>
  <c r="I48" i="4"/>
  <c r="I52" i="4" s="1"/>
  <c r="J49" i="4"/>
  <c r="J50" i="4" s="1"/>
  <c r="J51" i="4" s="1"/>
  <c r="J76" i="4"/>
  <c r="J48" i="4"/>
  <c r="J52" i="4" s="1"/>
  <c r="F48" i="4"/>
  <c r="F52" i="4" s="1"/>
  <c r="F49" i="4"/>
  <c r="F50" i="4" s="1"/>
  <c r="F51" i="4" s="1"/>
  <c r="F76" i="4"/>
  <c r="E56" i="4"/>
  <c r="E67" i="4"/>
  <c r="E70" i="4" s="1"/>
  <c r="E57" i="4"/>
  <c r="E68" i="4"/>
  <c r="D55" i="4"/>
  <c r="J55" i="4"/>
  <c r="J54" i="4"/>
  <c r="D65" i="4"/>
  <c r="D66" i="4"/>
  <c r="G55" i="4"/>
  <c r="D47" i="4"/>
  <c r="E77" i="4"/>
  <c r="E14" i="4" s="1"/>
  <c r="I55" i="4"/>
  <c r="I54" i="4"/>
  <c r="F66" i="4"/>
  <c r="F65" i="4"/>
  <c r="H55" i="4"/>
  <c r="F55" i="4"/>
  <c r="F54" i="4"/>
  <c r="H65" i="4"/>
  <c r="H66" i="4"/>
  <c r="J66" i="4"/>
  <c r="J65" i="4"/>
  <c r="H47" i="4"/>
  <c r="G47" i="4"/>
  <c r="I66" i="4"/>
  <c r="I65" i="4"/>
  <c r="D62" i="4"/>
  <c r="H62" i="4"/>
  <c r="J62" i="4"/>
  <c r="F62" i="4"/>
  <c r="U31" i="1"/>
  <c r="W33" i="1" s="1"/>
  <c r="P9" i="1"/>
  <c r="E69" i="4" l="1"/>
  <c r="E72" i="4" s="1"/>
  <c r="E75" i="4" s="1"/>
  <c r="E78" i="4" s="1"/>
  <c r="J57" i="4"/>
  <c r="J68" i="4"/>
  <c r="F56" i="4"/>
  <c r="F67" i="4"/>
  <c r="I67" i="4"/>
  <c r="I56" i="4"/>
  <c r="J70" i="4"/>
  <c r="G48" i="4"/>
  <c r="G52" i="4" s="1"/>
  <c r="G76" i="4"/>
  <c r="G49" i="4"/>
  <c r="G50" i="4" s="1"/>
  <c r="G51" i="4" s="1"/>
  <c r="J56" i="4"/>
  <c r="J67" i="4"/>
  <c r="I57" i="4"/>
  <c r="I68" i="4"/>
  <c r="I70" i="4" s="1"/>
  <c r="F57" i="4"/>
  <c r="F68" i="4"/>
  <c r="D49" i="4"/>
  <c r="D50" i="4" s="1"/>
  <c r="D51" i="4" s="1"/>
  <c r="D76" i="4"/>
  <c r="D48" i="4"/>
  <c r="D52" i="4" s="1"/>
  <c r="D54" i="4"/>
  <c r="H49" i="4"/>
  <c r="H50" i="4" s="1"/>
  <c r="H51" i="4" s="1"/>
  <c r="H76" i="4"/>
  <c r="H48" i="4"/>
  <c r="H52" i="4" s="1"/>
  <c r="H54" i="4"/>
  <c r="G54" i="4"/>
  <c r="F77" i="4"/>
  <c r="F14" i="4" s="1"/>
  <c r="J77" i="4"/>
  <c r="J14" i="4" s="1"/>
  <c r="I77" i="4"/>
  <c r="I14" i="4" s="1"/>
  <c r="W35" i="1"/>
  <c r="O29" i="1"/>
  <c r="V15" i="1"/>
  <c r="P15" i="1" s="1"/>
  <c r="U49" i="1" s="1"/>
  <c r="E13" i="4" l="1"/>
  <c r="E15" i="4" s="1"/>
  <c r="E17" i="4" s="1"/>
  <c r="F69" i="4"/>
  <c r="J69" i="4"/>
  <c r="J72" i="4" s="1"/>
  <c r="J75" i="4" s="1"/>
  <c r="J78" i="4" s="1"/>
  <c r="F70" i="4"/>
  <c r="J13" i="4"/>
  <c r="J15" i="4" s="1"/>
  <c r="J17" i="4" s="1"/>
  <c r="H56" i="4"/>
  <c r="H67" i="4"/>
  <c r="D56" i="4"/>
  <c r="D67" i="4"/>
  <c r="H77" i="4"/>
  <c r="H14" i="4" s="1"/>
  <c r="D77" i="4"/>
  <c r="D14" i="4" s="1"/>
  <c r="I69" i="4"/>
  <c r="I72" i="4" s="1"/>
  <c r="I75" i="4" s="1"/>
  <c r="G57" i="4"/>
  <c r="G68" i="4"/>
  <c r="H68" i="4"/>
  <c r="H57" i="4"/>
  <c r="D57" i="4"/>
  <c r="D68" i="4"/>
  <c r="G77" i="4"/>
  <c r="G14" i="4" s="1"/>
  <c r="E79" i="4"/>
  <c r="E16" i="4"/>
  <c r="G67" i="4"/>
  <c r="G56" i="4"/>
  <c r="W23" i="1"/>
  <c r="W21" i="1"/>
  <c r="V13" i="1"/>
  <c r="V17" i="1" s="1"/>
  <c r="P17" i="1" s="1"/>
  <c r="V11" i="1"/>
  <c r="P19" i="1" s="1"/>
  <c r="F72" i="4" l="1"/>
  <c r="F75" i="4" s="1"/>
  <c r="D70" i="4"/>
  <c r="D69" i="4"/>
  <c r="D72" i="4" s="1"/>
  <c r="D75" i="4" s="1"/>
  <c r="H69" i="4"/>
  <c r="H70" i="4"/>
  <c r="G70" i="4"/>
  <c r="G69" i="4"/>
  <c r="J16" i="4"/>
  <c r="J79" i="4"/>
  <c r="I13" i="4"/>
  <c r="I15" i="4" s="1"/>
  <c r="I17" i="4" s="1"/>
  <c r="I78" i="4"/>
  <c r="W27" i="1"/>
  <c r="W39" i="1"/>
  <c r="W25" i="1"/>
  <c r="W37" i="1"/>
  <c r="G72" i="4" l="1"/>
  <c r="G75" i="4" s="1"/>
  <c r="F13" i="4"/>
  <c r="F15" i="4" s="1"/>
  <c r="F17" i="4" s="1"/>
  <c r="F78" i="4"/>
  <c r="H72" i="4"/>
  <c r="H75" i="4" s="1"/>
  <c r="I16" i="4"/>
  <c r="I79" i="4"/>
  <c r="D13" i="4"/>
  <c r="D15" i="4" s="1"/>
  <c r="D17" i="4" s="1"/>
  <c r="D78" i="4"/>
  <c r="G13" i="4"/>
  <c r="G15" i="4" s="1"/>
  <c r="G17" i="4" s="1"/>
  <c r="G78" i="4"/>
  <c r="P21" i="1"/>
  <c r="P33" i="1"/>
  <c r="F79" i="4" l="1"/>
  <c r="F16" i="4"/>
  <c r="G79" i="4"/>
  <c r="G16" i="4"/>
  <c r="D79" i="4"/>
  <c r="D16" i="4"/>
  <c r="H13" i="4"/>
  <c r="H15" i="4" s="1"/>
  <c r="H17" i="4" s="1"/>
  <c r="H78" i="4"/>
  <c r="P41" i="1"/>
  <c r="U45" i="1" s="1"/>
  <c r="H79" i="4" l="1"/>
  <c r="H16" i="4"/>
  <c r="U47" i="1"/>
  <c r="U51" i="1" s="1"/>
</calcChain>
</file>

<file path=xl/sharedStrings.xml><?xml version="1.0" encoding="utf-8"?>
<sst xmlns="http://schemas.openxmlformats.org/spreadsheetml/2006/main" count="455" uniqueCount="266">
  <si>
    <t>INPUT DATA</t>
  </si>
  <si>
    <t>density of gas</t>
  </si>
  <si>
    <t>Gas</t>
  </si>
  <si>
    <t>velocity of gas/air</t>
  </si>
  <si>
    <t>mass flow rate</t>
  </si>
  <si>
    <t>density of solids</t>
  </si>
  <si>
    <t>particle size(diameter)</t>
  </si>
  <si>
    <t>velocity of solids</t>
  </si>
  <si>
    <t>Solids</t>
  </si>
  <si>
    <t>Pipes</t>
  </si>
  <si>
    <t>height of pipe</t>
  </si>
  <si>
    <t>length of pipe</t>
  </si>
  <si>
    <t>number of bends</t>
  </si>
  <si>
    <t>UNITS</t>
  </si>
  <si>
    <t>kg/m3</t>
  </si>
  <si>
    <t>m/s</t>
  </si>
  <si>
    <t>mm</t>
  </si>
  <si>
    <t>m</t>
  </si>
  <si>
    <t>VALUES</t>
  </si>
  <si>
    <t>CALCULATIONS</t>
  </si>
  <si>
    <t>kg/s</t>
  </si>
  <si>
    <t>solid loadings(S)</t>
  </si>
  <si>
    <t>saltation velocity(Usalt)</t>
  </si>
  <si>
    <t>alpha</t>
  </si>
  <si>
    <t>beta</t>
  </si>
  <si>
    <t>diameter of pipe</t>
  </si>
  <si>
    <t>tons/hr</t>
  </si>
  <si>
    <t>roughness of pipe(epsilon)</t>
  </si>
  <si>
    <t>Ns/m2</t>
  </si>
  <si>
    <t>viscocity of fluid</t>
  </si>
  <si>
    <t xml:space="preserve">at 30'C </t>
  </si>
  <si>
    <t>80NB</t>
  </si>
  <si>
    <t>reynolds number of solids (Res)</t>
  </si>
  <si>
    <t>reynolds number of fluid (Ref)</t>
  </si>
  <si>
    <t>Drag coefficient (Cd)</t>
  </si>
  <si>
    <t>friction factor of solids (fs)</t>
  </si>
  <si>
    <t>friction factor of fluids (ff)</t>
  </si>
  <si>
    <t>pressure drop due to acceleration of fluid</t>
  </si>
  <si>
    <t>pressure drop due to acceleration of solids</t>
  </si>
  <si>
    <t>pressure drop due to fluid friction</t>
  </si>
  <si>
    <t>pressure drop due to solid friction</t>
  </si>
  <si>
    <t>pressure drop due to horizontal pipe (del Ph)</t>
  </si>
  <si>
    <t xml:space="preserve">relative velocity </t>
  </si>
  <si>
    <t>vertical velocity for solids</t>
  </si>
  <si>
    <t>void fraction horizontal (€h)</t>
  </si>
  <si>
    <t>void fraction vertical (€v)</t>
  </si>
  <si>
    <t>J</t>
  </si>
  <si>
    <t>pressure drop due to vertical pipe (del Pv)</t>
  </si>
  <si>
    <t>pressure drop due to vertical head loss fluid</t>
  </si>
  <si>
    <t>pressure drop due to vertical head loss particle</t>
  </si>
  <si>
    <t>pressure drop due to vertical fluid friction</t>
  </si>
  <si>
    <t>pressure drop due to solid vertical friction</t>
  </si>
  <si>
    <t>Total Pressure Drop (Del P)</t>
  </si>
  <si>
    <t>Blower</t>
  </si>
  <si>
    <t>safety factor</t>
  </si>
  <si>
    <t>efficiency</t>
  </si>
  <si>
    <t>%</t>
  </si>
  <si>
    <t>Pa</t>
  </si>
  <si>
    <t>velocity of gas desired (m/s)</t>
  </si>
  <si>
    <t>m3/s</t>
  </si>
  <si>
    <t>watt</t>
  </si>
  <si>
    <t>Power</t>
  </si>
  <si>
    <t>Volumetric flow rate (Qv)</t>
  </si>
  <si>
    <t>pressure drop due to bends (del P bends)</t>
  </si>
  <si>
    <t>pressure loss</t>
  </si>
  <si>
    <t>pressure loss in cyclone separator</t>
  </si>
  <si>
    <t>Cyclone</t>
  </si>
  <si>
    <t>Gross Pressure Drop</t>
  </si>
  <si>
    <t>Case-1</t>
  </si>
  <si>
    <t>Pipe size</t>
  </si>
  <si>
    <t>ΔP-Total</t>
  </si>
  <si>
    <t>Qv</t>
  </si>
  <si>
    <t>Feed rate</t>
  </si>
  <si>
    <t>kg/hr</t>
  </si>
  <si>
    <t>Fix</t>
  </si>
  <si>
    <t>50 NB</t>
  </si>
  <si>
    <t>Particle density</t>
  </si>
  <si>
    <t>kg/M3</t>
  </si>
  <si>
    <t>65NB</t>
  </si>
  <si>
    <t>Particle dia</t>
  </si>
  <si>
    <t>HL</t>
  </si>
  <si>
    <t>mtr</t>
  </si>
  <si>
    <t>100NB</t>
  </si>
  <si>
    <t>Hv</t>
  </si>
  <si>
    <t>125NB</t>
  </si>
  <si>
    <t>Bends</t>
  </si>
  <si>
    <t>150NB</t>
  </si>
  <si>
    <t>NB</t>
  </si>
  <si>
    <t>Variable</t>
  </si>
  <si>
    <t>200NB</t>
  </si>
  <si>
    <t>250NB</t>
  </si>
  <si>
    <t>Case-2</t>
  </si>
  <si>
    <t>Feed Rate</t>
  </si>
  <si>
    <t>Case-3</t>
  </si>
  <si>
    <t>Part. Density</t>
  </si>
  <si>
    <t>Case-5</t>
  </si>
  <si>
    <t>VL</t>
  </si>
  <si>
    <t xml:space="preserve"> </t>
  </si>
  <si>
    <t>Case-4</t>
  </si>
  <si>
    <t>Part. Dia</t>
  </si>
  <si>
    <t>Case-6</t>
  </si>
  <si>
    <t>TREND ANALYSIS (EFFECT ON PRESURE AND VOLUMETRIC FLOW RATE)</t>
  </si>
  <si>
    <t>EFFECT OF PIPE SIZE</t>
  </si>
  <si>
    <t>EFFECT OF FEED RATE</t>
  </si>
  <si>
    <t>EFFECT OF PARTICLE DENSITY</t>
  </si>
  <si>
    <t>EFFECT OF VERTICAL LENGTH</t>
  </si>
  <si>
    <t>EFFECT OF PARTICLE SIZE</t>
  </si>
  <si>
    <t>EFFECT OF HORIZONTAL LENGTH</t>
  </si>
  <si>
    <t>DESIGN OF LEAN PHASE PNEUMATIC CONVEYING SYSTEM</t>
  </si>
  <si>
    <t>KW</t>
  </si>
  <si>
    <t>Standard Motor</t>
  </si>
  <si>
    <t>Blower Power KW</t>
  </si>
  <si>
    <t>m3/Hr</t>
  </si>
  <si>
    <t>Design Flow Qv</t>
  </si>
  <si>
    <r>
      <t>ΔP</t>
    </r>
    <r>
      <rPr>
        <b/>
        <vertAlign val="subscript"/>
        <sz val="11"/>
        <color theme="1"/>
        <rFont val="Calibri"/>
        <family val="2"/>
        <scheme val="minor"/>
      </rPr>
      <t>Grossl</t>
    </r>
  </si>
  <si>
    <t>Loss Cyclone</t>
  </si>
  <si>
    <t>Loss BlowerInlet</t>
  </si>
  <si>
    <r>
      <t>ΔP</t>
    </r>
    <r>
      <rPr>
        <b/>
        <vertAlign val="subscript"/>
        <sz val="11"/>
        <color theme="1"/>
        <rFont val="Calibri"/>
        <family val="2"/>
        <scheme val="minor"/>
      </rPr>
      <t>Total</t>
    </r>
  </si>
  <si>
    <t>50NB</t>
  </si>
  <si>
    <t>Loss in Bends</t>
  </si>
  <si>
    <r>
      <t>ΔP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+ΔP</t>
    </r>
    <r>
      <rPr>
        <b/>
        <vertAlign val="subscript"/>
        <sz val="11"/>
        <color theme="1"/>
        <rFont val="Calibri"/>
        <family val="2"/>
        <scheme val="minor"/>
      </rPr>
      <t>v</t>
    </r>
  </si>
  <si>
    <r>
      <t>ΔP</t>
    </r>
    <r>
      <rPr>
        <vertAlign val="subscript"/>
        <sz val="14"/>
        <color theme="1"/>
        <rFont val="Calibri"/>
        <family val="2"/>
        <scheme val="minor"/>
      </rPr>
      <t>pv-fric</t>
    </r>
  </si>
  <si>
    <r>
      <t>ΔP</t>
    </r>
    <r>
      <rPr>
        <vertAlign val="subscript"/>
        <sz val="11"/>
        <color theme="1"/>
        <rFont val="Calibri"/>
        <family val="2"/>
        <scheme val="minor"/>
      </rPr>
      <t>fv</t>
    </r>
    <r>
      <rPr>
        <vertAlign val="subscript"/>
        <sz val="14"/>
        <color theme="1"/>
        <rFont val="Calibri"/>
        <family val="2"/>
        <scheme val="minor"/>
      </rPr>
      <t xml:space="preserve">-fric </t>
    </r>
  </si>
  <si>
    <r>
      <t>ΔP</t>
    </r>
    <r>
      <rPr>
        <vertAlign val="subscript"/>
        <sz val="14"/>
        <color theme="1"/>
        <rFont val="Calibri"/>
        <family val="2"/>
        <scheme val="minor"/>
      </rPr>
      <t xml:space="preserve">pv-head </t>
    </r>
  </si>
  <si>
    <r>
      <t>ΔP</t>
    </r>
    <r>
      <rPr>
        <vertAlign val="subscript"/>
        <sz val="11"/>
        <color theme="1"/>
        <rFont val="Calibri"/>
        <family val="2"/>
        <scheme val="minor"/>
      </rPr>
      <t>fv</t>
    </r>
    <r>
      <rPr>
        <vertAlign val="subscript"/>
        <sz val="14"/>
        <color theme="1"/>
        <rFont val="Calibri"/>
        <family val="2"/>
        <scheme val="minor"/>
      </rPr>
      <t xml:space="preserve">-head  </t>
    </r>
  </si>
  <si>
    <r>
      <t>ΔP</t>
    </r>
    <r>
      <rPr>
        <b/>
        <vertAlign val="subscript"/>
        <sz val="11"/>
        <color theme="1"/>
        <rFont val="Calibri"/>
        <family val="2"/>
        <scheme val="minor"/>
      </rPr>
      <t>v</t>
    </r>
    <r>
      <rPr>
        <b/>
        <sz val="11"/>
        <color theme="1"/>
        <rFont val="Calibri"/>
        <family val="2"/>
        <scheme val="minor"/>
      </rPr>
      <t xml:space="preserve"> - Vertical Pipe line</t>
    </r>
  </si>
  <si>
    <t>Blower efficiency :  60%</t>
  </si>
  <si>
    <r>
      <t>ΔP</t>
    </r>
    <r>
      <rPr>
        <vertAlign val="subscript"/>
        <sz val="11"/>
        <color theme="1"/>
        <rFont val="Calibri"/>
        <family val="2"/>
        <scheme val="minor"/>
      </rPr>
      <t>Grossl</t>
    </r>
    <r>
      <rPr>
        <sz val="14"/>
        <color theme="1"/>
        <rFont val="Calibri"/>
        <family val="2"/>
        <scheme val="minor"/>
      </rPr>
      <t xml:space="preserve"> in Pa     sf= safty factor 1.2</t>
    </r>
  </si>
  <si>
    <r>
      <t>U</t>
    </r>
    <r>
      <rPr>
        <vertAlign val="subscript"/>
        <sz val="11"/>
        <color theme="1"/>
        <rFont val="Calibri"/>
        <family val="2"/>
        <scheme val="minor"/>
      </rPr>
      <t>pv</t>
    </r>
  </si>
  <si>
    <r>
      <t>Blower Power KW =  Q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*ΔP</t>
    </r>
    <r>
      <rPr>
        <vertAlign val="subscript"/>
        <sz val="14"/>
        <color theme="1"/>
        <rFont val="Calibri"/>
        <family val="2"/>
        <scheme val="minor"/>
      </rPr>
      <t>Gross</t>
    </r>
    <r>
      <rPr>
        <sz val="14"/>
        <color theme="1"/>
        <rFont val="Calibri"/>
        <family val="2"/>
        <scheme val="minor"/>
      </rPr>
      <t>/(761.9*Blower efficiency)</t>
    </r>
  </si>
  <si>
    <t>ξv</t>
  </si>
  <si>
    <r>
      <t xml:space="preserve"> Blower Volumetric flow m3/s Q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 xml:space="preserve"> = Uf*π*D2*Sf/4</t>
    </r>
  </si>
  <si>
    <t>Loss in Cyclone    ~~   1500Pa</t>
  </si>
  <si>
    <t>Ur</t>
  </si>
  <si>
    <t>Loss in Blower Suction :  ~~ 1000 Pa</t>
  </si>
  <si>
    <r>
      <t>n</t>
    </r>
    <r>
      <rPr>
        <vertAlign val="subscript"/>
        <sz val="14"/>
        <color theme="1"/>
        <rFont val="Calibri"/>
        <family val="2"/>
        <scheme val="minor"/>
      </rPr>
      <t>b</t>
    </r>
    <r>
      <rPr>
        <sz val="14"/>
        <color theme="1"/>
        <rFont val="Calibri"/>
        <family val="2"/>
        <scheme val="minor"/>
      </rPr>
      <t xml:space="preserve"> = no of bends</t>
    </r>
  </si>
  <si>
    <r>
      <t>ΔP</t>
    </r>
    <r>
      <rPr>
        <vertAlign val="subscript"/>
        <sz val="14"/>
        <color theme="1"/>
        <rFont val="Calibri"/>
        <family val="2"/>
        <scheme val="minor"/>
      </rPr>
      <t>ph-fric</t>
    </r>
  </si>
  <si>
    <r>
      <t xml:space="preserve">Loss in Bends  </t>
    </r>
    <r>
      <rPr>
        <sz val="14"/>
        <color theme="1"/>
        <rFont val="Calibri"/>
        <family val="2"/>
      </rPr>
      <t>ΔP</t>
    </r>
    <r>
      <rPr>
        <vertAlign val="subscript"/>
        <sz val="14"/>
        <color theme="1"/>
        <rFont val="Calibri"/>
        <family val="2"/>
      </rPr>
      <t>bends</t>
    </r>
    <r>
      <rPr>
        <sz val="14"/>
        <color theme="1"/>
        <rFont val="Calibri"/>
        <family val="2"/>
        <scheme val="minor"/>
      </rPr>
      <t>= ( ΔPv)*7.5*n</t>
    </r>
    <r>
      <rPr>
        <vertAlign val="subscript"/>
        <sz val="14"/>
        <color theme="1"/>
        <rFont val="Calibri"/>
        <family val="2"/>
        <scheme val="minor"/>
      </rPr>
      <t>b</t>
    </r>
    <r>
      <rPr>
        <sz val="14"/>
        <color theme="1"/>
        <rFont val="Calibri"/>
        <family val="2"/>
        <scheme val="minor"/>
      </rPr>
      <t>/Lv</t>
    </r>
  </si>
  <si>
    <r>
      <t>ΔP</t>
    </r>
    <r>
      <rPr>
        <vertAlign val="subscript"/>
        <sz val="11"/>
        <color theme="1"/>
        <rFont val="Calibri"/>
        <family val="2"/>
        <scheme val="minor"/>
      </rPr>
      <t>fh</t>
    </r>
    <r>
      <rPr>
        <vertAlign val="subscript"/>
        <sz val="14"/>
        <color theme="1"/>
        <rFont val="Calibri"/>
        <family val="2"/>
        <scheme val="minor"/>
      </rPr>
      <t>-fric</t>
    </r>
  </si>
  <si>
    <r>
      <t>ϴ = 90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 xml:space="preserve">  for verical and sinϴ = 1</t>
    </r>
  </si>
  <si>
    <r>
      <t>ΔP</t>
    </r>
    <r>
      <rPr>
        <vertAlign val="subscript"/>
        <sz val="14"/>
        <color theme="1"/>
        <rFont val="Calibri"/>
        <family val="2"/>
        <scheme val="minor"/>
      </rPr>
      <t xml:space="preserve">ph-acc  </t>
    </r>
  </si>
  <si>
    <r>
      <t>ΔP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 xml:space="preserve">  = ΔP</t>
    </r>
    <r>
      <rPr>
        <vertAlign val="subscript"/>
        <sz val="14"/>
        <color theme="1"/>
        <rFont val="Calibri"/>
        <family val="2"/>
        <scheme val="minor"/>
      </rPr>
      <t>fv-head</t>
    </r>
    <r>
      <rPr>
        <sz val="14"/>
        <color theme="1"/>
        <rFont val="Calibri"/>
        <family val="2"/>
        <scheme val="minor"/>
      </rPr>
      <t xml:space="preserve"> + ΔP</t>
    </r>
    <r>
      <rPr>
        <vertAlign val="subscript"/>
        <sz val="14"/>
        <color theme="1"/>
        <rFont val="Calibri"/>
        <family val="2"/>
        <scheme val="minor"/>
      </rPr>
      <t>pv-head</t>
    </r>
    <r>
      <rPr>
        <sz val="14"/>
        <color theme="1"/>
        <rFont val="Calibri"/>
        <family val="2"/>
        <scheme val="minor"/>
      </rPr>
      <t xml:space="preserve"> +ΔP</t>
    </r>
    <r>
      <rPr>
        <vertAlign val="subscript"/>
        <sz val="14"/>
        <color theme="1"/>
        <rFont val="Calibri"/>
        <family val="2"/>
        <scheme val="minor"/>
      </rPr>
      <t>fv-fric</t>
    </r>
    <r>
      <rPr>
        <sz val="14"/>
        <color theme="1"/>
        <rFont val="Calibri"/>
        <family val="2"/>
        <scheme val="minor"/>
      </rPr>
      <t xml:space="preserve"> +ΔP</t>
    </r>
    <r>
      <rPr>
        <vertAlign val="subscript"/>
        <sz val="14"/>
        <color theme="1"/>
        <rFont val="Calibri"/>
        <family val="2"/>
        <scheme val="minor"/>
      </rPr>
      <t>pv-fric</t>
    </r>
  </si>
  <si>
    <r>
      <t>ΔP</t>
    </r>
    <r>
      <rPr>
        <vertAlign val="subscript"/>
        <sz val="11"/>
        <color theme="1"/>
        <rFont val="Calibri"/>
        <family val="2"/>
        <scheme val="minor"/>
      </rPr>
      <t>fh</t>
    </r>
    <r>
      <rPr>
        <vertAlign val="subscript"/>
        <sz val="14"/>
        <color theme="1"/>
        <rFont val="Calibri"/>
        <family val="2"/>
        <scheme val="minor"/>
      </rPr>
      <t xml:space="preserve">-acc  </t>
    </r>
  </si>
  <si>
    <r>
      <t>ΔP</t>
    </r>
    <r>
      <rPr>
        <vertAlign val="subscript"/>
        <sz val="14"/>
        <color theme="1"/>
        <rFont val="Calibri"/>
        <family val="2"/>
        <scheme val="minor"/>
      </rPr>
      <t xml:space="preserve">pv-friction </t>
    </r>
    <r>
      <rPr>
        <sz val="14"/>
        <color theme="1"/>
        <rFont val="Calibri"/>
        <family val="2"/>
        <scheme val="minor"/>
      </rPr>
      <t xml:space="preserve"> = 2*f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*ρ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*U</t>
    </r>
    <r>
      <rPr>
        <vertAlign val="subscript"/>
        <sz val="14"/>
        <color theme="1"/>
        <rFont val="Calibri"/>
        <family val="2"/>
        <scheme val="minor"/>
      </rPr>
      <t>pv</t>
    </r>
    <r>
      <rPr>
        <vertAlign val="superscript"/>
        <sz val="14"/>
        <color theme="1"/>
        <rFont val="Calibri"/>
        <family val="2"/>
        <scheme val="minor"/>
      </rPr>
      <t>2</t>
    </r>
    <r>
      <rPr>
        <vertAlign val="subscript"/>
        <sz val="14"/>
        <color theme="1"/>
        <rFont val="Calibri"/>
        <family val="2"/>
        <scheme val="minor"/>
      </rPr>
      <t>*</t>
    </r>
    <r>
      <rPr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*(1-ξ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)/D     Friction loss particle vertical</t>
    </r>
  </si>
  <si>
    <r>
      <t>ΔP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- Horizontal Pipe line</t>
    </r>
  </si>
  <si>
    <r>
      <t>ΔP</t>
    </r>
    <r>
      <rPr>
        <vertAlign val="subscript"/>
        <sz val="14"/>
        <color theme="1"/>
        <rFont val="Calibri"/>
        <family val="2"/>
        <scheme val="minor"/>
      </rPr>
      <t xml:space="preserve">fv-friction </t>
    </r>
    <r>
      <rPr>
        <sz val="14"/>
        <color theme="1"/>
        <rFont val="Calibri"/>
        <family val="2"/>
        <scheme val="minor"/>
      </rPr>
      <t xml:space="preserve"> = 2*f</t>
    </r>
    <r>
      <rPr>
        <vertAlign val="subscript"/>
        <sz val="14"/>
        <color theme="1"/>
        <rFont val="Calibri"/>
        <family val="2"/>
        <scheme val="minor"/>
      </rPr>
      <t>f</t>
    </r>
    <r>
      <rPr>
        <sz val="14"/>
        <color theme="1"/>
        <rFont val="Calibri"/>
        <family val="2"/>
        <scheme val="minor"/>
      </rPr>
      <t>*ρ</t>
    </r>
    <r>
      <rPr>
        <vertAlign val="subscript"/>
        <sz val="14"/>
        <color theme="1"/>
        <rFont val="Calibri"/>
        <family val="2"/>
        <scheme val="minor"/>
      </rPr>
      <t>f</t>
    </r>
    <r>
      <rPr>
        <sz val="14"/>
        <color theme="1"/>
        <rFont val="Calibri"/>
        <family val="2"/>
        <scheme val="minor"/>
      </rPr>
      <t>*U</t>
    </r>
    <r>
      <rPr>
        <vertAlign val="subscript"/>
        <sz val="14"/>
        <color theme="1"/>
        <rFont val="Calibri"/>
        <family val="2"/>
        <scheme val="minor"/>
      </rPr>
      <t>f</t>
    </r>
    <r>
      <rPr>
        <vertAlign val="superscript"/>
        <sz val="14"/>
        <color theme="1"/>
        <rFont val="Calibri"/>
        <family val="2"/>
        <scheme val="minor"/>
      </rPr>
      <t>2</t>
    </r>
    <r>
      <rPr>
        <vertAlign val="subscript"/>
        <sz val="14"/>
        <color theme="1"/>
        <rFont val="Calibri"/>
        <family val="2"/>
        <scheme val="minor"/>
      </rPr>
      <t>*</t>
    </r>
    <r>
      <rPr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*ξ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/D  Friction loss fluid vertical</t>
    </r>
  </si>
  <si>
    <r>
      <t>f</t>
    </r>
    <r>
      <rPr>
        <vertAlign val="subscript"/>
        <sz val="11"/>
        <color theme="1"/>
        <rFont val="Calibri"/>
        <family val="2"/>
        <scheme val="minor"/>
      </rPr>
      <t>f</t>
    </r>
  </si>
  <si>
    <r>
      <t>ΔP</t>
    </r>
    <r>
      <rPr>
        <vertAlign val="subscript"/>
        <sz val="14"/>
        <color theme="1"/>
        <rFont val="Calibri"/>
        <family val="2"/>
        <scheme val="minor"/>
      </rPr>
      <t xml:space="preserve">pv-head  = 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p</t>
    </r>
    <r>
      <rPr>
        <sz val="14"/>
        <color theme="1"/>
        <rFont val="Calibri"/>
        <family val="2"/>
      </rPr>
      <t>*L</t>
    </r>
    <r>
      <rPr>
        <vertAlign val="subscript"/>
        <sz val="14"/>
        <color theme="1"/>
        <rFont val="Calibri"/>
        <family val="2"/>
      </rPr>
      <t>v</t>
    </r>
    <r>
      <rPr>
        <sz val="14"/>
        <color theme="1"/>
        <rFont val="Calibri"/>
        <family val="2"/>
      </rPr>
      <t>*g*(1-ξ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)*sin</t>
    </r>
    <r>
      <rPr>
        <sz val="14"/>
        <color theme="1"/>
        <rFont val="Calibri"/>
        <family val="2"/>
      </rPr>
      <t>ϴ   Vertical head loss particle</t>
    </r>
  </si>
  <si>
    <r>
      <t>f</t>
    </r>
    <r>
      <rPr>
        <vertAlign val="subscript"/>
        <sz val="11"/>
        <color theme="1"/>
        <rFont val="Calibri"/>
        <family val="2"/>
        <scheme val="minor"/>
      </rPr>
      <t>p</t>
    </r>
  </si>
  <si>
    <r>
      <t>ΔP</t>
    </r>
    <r>
      <rPr>
        <vertAlign val="subscript"/>
        <sz val="14"/>
        <color theme="1"/>
        <rFont val="Calibri"/>
        <family val="2"/>
        <scheme val="minor"/>
      </rPr>
      <t xml:space="preserve">fv-head  = 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f</t>
    </r>
    <r>
      <rPr>
        <sz val="14"/>
        <color theme="1"/>
        <rFont val="Calibri"/>
        <family val="2"/>
      </rPr>
      <t>*L</t>
    </r>
    <r>
      <rPr>
        <vertAlign val="subscript"/>
        <sz val="14"/>
        <color theme="1"/>
        <rFont val="Calibri"/>
        <family val="2"/>
      </rPr>
      <t>v</t>
    </r>
    <r>
      <rPr>
        <sz val="14"/>
        <color theme="1"/>
        <rFont val="Calibri"/>
        <family val="2"/>
      </rPr>
      <t>*g*ξ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*sin</t>
    </r>
    <r>
      <rPr>
        <sz val="14"/>
        <color theme="1"/>
        <rFont val="Calibri"/>
        <family val="2"/>
      </rPr>
      <t>ϴ     Vertical head loss fluid</t>
    </r>
  </si>
  <si>
    <r>
      <t>C</t>
    </r>
    <r>
      <rPr>
        <vertAlign val="subscript"/>
        <sz val="11"/>
        <color theme="1"/>
        <rFont val="Calibri"/>
        <family val="2"/>
        <scheme val="minor"/>
      </rPr>
      <t>D</t>
    </r>
  </si>
  <si>
    <r>
      <t>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 xml:space="preserve"> = ((J+U</t>
    </r>
    <r>
      <rPr>
        <vertAlign val="subscript"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+U</t>
    </r>
    <r>
      <rPr>
        <vertAlign val="subscript"/>
        <sz val="14"/>
        <color theme="1"/>
        <rFont val="Calibri"/>
        <family val="2"/>
        <scheme val="minor"/>
      </rPr>
      <t>r</t>
    </r>
    <r>
      <rPr>
        <sz val="14"/>
        <color theme="1"/>
        <rFont val="Calibri"/>
        <family val="2"/>
        <scheme val="minor"/>
      </rPr>
      <t>) - ((J+u</t>
    </r>
    <r>
      <rPr>
        <vertAlign val="subscript"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+U</t>
    </r>
    <r>
      <rPr>
        <vertAlign val="subscript"/>
        <sz val="14"/>
        <color theme="1"/>
        <rFont val="Calibri"/>
        <family val="2"/>
        <scheme val="minor"/>
      </rPr>
      <t>r</t>
    </r>
    <r>
      <rPr>
        <sz val="14"/>
        <color theme="1"/>
        <rFont val="Calibri"/>
        <family val="2"/>
        <scheme val="minor"/>
      </rPr>
      <t>)2-4*U</t>
    </r>
    <r>
      <rPr>
        <vertAlign val="subscript"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*U</t>
    </r>
    <r>
      <rPr>
        <vertAlign val="subscript"/>
        <sz val="14"/>
        <color theme="1"/>
        <rFont val="Calibri"/>
        <family val="2"/>
        <scheme val="minor"/>
      </rPr>
      <t>r</t>
    </r>
    <r>
      <rPr>
        <sz val="14"/>
        <color theme="1"/>
        <rFont val="Calibri"/>
        <family val="2"/>
        <scheme val="minor"/>
      </rPr>
      <t>)0.5)/2U</t>
    </r>
    <r>
      <rPr>
        <vertAlign val="subscript"/>
        <sz val="14"/>
        <color theme="1"/>
        <rFont val="Calibri"/>
        <family val="2"/>
        <scheme val="minor"/>
      </rPr>
      <t>r</t>
    </r>
  </si>
  <si>
    <r>
      <t>Re</t>
    </r>
    <r>
      <rPr>
        <vertAlign val="subscript"/>
        <sz val="11"/>
        <color theme="1"/>
        <rFont val="Calibri"/>
        <family val="2"/>
        <scheme val="minor"/>
      </rPr>
      <t>p</t>
    </r>
  </si>
  <si>
    <r>
      <t>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 xml:space="preserve"> = Void fraction (vertical flow) [ -b+(b2-4ac)^0.5]/2a</t>
    </r>
  </si>
  <si>
    <r>
      <t>Re</t>
    </r>
    <r>
      <rPr>
        <vertAlign val="subscript"/>
        <sz val="11"/>
        <color theme="1"/>
        <rFont val="Calibri"/>
        <family val="2"/>
        <scheme val="minor"/>
      </rPr>
      <t>f</t>
    </r>
  </si>
  <si>
    <t xml:space="preserve">          c             b           a</t>
  </si>
  <si>
    <r>
      <t>U</t>
    </r>
    <r>
      <rPr>
        <vertAlign val="subscript"/>
        <sz val="11"/>
        <color theme="1"/>
        <rFont val="Calibri"/>
        <family val="2"/>
        <scheme val="minor"/>
      </rPr>
      <t>f</t>
    </r>
  </si>
  <si>
    <r>
      <t>0 = U</t>
    </r>
    <r>
      <rPr>
        <vertAlign val="subscript"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 xml:space="preserve"> -ξ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(J+U</t>
    </r>
    <r>
      <rPr>
        <vertAlign val="subscript"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+U</t>
    </r>
    <r>
      <rPr>
        <vertAlign val="subscript"/>
        <sz val="14"/>
        <color theme="1"/>
        <rFont val="Calibri"/>
        <family val="2"/>
        <scheme val="minor"/>
      </rPr>
      <t>r</t>
    </r>
    <r>
      <rPr>
        <sz val="14"/>
        <color theme="1"/>
        <rFont val="Calibri"/>
        <family val="2"/>
        <scheme val="minor"/>
      </rPr>
      <t>)+U</t>
    </r>
    <r>
      <rPr>
        <vertAlign val="subscript"/>
        <sz val="14"/>
        <color theme="1"/>
        <rFont val="Calibri"/>
        <family val="2"/>
        <scheme val="minor"/>
      </rPr>
      <t>r</t>
    </r>
    <r>
      <rPr>
        <sz val="14"/>
        <color theme="1"/>
        <rFont val="Calibri"/>
        <family val="2"/>
        <scheme val="minor"/>
      </rPr>
      <t>ξ</t>
    </r>
    <r>
      <rPr>
        <vertAlign val="subscript"/>
        <sz val="14"/>
        <color theme="1"/>
        <rFont val="Calibri"/>
        <family val="2"/>
        <scheme val="minor"/>
      </rPr>
      <t>v</t>
    </r>
    <r>
      <rPr>
        <vertAlign val="superscript"/>
        <sz val="14"/>
        <color theme="1"/>
        <rFont val="Calibri"/>
        <family val="2"/>
        <scheme val="minor"/>
      </rPr>
      <t>2</t>
    </r>
  </si>
  <si>
    <r>
      <t>ξ</t>
    </r>
    <r>
      <rPr>
        <vertAlign val="subscript"/>
        <sz val="11"/>
        <color theme="1"/>
        <rFont val="Calibri"/>
        <family val="2"/>
      </rPr>
      <t>h</t>
    </r>
  </si>
  <si>
    <t>Quadaric Equation</t>
  </si>
  <si>
    <r>
      <t>J*ξ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 xml:space="preserve"> = U</t>
    </r>
    <r>
      <rPr>
        <vertAlign val="subscript"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(1-ξ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)-U</t>
    </r>
    <r>
      <rPr>
        <vertAlign val="subscript"/>
        <sz val="14"/>
        <color theme="1"/>
        <rFont val="Calibri"/>
        <family val="2"/>
        <scheme val="minor"/>
      </rPr>
      <t>r</t>
    </r>
    <r>
      <rPr>
        <sz val="14"/>
        <color theme="1"/>
        <rFont val="Calibri"/>
        <family val="2"/>
        <scheme val="minor"/>
      </rPr>
      <t>*(ξ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-ξ</t>
    </r>
    <r>
      <rPr>
        <vertAlign val="subscript"/>
        <sz val="14"/>
        <color theme="1"/>
        <rFont val="Calibri"/>
        <family val="2"/>
        <scheme val="minor"/>
      </rPr>
      <t>v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</si>
  <si>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r>
      <t>U</t>
    </r>
    <r>
      <rPr>
        <vertAlign val="subscript"/>
        <sz val="11"/>
        <color theme="1"/>
        <rFont val="Calibri"/>
        <family val="2"/>
        <scheme val="minor"/>
      </rPr>
      <t>p</t>
    </r>
  </si>
  <si>
    <r>
      <t>J/(1-ξ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)   = U</t>
    </r>
    <r>
      <rPr>
        <vertAlign val="subscript"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/ξ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-U</t>
    </r>
    <r>
      <rPr>
        <vertAlign val="subscript"/>
        <sz val="14"/>
        <color theme="1"/>
        <rFont val="Calibri"/>
        <family val="2"/>
        <scheme val="minor"/>
      </rPr>
      <t>r</t>
    </r>
  </si>
  <si>
    <r>
      <t>U</t>
    </r>
    <r>
      <rPr>
        <vertAlign val="subscript"/>
        <sz val="11"/>
        <color theme="1"/>
        <rFont val="Calibri"/>
        <family val="2"/>
        <scheme val="minor"/>
      </rPr>
      <t>t</t>
    </r>
  </si>
  <si>
    <r>
      <t>Let J= 4*M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/(3.14*D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*ρ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)</t>
    </r>
  </si>
  <si>
    <r>
      <t>U</t>
    </r>
    <r>
      <rPr>
        <vertAlign val="subscript"/>
        <sz val="11"/>
        <color theme="1"/>
        <rFont val="Calibri"/>
        <family val="2"/>
        <scheme val="minor"/>
      </rPr>
      <t>salt</t>
    </r>
  </si>
  <si>
    <r>
      <t>U</t>
    </r>
    <r>
      <rPr>
        <vertAlign val="subscript"/>
        <sz val="14"/>
        <color theme="1"/>
        <rFont val="Calibri"/>
        <family val="2"/>
        <scheme val="minor"/>
      </rPr>
      <t>pv</t>
    </r>
    <r>
      <rPr>
        <sz val="14"/>
        <color theme="1"/>
        <rFont val="Calibri"/>
        <family val="2"/>
        <scheme val="minor"/>
      </rPr>
      <t xml:space="preserve"> = 4*M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/(3.14*D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*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p</t>
    </r>
    <r>
      <rPr>
        <sz val="14"/>
        <color theme="1"/>
        <rFont val="Calibri"/>
        <family val="2"/>
      </rPr>
      <t>*(1-ξ</t>
    </r>
    <r>
      <rPr>
        <vertAlign val="subscript"/>
        <sz val="14"/>
        <color theme="1"/>
        <rFont val="Calibri"/>
        <family val="2"/>
      </rPr>
      <t>v</t>
    </r>
    <r>
      <rPr>
        <sz val="14"/>
        <color theme="1"/>
        <rFont val="Calibri"/>
        <family val="2"/>
      </rPr>
      <t>))= (U</t>
    </r>
    <r>
      <rPr>
        <vertAlign val="subscript"/>
        <sz val="14"/>
        <color theme="1"/>
        <rFont val="Calibri"/>
        <family val="2"/>
      </rPr>
      <t>t</t>
    </r>
    <r>
      <rPr>
        <sz val="14"/>
        <color theme="1"/>
        <rFont val="Calibri"/>
        <family val="2"/>
      </rPr>
      <t>/ξ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) - U</t>
    </r>
    <r>
      <rPr>
        <vertAlign val="subscript"/>
        <sz val="14"/>
        <color theme="1"/>
        <rFont val="Calibri"/>
        <family val="2"/>
        <scheme val="minor"/>
      </rPr>
      <t>r</t>
    </r>
  </si>
  <si>
    <r>
      <t>m</t>
    </r>
    <r>
      <rPr>
        <vertAlign val="superscript"/>
        <sz val="9"/>
        <color theme="1"/>
        <rFont val="Calibri"/>
        <family val="2"/>
        <scheme val="minor"/>
      </rPr>
      <t>2</t>
    </r>
  </si>
  <si>
    <t>X-sec A</t>
  </si>
  <si>
    <r>
      <t>where G = mass flux = 4*M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/(3.14*D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</si>
  <si>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t>Dia  D</t>
  </si>
  <si>
    <r>
      <t>G =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p</t>
    </r>
    <r>
      <rPr>
        <sz val="14"/>
        <color theme="1"/>
        <rFont val="Calibri"/>
        <family val="2"/>
      </rPr>
      <t>(1-ξ</t>
    </r>
    <r>
      <rPr>
        <vertAlign val="subscript"/>
        <sz val="14"/>
        <color theme="1"/>
        <rFont val="Calibri"/>
        <family val="2"/>
      </rPr>
      <t>v</t>
    </r>
    <r>
      <rPr>
        <sz val="14"/>
        <color theme="1"/>
        <rFont val="Calibri"/>
        <family val="2"/>
      </rPr>
      <t>)U</t>
    </r>
    <r>
      <rPr>
        <vertAlign val="subscript"/>
        <sz val="14"/>
        <color theme="1"/>
        <rFont val="Calibri"/>
        <family val="2"/>
      </rPr>
      <t>pv</t>
    </r>
    <r>
      <rPr>
        <sz val="14"/>
        <color theme="1"/>
        <rFont val="Calibri"/>
        <family val="2"/>
      </rPr>
      <t xml:space="preserve"> = ρ</t>
    </r>
    <r>
      <rPr>
        <vertAlign val="subscript"/>
        <sz val="14"/>
        <color theme="1"/>
        <rFont val="Calibri"/>
        <family val="2"/>
      </rPr>
      <t>p</t>
    </r>
    <r>
      <rPr>
        <sz val="14"/>
        <color theme="1"/>
        <rFont val="Calibri"/>
        <family val="2"/>
      </rPr>
      <t>(1-ξ</t>
    </r>
    <r>
      <rPr>
        <vertAlign val="subscript"/>
        <sz val="14"/>
        <color theme="1"/>
        <rFont val="Calibri"/>
        <family val="2"/>
      </rPr>
      <t>v</t>
    </r>
    <r>
      <rPr>
        <sz val="14"/>
        <color theme="1"/>
        <rFont val="Calibri"/>
        <family val="2"/>
      </rPr>
      <t>)*(U</t>
    </r>
    <r>
      <rPr>
        <vertAlign val="subscript"/>
        <sz val="14"/>
        <color theme="1"/>
        <rFont val="Calibri"/>
        <family val="2"/>
      </rPr>
      <t>t</t>
    </r>
    <r>
      <rPr>
        <sz val="14"/>
        <color theme="1"/>
        <rFont val="Calibri"/>
        <family val="2"/>
      </rPr>
      <t>/ξ</t>
    </r>
    <r>
      <rPr>
        <vertAlign val="subscript"/>
        <sz val="14"/>
        <color theme="1"/>
        <rFont val="Calibri"/>
        <family val="2"/>
      </rPr>
      <t>v</t>
    </r>
    <r>
      <rPr>
        <sz val="14"/>
        <color theme="1"/>
        <rFont val="Calibri"/>
        <family val="2"/>
      </rPr>
      <t>-U</t>
    </r>
    <r>
      <rPr>
        <vertAlign val="subscript"/>
        <sz val="14"/>
        <color theme="1"/>
        <rFont val="Calibri"/>
        <family val="2"/>
      </rPr>
      <t>r</t>
    </r>
    <r>
      <rPr>
        <sz val="14"/>
        <color theme="1"/>
        <rFont val="Calibri"/>
        <family val="2"/>
      </rPr>
      <t>)</t>
    </r>
  </si>
  <si>
    <t>Pipe</t>
  </si>
  <si>
    <r>
      <t>U</t>
    </r>
    <r>
      <rPr>
        <vertAlign val="subscript"/>
        <sz val="14"/>
        <color theme="1"/>
        <rFont val="Calibri"/>
        <family val="2"/>
        <scheme val="minor"/>
      </rPr>
      <t>pv</t>
    </r>
    <r>
      <rPr>
        <sz val="14"/>
        <color theme="1"/>
        <rFont val="Calibri"/>
        <family val="2"/>
        <scheme val="minor"/>
      </rPr>
      <t xml:space="preserve"> = U</t>
    </r>
    <r>
      <rPr>
        <vertAlign val="subscript"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/</t>
    </r>
    <r>
      <rPr>
        <sz val="14"/>
        <color theme="1"/>
        <rFont val="Calibri"/>
        <family val="2"/>
      </rPr>
      <t>ξ</t>
    </r>
    <r>
      <rPr>
        <vertAlign val="subscript"/>
        <sz val="14"/>
        <color theme="1"/>
        <rFont val="Calibri"/>
        <family val="2"/>
      </rPr>
      <t>v</t>
    </r>
    <r>
      <rPr>
        <sz val="14"/>
        <color theme="1"/>
        <rFont val="Calibri"/>
        <family val="2"/>
      </rPr>
      <t>-U</t>
    </r>
    <r>
      <rPr>
        <vertAlign val="subscript"/>
        <sz val="14"/>
        <color theme="1"/>
        <rFont val="Calibri"/>
        <family val="2"/>
      </rPr>
      <t xml:space="preserve">r </t>
    </r>
    <r>
      <rPr>
        <sz val="14"/>
        <color theme="1"/>
        <rFont val="Calibri"/>
        <family val="2"/>
      </rPr>
      <t>= Particle velocity vertical</t>
    </r>
  </si>
  <si>
    <t>Intermediate Calculations-2</t>
  </si>
  <si>
    <r>
      <t>Ur = 1.74*(d*(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p</t>
    </r>
    <r>
      <rPr>
        <sz val="14"/>
        <color theme="1"/>
        <rFont val="Calibri"/>
        <family val="2"/>
      </rPr>
      <t>-ρ</t>
    </r>
    <r>
      <rPr>
        <vertAlign val="subscript"/>
        <sz val="14"/>
        <color theme="1"/>
        <rFont val="Calibri"/>
        <family val="2"/>
      </rPr>
      <t>f</t>
    </r>
    <r>
      <rPr>
        <sz val="14"/>
        <color theme="1"/>
        <rFont val="Calibri"/>
        <family val="2"/>
      </rPr>
      <t>)*g/ρ</t>
    </r>
    <r>
      <rPr>
        <vertAlign val="subscript"/>
        <sz val="14"/>
        <color theme="1"/>
        <rFont val="Calibri"/>
        <family val="2"/>
      </rPr>
      <t>f</t>
    </r>
    <r>
      <rPr>
        <sz val="14"/>
        <color theme="1"/>
        <rFont val="Calibri"/>
        <family val="2"/>
      </rPr>
      <t>)</t>
    </r>
    <r>
      <rPr>
        <vertAlign val="superscript"/>
        <sz val="14"/>
        <color theme="1"/>
        <rFont val="Calibri"/>
        <family val="2"/>
      </rPr>
      <t>0.5</t>
    </r>
  </si>
  <si>
    <t>Ur = Vertical relative velocity</t>
  </si>
  <si>
    <t>Pressure Loss in Vertical pipe line</t>
  </si>
  <si>
    <r>
      <t>ΔP</t>
    </r>
    <r>
      <rPr>
        <vertAlign val="subscript"/>
        <sz val="14"/>
        <color theme="1"/>
        <rFont val="Calibri"/>
        <family val="2"/>
        <scheme val="minor"/>
      </rPr>
      <t>h</t>
    </r>
    <r>
      <rPr>
        <sz val="14"/>
        <color theme="1"/>
        <rFont val="Calibri"/>
        <family val="2"/>
        <scheme val="minor"/>
      </rPr>
      <t xml:space="preserve"> = Δ</t>
    </r>
    <r>
      <rPr>
        <vertAlign val="subscript"/>
        <sz val="14"/>
        <color theme="1"/>
        <rFont val="Calibri"/>
        <family val="2"/>
        <scheme val="minor"/>
      </rPr>
      <t>fh-acc</t>
    </r>
    <r>
      <rPr>
        <sz val="14"/>
        <color theme="1"/>
        <rFont val="Calibri"/>
        <family val="2"/>
        <scheme val="minor"/>
      </rPr>
      <t>+Δ</t>
    </r>
    <r>
      <rPr>
        <vertAlign val="subscript"/>
        <sz val="14"/>
        <color theme="1"/>
        <rFont val="Calibri"/>
        <family val="2"/>
        <scheme val="minor"/>
      </rPr>
      <t>ph-acc</t>
    </r>
    <r>
      <rPr>
        <sz val="14"/>
        <color theme="1"/>
        <rFont val="Calibri"/>
        <family val="2"/>
        <scheme val="minor"/>
      </rPr>
      <t xml:space="preserve"> +ΔP</t>
    </r>
    <r>
      <rPr>
        <vertAlign val="subscript"/>
        <sz val="14"/>
        <color theme="1"/>
        <rFont val="Calibri"/>
        <family val="2"/>
        <scheme val="minor"/>
      </rPr>
      <t>fh-fric</t>
    </r>
    <r>
      <rPr>
        <sz val="14"/>
        <color theme="1"/>
        <rFont val="Calibri"/>
        <family val="2"/>
        <scheme val="minor"/>
      </rPr>
      <t xml:space="preserve"> +ΔP</t>
    </r>
    <r>
      <rPr>
        <vertAlign val="subscript"/>
        <sz val="14"/>
        <color theme="1"/>
        <rFont val="Calibri"/>
        <family val="2"/>
        <scheme val="minor"/>
      </rPr>
      <t>ph-fric</t>
    </r>
  </si>
  <si>
    <r>
      <t>L</t>
    </r>
    <r>
      <rPr>
        <vertAlign val="subscript"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 xml:space="preserve">     =  Total Vertical pipe length</t>
    </r>
  </si>
  <si>
    <r>
      <t>L</t>
    </r>
    <r>
      <rPr>
        <vertAlign val="subscript"/>
        <sz val="14"/>
        <color theme="1"/>
        <rFont val="Calibri"/>
        <family val="2"/>
        <scheme val="minor"/>
      </rPr>
      <t>h</t>
    </r>
    <r>
      <rPr>
        <sz val="14"/>
        <color theme="1"/>
        <rFont val="Calibri"/>
        <family val="2"/>
        <scheme val="minor"/>
      </rPr>
      <t xml:space="preserve">   = Total Horizontal pipe length</t>
    </r>
  </si>
  <si>
    <r>
      <t>ΔP</t>
    </r>
    <r>
      <rPr>
        <vertAlign val="subscript"/>
        <sz val="14"/>
        <color theme="1"/>
        <rFont val="Calibri"/>
        <family val="2"/>
        <scheme val="minor"/>
      </rPr>
      <t xml:space="preserve">p-friction </t>
    </r>
    <r>
      <rPr>
        <sz val="14"/>
        <color theme="1"/>
        <rFont val="Calibri"/>
        <family val="2"/>
        <scheme val="minor"/>
      </rPr>
      <t xml:space="preserve"> = 2*f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*ρ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*U</t>
    </r>
    <r>
      <rPr>
        <vertAlign val="subscript"/>
        <sz val="14"/>
        <color theme="1"/>
        <rFont val="Calibri"/>
        <family val="2"/>
        <scheme val="minor"/>
      </rPr>
      <t>p</t>
    </r>
    <r>
      <rPr>
        <vertAlign val="superscript"/>
        <sz val="14"/>
        <color theme="1"/>
        <rFont val="Calibri"/>
        <family val="2"/>
        <scheme val="minor"/>
      </rPr>
      <t>2</t>
    </r>
    <r>
      <rPr>
        <vertAlign val="subscript"/>
        <sz val="14"/>
        <color theme="1"/>
        <rFont val="Calibri"/>
        <family val="2"/>
        <scheme val="minor"/>
      </rPr>
      <t>*</t>
    </r>
    <r>
      <rPr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  <scheme val="minor"/>
      </rPr>
      <t>h</t>
    </r>
    <r>
      <rPr>
        <sz val="14"/>
        <color theme="1"/>
        <rFont val="Calibri"/>
        <family val="2"/>
        <scheme val="minor"/>
      </rPr>
      <t>*(1-ξ</t>
    </r>
    <r>
      <rPr>
        <vertAlign val="subscript"/>
        <sz val="14"/>
        <color theme="1"/>
        <rFont val="Calibri"/>
        <family val="2"/>
        <scheme val="minor"/>
      </rPr>
      <t>h</t>
    </r>
    <r>
      <rPr>
        <sz val="14"/>
        <color theme="1"/>
        <rFont val="Calibri"/>
        <family val="2"/>
        <scheme val="minor"/>
      </rPr>
      <t>)/D</t>
    </r>
  </si>
  <si>
    <r>
      <t>ΔP</t>
    </r>
    <r>
      <rPr>
        <vertAlign val="subscript"/>
        <sz val="14"/>
        <color theme="1"/>
        <rFont val="Calibri"/>
        <family val="2"/>
        <scheme val="minor"/>
      </rPr>
      <t xml:space="preserve">ph-friction </t>
    </r>
    <r>
      <rPr>
        <sz val="14"/>
        <color theme="1"/>
        <rFont val="Calibri"/>
        <family val="2"/>
        <scheme val="minor"/>
      </rPr>
      <t xml:space="preserve"> = Pressure loss by particle friction</t>
    </r>
  </si>
  <si>
    <r>
      <t>ΔP</t>
    </r>
    <r>
      <rPr>
        <vertAlign val="subscript"/>
        <sz val="14"/>
        <color theme="1"/>
        <rFont val="Calibri"/>
        <family val="2"/>
        <scheme val="minor"/>
      </rPr>
      <t xml:space="preserve">fh-friction </t>
    </r>
    <r>
      <rPr>
        <sz val="14"/>
        <color theme="1"/>
        <rFont val="Calibri"/>
        <family val="2"/>
        <scheme val="minor"/>
      </rPr>
      <t xml:space="preserve"> = 2*f</t>
    </r>
    <r>
      <rPr>
        <vertAlign val="subscript"/>
        <sz val="14"/>
        <color theme="1"/>
        <rFont val="Calibri"/>
        <family val="2"/>
        <scheme val="minor"/>
      </rPr>
      <t>f</t>
    </r>
    <r>
      <rPr>
        <sz val="14"/>
        <color theme="1"/>
        <rFont val="Calibri"/>
        <family val="2"/>
        <scheme val="minor"/>
      </rPr>
      <t>*ρ</t>
    </r>
    <r>
      <rPr>
        <vertAlign val="subscript"/>
        <sz val="14"/>
        <color theme="1"/>
        <rFont val="Calibri"/>
        <family val="2"/>
        <scheme val="minor"/>
      </rPr>
      <t>f</t>
    </r>
    <r>
      <rPr>
        <sz val="14"/>
        <color theme="1"/>
        <rFont val="Calibri"/>
        <family val="2"/>
        <scheme val="minor"/>
      </rPr>
      <t>*U</t>
    </r>
    <r>
      <rPr>
        <vertAlign val="subscript"/>
        <sz val="14"/>
        <color theme="1"/>
        <rFont val="Calibri"/>
        <family val="2"/>
        <scheme val="minor"/>
      </rPr>
      <t>f</t>
    </r>
    <r>
      <rPr>
        <vertAlign val="superscript"/>
        <sz val="14"/>
        <color theme="1"/>
        <rFont val="Calibri"/>
        <family val="2"/>
        <scheme val="minor"/>
      </rPr>
      <t>2</t>
    </r>
    <r>
      <rPr>
        <vertAlign val="subscript"/>
        <sz val="14"/>
        <color theme="1"/>
        <rFont val="Calibri"/>
        <family val="2"/>
        <scheme val="minor"/>
      </rPr>
      <t>*</t>
    </r>
    <r>
      <rPr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  <scheme val="minor"/>
      </rPr>
      <t>h</t>
    </r>
    <r>
      <rPr>
        <sz val="14"/>
        <color theme="1"/>
        <rFont val="Calibri"/>
        <family val="2"/>
        <scheme val="minor"/>
      </rPr>
      <t>*ξ</t>
    </r>
    <r>
      <rPr>
        <vertAlign val="subscript"/>
        <sz val="14"/>
        <color theme="1"/>
        <rFont val="Calibri"/>
        <family val="2"/>
        <scheme val="minor"/>
      </rPr>
      <t>h</t>
    </r>
    <r>
      <rPr>
        <sz val="14"/>
        <color theme="1"/>
        <rFont val="Calibri"/>
        <family val="2"/>
        <scheme val="minor"/>
      </rPr>
      <t>/D</t>
    </r>
  </si>
  <si>
    <r>
      <t>ΔP</t>
    </r>
    <r>
      <rPr>
        <vertAlign val="subscript"/>
        <sz val="14"/>
        <color theme="1"/>
        <rFont val="Calibri"/>
        <family val="2"/>
        <scheme val="minor"/>
      </rPr>
      <t xml:space="preserve">fh-friction  </t>
    </r>
    <r>
      <rPr>
        <sz val="14"/>
        <color theme="1"/>
        <rFont val="Calibri"/>
        <family val="2"/>
        <scheme val="minor"/>
      </rPr>
      <t>= Pressure loss by fluid friction</t>
    </r>
  </si>
  <si>
    <r>
      <t>ΔP</t>
    </r>
    <r>
      <rPr>
        <vertAlign val="subscript"/>
        <sz val="14"/>
        <color theme="1"/>
        <rFont val="Calibri"/>
        <family val="2"/>
        <scheme val="minor"/>
      </rPr>
      <t>ph-acc</t>
    </r>
    <r>
      <rPr>
        <sz val="14"/>
        <color theme="1"/>
        <rFont val="Calibri"/>
        <family val="2"/>
        <scheme val="minor"/>
      </rPr>
      <t xml:space="preserve">  = 0.5*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p</t>
    </r>
    <r>
      <rPr>
        <sz val="14"/>
        <color theme="1"/>
        <rFont val="Calibri"/>
        <family val="2"/>
      </rPr>
      <t>*(1-ξ</t>
    </r>
    <r>
      <rPr>
        <vertAlign val="subscript"/>
        <sz val="14"/>
        <color theme="1"/>
        <rFont val="Calibri"/>
        <family val="2"/>
      </rPr>
      <t>h</t>
    </r>
    <r>
      <rPr>
        <sz val="14"/>
        <color theme="1"/>
        <rFont val="Calibri"/>
        <family val="2"/>
      </rPr>
      <t>)*U</t>
    </r>
    <r>
      <rPr>
        <vertAlign val="subscript"/>
        <sz val="14"/>
        <color theme="1"/>
        <rFont val="Calibri"/>
        <family val="2"/>
      </rPr>
      <t>p</t>
    </r>
    <r>
      <rPr>
        <vertAlign val="superscript"/>
        <sz val="14"/>
        <color theme="1"/>
        <rFont val="Calibri"/>
        <family val="2"/>
      </rPr>
      <t>2</t>
    </r>
  </si>
  <si>
    <t>Kg/S</t>
  </si>
  <si>
    <r>
      <t>ΔP</t>
    </r>
    <r>
      <rPr>
        <vertAlign val="subscript"/>
        <sz val="14"/>
        <color theme="1"/>
        <rFont val="Calibri"/>
        <family val="2"/>
        <scheme val="minor"/>
      </rPr>
      <t xml:space="preserve">ph-acc  </t>
    </r>
    <r>
      <rPr>
        <sz val="14"/>
        <color theme="1"/>
        <rFont val="Calibri"/>
        <family val="2"/>
        <scheme val="minor"/>
      </rPr>
      <t>= Pressure loss by particle horizontal acceleration</t>
    </r>
  </si>
  <si>
    <t>Intermediate calculations at the bottom of Drawing</t>
  </si>
  <si>
    <r>
      <t>ΔP</t>
    </r>
    <r>
      <rPr>
        <vertAlign val="subscript"/>
        <sz val="14"/>
        <color theme="1"/>
        <rFont val="Calibri"/>
        <family val="2"/>
        <scheme val="minor"/>
      </rPr>
      <t>fh-acc</t>
    </r>
    <r>
      <rPr>
        <sz val="14"/>
        <color theme="1"/>
        <rFont val="Calibri"/>
        <family val="2"/>
        <scheme val="minor"/>
      </rPr>
      <t xml:space="preserve">  = 0.5*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f</t>
    </r>
    <r>
      <rPr>
        <sz val="14"/>
        <color theme="1"/>
        <rFont val="Calibri"/>
        <family val="2"/>
      </rPr>
      <t>*ξ</t>
    </r>
    <r>
      <rPr>
        <vertAlign val="subscript"/>
        <sz val="14"/>
        <color theme="1"/>
        <rFont val="Calibri"/>
        <family val="2"/>
      </rPr>
      <t>h</t>
    </r>
    <r>
      <rPr>
        <sz val="14"/>
        <color theme="1"/>
        <rFont val="Calibri"/>
        <family val="2"/>
      </rPr>
      <t>*U</t>
    </r>
    <r>
      <rPr>
        <vertAlign val="subscript"/>
        <sz val="14"/>
        <color theme="1"/>
        <rFont val="Calibri"/>
        <family val="2"/>
      </rPr>
      <t>f</t>
    </r>
    <r>
      <rPr>
        <vertAlign val="superscript"/>
        <sz val="14"/>
        <color theme="1"/>
        <rFont val="Calibri"/>
        <family val="2"/>
      </rPr>
      <t>2</t>
    </r>
  </si>
  <si>
    <r>
      <t>ΔP</t>
    </r>
    <r>
      <rPr>
        <vertAlign val="subscript"/>
        <sz val="14"/>
        <color theme="1"/>
        <rFont val="Calibri"/>
        <family val="2"/>
        <scheme val="minor"/>
      </rPr>
      <t xml:space="preserve">fh-acc  </t>
    </r>
    <r>
      <rPr>
        <sz val="14"/>
        <color theme="1"/>
        <rFont val="Calibri"/>
        <family val="2"/>
        <scheme val="minor"/>
      </rPr>
      <t>= Pressure loss by fluid horizontal acceleration</t>
    </r>
  </si>
  <si>
    <t>Pressure Loss in Horizontal pipe line</t>
  </si>
  <si>
    <t>`</t>
  </si>
  <si>
    <t>ɛ = Pipe internal wall  roughness = 0.000015 mtr for steel</t>
  </si>
  <si>
    <r>
      <t>f</t>
    </r>
    <r>
      <rPr>
        <vertAlign val="subscript"/>
        <sz val="14"/>
        <color theme="1"/>
        <rFont val="Calibri"/>
        <family val="2"/>
        <scheme val="minor"/>
      </rPr>
      <t>f</t>
    </r>
    <r>
      <rPr>
        <sz val="14"/>
        <color theme="1"/>
        <rFont val="Calibri"/>
        <family val="2"/>
        <scheme val="minor"/>
      </rPr>
      <t xml:space="preserve"> = [1/{1.14-2log((ɛ/D)*21.25/Re</t>
    </r>
    <r>
      <rPr>
        <vertAlign val="subscript"/>
        <sz val="14"/>
        <color theme="1"/>
        <rFont val="Calibri"/>
        <family val="2"/>
        <scheme val="minor"/>
      </rPr>
      <t>f</t>
    </r>
    <r>
      <rPr>
        <vertAlign val="superscript"/>
        <sz val="14"/>
        <color theme="1"/>
        <rFont val="Calibri"/>
        <family val="2"/>
        <scheme val="minor"/>
      </rPr>
      <t>0.9</t>
    </r>
    <r>
      <rPr>
        <sz val="14"/>
        <color theme="1"/>
        <rFont val="Calibri"/>
        <family val="2"/>
        <scheme val="minor"/>
      </rPr>
      <t>)}]</t>
    </r>
    <r>
      <rPr>
        <vertAlign val="superscript"/>
        <sz val="14"/>
        <color theme="1"/>
        <rFont val="Calibri"/>
        <family val="2"/>
        <scheme val="minor"/>
      </rPr>
      <t>2</t>
    </r>
  </si>
  <si>
    <r>
      <t>f</t>
    </r>
    <r>
      <rPr>
        <vertAlign val="subscript"/>
        <sz val="14"/>
        <color theme="1"/>
        <rFont val="Calibri"/>
        <family val="2"/>
        <scheme val="minor"/>
      </rPr>
      <t>f</t>
    </r>
    <r>
      <rPr>
        <sz val="14"/>
        <color theme="1"/>
        <rFont val="Calibri"/>
        <family val="2"/>
        <scheme val="minor"/>
      </rPr>
      <t xml:space="preserve"> = friction factor fluid</t>
    </r>
  </si>
  <si>
    <r>
      <t>f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 xml:space="preserve"> =  (3/8)*(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f</t>
    </r>
    <r>
      <rPr>
        <sz val="14"/>
        <color theme="1"/>
        <rFont val="Calibri"/>
        <family val="2"/>
      </rPr>
      <t>/ρ</t>
    </r>
    <r>
      <rPr>
        <vertAlign val="subscript"/>
        <sz val="14"/>
        <color theme="1"/>
        <rFont val="Calibri"/>
        <family val="2"/>
      </rPr>
      <t>p</t>
    </r>
    <r>
      <rPr>
        <sz val="14"/>
        <color theme="1"/>
        <rFont val="Calibri"/>
        <family val="2"/>
      </rPr>
      <t>)*(D/d)*C</t>
    </r>
    <r>
      <rPr>
        <vertAlign val="subscript"/>
        <sz val="14"/>
        <color theme="1"/>
        <rFont val="Calibri"/>
        <family val="2"/>
      </rPr>
      <t>D</t>
    </r>
    <r>
      <rPr>
        <sz val="14"/>
        <color theme="1"/>
        <rFont val="Calibri"/>
        <family val="2"/>
      </rPr>
      <t>*((U</t>
    </r>
    <r>
      <rPr>
        <vertAlign val="subscript"/>
        <sz val="14"/>
        <color theme="1"/>
        <rFont val="Calibri"/>
        <family val="2"/>
      </rPr>
      <t>f</t>
    </r>
    <r>
      <rPr>
        <sz val="14"/>
        <color theme="1"/>
        <rFont val="Calibri"/>
        <family val="2"/>
      </rPr>
      <t>-U</t>
    </r>
    <r>
      <rPr>
        <vertAlign val="subscript"/>
        <sz val="14"/>
        <color theme="1"/>
        <rFont val="Calibri"/>
        <family val="2"/>
      </rPr>
      <t>p</t>
    </r>
    <r>
      <rPr>
        <sz val="14"/>
        <color theme="1"/>
        <rFont val="Calibri"/>
        <family val="2"/>
      </rPr>
      <t>)/U</t>
    </r>
    <r>
      <rPr>
        <vertAlign val="subscript"/>
        <sz val="14"/>
        <color theme="1"/>
        <rFont val="Calibri"/>
        <family val="2"/>
      </rPr>
      <t>p</t>
    </r>
    <r>
      <rPr>
        <sz val="14"/>
        <color theme="1"/>
        <rFont val="Calibri"/>
        <family val="2"/>
      </rPr>
      <t>)</t>
    </r>
    <r>
      <rPr>
        <vertAlign val="superscript"/>
        <sz val="14"/>
        <color theme="1"/>
        <rFont val="Calibri"/>
        <family val="2"/>
      </rPr>
      <t>2</t>
    </r>
  </si>
  <si>
    <r>
      <t>f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 xml:space="preserve"> = friction factor particle</t>
    </r>
  </si>
  <si>
    <t>Select from Blower catalogue Standared model suitable as per above data, SCB  is preffred choice than RB in similar pressure and Flow case</t>
  </si>
  <si>
    <r>
      <t>C</t>
    </r>
    <r>
      <rPr>
        <vertAlign val="subscript"/>
        <sz val="14"/>
        <color theme="1"/>
        <rFont val="Calibri"/>
        <family val="2"/>
        <scheme val="minor"/>
      </rPr>
      <t>D</t>
    </r>
    <r>
      <rPr>
        <sz val="14"/>
        <color theme="1"/>
        <rFont val="Calibri"/>
        <family val="2"/>
        <scheme val="minor"/>
      </rPr>
      <t xml:space="preserve"> =  (24/Re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)*(1+0.15*(Re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)</t>
    </r>
    <r>
      <rPr>
        <vertAlign val="superscript"/>
        <sz val="14"/>
        <color theme="1"/>
        <rFont val="Calibri"/>
        <family val="2"/>
        <scheme val="minor"/>
      </rPr>
      <t>0.687</t>
    </r>
    <r>
      <rPr>
        <sz val="14"/>
        <color theme="1"/>
        <rFont val="Calibri"/>
        <family val="2"/>
        <scheme val="minor"/>
      </rPr>
      <t>)+0.42*(1+42300*Re</t>
    </r>
    <r>
      <rPr>
        <vertAlign val="subscript"/>
        <sz val="14"/>
        <color theme="1"/>
        <rFont val="Calibri"/>
        <family val="2"/>
        <scheme val="minor"/>
      </rPr>
      <t>p</t>
    </r>
    <r>
      <rPr>
        <vertAlign val="superscript"/>
        <sz val="14"/>
        <color theme="1"/>
        <rFont val="Calibri"/>
        <family val="2"/>
        <scheme val="minor"/>
      </rPr>
      <t>-1</t>
    </r>
    <r>
      <rPr>
        <sz val="14"/>
        <color theme="1"/>
        <rFont val="Calibri"/>
        <family val="2"/>
        <scheme val="minor"/>
      </rPr>
      <t>)</t>
    </r>
    <r>
      <rPr>
        <vertAlign val="superscript"/>
        <sz val="14"/>
        <color theme="1"/>
        <rFont val="Calibri"/>
        <family val="2"/>
        <scheme val="minor"/>
      </rPr>
      <t>-1</t>
    </r>
  </si>
  <si>
    <t>CB- Centrifugal blower,   RB-Roots blower,   SCB- Side channel or Ring Blower</t>
  </si>
  <si>
    <r>
      <t>C</t>
    </r>
    <r>
      <rPr>
        <vertAlign val="subscript"/>
        <sz val="14"/>
        <color theme="1"/>
        <rFont val="Calibri"/>
        <family val="2"/>
        <scheme val="minor"/>
      </rPr>
      <t>D</t>
    </r>
    <r>
      <rPr>
        <sz val="14"/>
        <color theme="1"/>
        <rFont val="Calibri"/>
        <family val="2"/>
        <scheme val="minor"/>
      </rPr>
      <t xml:space="preserve"> = Drag coefficient </t>
    </r>
  </si>
  <si>
    <t>Blower Type</t>
  </si>
  <si>
    <r>
      <t>Re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 xml:space="preserve"> = Reynolds no Particle = 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f</t>
    </r>
    <r>
      <rPr>
        <sz val="14"/>
        <color theme="1"/>
        <rFont val="Calibri"/>
        <family val="2"/>
      </rPr>
      <t>(U</t>
    </r>
    <r>
      <rPr>
        <vertAlign val="subscript"/>
        <sz val="14"/>
        <color theme="1"/>
        <rFont val="Calibri"/>
        <family val="2"/>
      </rPr>
      <t>f</t>
    </r>
    <r>
      <rPr>
        <sz val="14"/>
        <color theme="1"/>
        <rFont val="Calibri"/>
        <family val="2"/>
      </rPr>
      <t>-U</t>
    </r>
    <r>
      <rPr>
        <vertAlign val="subscript"/>
        <sz val="14"/>
        <color theme="1"/>
        <rFont val="Calibri"/>
        <family val="2"/>
      </rPr>
      <t>p</t>
    </r>
    <r>
      <rPr>
        <sz val="14"/>
        <color theme="1"/>
        <rFont val="Calibri"/>
        <family val="2"/>
      </rPr>
      <t>)d/µ</t>
    </r>
    <r>
      <rPr>
        <vertAlign val="subscript"/>
        <sz val="14"/>
        <color theme="1"/>
        <rFont val="Calibri"/>
        <family val="2"/>
      </rPr>
      <t>f</t>
    </r>
  </si>
  <si>
    <t>Design KW Blower</t>
  </si>
  <si>
    <r>
      <t>Re</t>
    </r>
    <r>
      <rPr>
        <vertAlign val="subscript"/>
        <sz val="14"/>
        <color theme="1"/>
        <rFont val="Calibri"/>
        <family val="2"/>
        <scheme val="minor"/>
      </rPr>
      <t xml:space="preserve">f </t>
    </r>
    <r>
      <rPr>
        <sz val="14"/>
        <color theme="1"/>
        <rFont val="Calibri"/>
        <family val="2"/>
        <scheme val="minor"/>
      </rPr>
      <t>= Reynolds No Fluid = D*U</t>
    </r>
    <r>
      <rPr>
        <vertAlign val="subscript"/>
        <sz val="14"/>
        <color theme="1"/>
        <rFont val="Calibri"/>
        <family val="2"/>
        <scheme val="minor"/>
      </rPr>
      <t>f</t>
    </r>
    <r>
      <rPr>
        <sz val="14"/>
        <color theme="1"/>
        <rFont val="Calibri"/>
        <family val="2"/>
        <scheme val="minor"/>
      </rPr>
      <t>*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f</t>
    </r>
    <r>
      <rPr>
        <sz val="14"/>
        <color theme="1"/>
        <rFont val="Calibri"/>
        <family val="2"/>
      </rPr>
      <t>/μ</t>
    </r>
    <r>
      <rPr>
        <vertAlign val="subscript"/>
        <sz val="14"/>
        <color theme="1"/>
        <rFont val="Calibri"/>
        <family val="2"/>
      </rPr>
      <t>f</t>
    </r>
  </si>
  <si>
    <r>
      <t xml:space="preserve">Blower </t>
    </r>
    <r>
      <rPr>
        <b/>
        <sz val="10"/>
        <color theme="1"/>
        <rFont val="Calibri"/>
        <family val="2"/>
      </rPr>
      <t>ΔP mmwc</t>
    </r>
  </si>
  <si>
    <r>
      <t>U</t>
    </r>
    <r>
      <rPr>
        <vertAlign val="subscript"/>
        <sz val="14"/>
        <color theme="1"/>
        <rFont val="Calibri"/>
        <family val="2"/>
        <scheme val="minor"/>
      </rPr>
      <t xml:space="preserve">f </t>
    </r>
    <r>
      <rPr>
        <sz val="14"/>
        <color theme="1"/>
        <rFont val="Calibri"/>
        <family val="2"/>
        <scheme val="minor"/>
      </rPr>
      <t>= Fluid desired velocity = U</t>
    </r>
    <r>
      <rPr>
        <vertAlign val="subscript"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/</t>
    </r>
    <r>
      <rPr>
        <sz val="14"/>
        <color theme="1"/>
        <rFont val="Calibri"/>
        <family val="2"/>
      </rPr>
      <t>ξ</t>
    </r>
    <r>
      <rPr>
        <vertAlign val="subscript"/>
        <sz val="14"/>
        <color theme="1"/>
        <rFont val="Calibri"/>
        <family val="2"/>
      </rPr>
      <t>f</t>
    </r>
  </si>
  <si>
    <r>
      <t>Blower Q</t>
    </r>
    <r>
      <rPr>
        <b/>
        <vertAlign val="subscript"/>
        <sz val="10"/>
        <color theme="1"/>
        <rFont val="Calibri"/>
        <family val="2"/>
        <scheme val="minor"/>
      </rPr>
      <t>v</t>
    </r>
    <r>
      <rPr>
        <b/>
        <sz val="10"/>
        <color theme="1"/>
        <rFont val="Calibri"/>
        <family val="2"/>
        <scheme val="minor"/>
      </rPr>
      <t xml:space="preserve">  m</t>
    </r>
    <r>
      <rPr>
        <b/>
        <vertAlign val="superscript"/>
        <sz val="10"/>
        <color theme="1"/>
        <rFont val="Calibri"/>
        <family val="2"/>
        <scheme val="minor"/>
      </rPr>
      <t>3</t>
    </r>
    <r>
      <rPr>
        <b/>
        <sz val="10"/>
        <color theme="1"/>
        <rFont val="Calibri"/>
        <family val="2"/>
        <scheme val="minor"/>
      </rPr>
      <t>/Hr</t>
    </r>
  </si>
  <si>
    <r>
      <rPr>
        <sz val="14"/>
        <color theme="1"/>
        <rFont val="Calibri"/>
        <family val="2"/>
      </rPr>
      <t>ξ</t>
    </r>
    <r>
      <rPr>
        <vertAlign val="subscript"/>
        <sz val="14"/>
        <color theme="1"/>
        <rFont val="Calibri"/>
        <family val="2"/>
      </rPr>
      <t xml:space="preserve">h </t>
    </r>
    <r>
      <rPr>
        <sz val="14"/>
        <color theme="1"/>
        <rFont val="Calibri"/>
        <family val="2"/>
      </rPr>
      <t xml:space="preserve">= </t>
    </r>
    <r>
      <rPr>
        <sz val="14"/>
        <color theme="1"/>
        <rFont val="Calibri"/>
        <family val="2"/>
        <scheme val="minor"/>
      </rPr>
      <t>Void fraction (horizontal flow) = 1-M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/(A*U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>*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p</t>
    </r>
    <r>
      <rPr>
        <sz val="14"/>
        <color theme="1"/>
        <rFont val="Calibri"/>
        <family val="2"/>
      </rPr>
      <t>)</t>
    </r>
  </si>
  <si>
    <r>
      <t>ΔP</t>
    </r>
    <r>
      <rPr>
        <b/>
        <vertAlign val="subscript"/>
        <sz val="10"/>
        <color theme="1"/>
        <rFont val="Calibri"/>
        <family val="2"/>
        <scheme val="minor"/>
      </rPr>
      <t>Gross     Pa</t>
    </r>
  </si>
  <si>
    <r>
      <t>U</t>
    </r>
    <r>
      <rPr>
        <vertAlign val="subscript"/>
        <sz val="14"/>
        <color theme="1"/>
        <rFont val="Calibri"/>
        <family val="2"/>
        <scheme val="minor"/>
      </rPr>
      <t>p</t>
    </r>
    <r>
      <rPr>
        <sz val="14"/>
        <color theme="1"/>
        <rFont val="Calibri"/>
        <family val="2"/>
        <scheme val="minor"/>
      </rPr>
      <t xml:space="preserve"> = Particle velocity = U</t>
    </r>
    <r>
      <rPr>
        <vertAlign val="subscript"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*(1-0.0638*d</t>
    </r>
    <r>
      <rPr>
        <vertAlign val="superscript"/>
        <sz val="14"/>
        <color theme="1"/>
        <rFont val="Calibri"/>
        <family val="2"/>
        <scheme val="minor"/>
      </rPr>
      <t>0.3</t>
    </r>
    <r>
      <rPr>
        <sz val="14"/>
        <color theme="1"/>
        <rFont val="Calibri"/>
        <family val="2"/>
        <scheme val="minor"/>
      </rPr>
      <t>*(</t>
    </r>
    <r>
      <rPr>
        <sz val="14"/>
        <color theme="1"/>
        <rFont val="Calibri"/>
        <family val="2"/>
      </rPr>
      <t>ρ</t>
    </r>
    <r>
      <rPr>
        <vertAlign val="subscript"/>
        <sz val="14"/>
        <color theme="1"/>
        <rFont val="Calibri"/>
        <family val="2"/>
      </rPr>
      <t>p</t>
    </r>
    <r>
      <rPr>
        <sz val="14"/>
        <color theme="1"/>
        <rFont val="Calibri"/>
        <family val="2"/>
      </rPr>
      <t>)</t>
    </r>
    <r>
      <rPr>
        <vertAlign val="superscript"/>
        <sz val="14"/>
        <color theme="1"/>
        <rFont val="Calibri"/>
        <family val="2"/>
      </rPr>
      <t>0.5</t>
    </r>
    <r>
      <rPr>
        <sz val="14"/>
        <color theme="1"/>
        <rFont val="Calibri"/>
        <family val="2"/>
      </rPr>
      <t>)</t>
    </r>
  </si>
  <si>
    <t>OUTPUT</t>
  </si>
  <si>
    <t>ID mtr</t>
  </si>
  <si>
    <t>ID</t>
  </si>
  <si>
    <t>WT</t>
  </si>
  <si>
    <t>OD</t>
  </si>
  <si>
    <r>
      <t>U</t>
    </r>
    <r>
      <rPr>
        <vertAlign val="subscript"/>
        <sz val="14"/>
        <color theme="1"/>
        <rFont val="Calibri"/>
        <family val="2"/>
        <scheme val="minor"/>
      </rPr>
      <t>salt</t>
    </r>
    <r>
      <rPr>
        <sz val="14"/>
        <color theme="1"/>
        <rFont val="Calibri"/>
        <family val="2"/>
        <scheme val="minor"/>
      </rPr>
      <t xml:space="preserve"> = Saltation Velocity below which particles start settling</t>
    </r>
  </si>
  <si>
    <r>
      <t xml:space="preserve">Change values in Yellow cells to compute corresponding </t>
    </r>
    <r>
      <rPr>
        <b/>
        <i/>
        <sz val="8"/>
        <color rgb="FFFF0000"/>
        <rFont val="Calibri"/>
        <family val="2"/>
      </rPr>
      <t>ΔP-Gross and Qv of required Blower</t>
    </r>
  </si>
  <si>
    <t>Pipe Chart  in mm</t>
  </si>
  <si>
    <r>
      <t>U</t>
    </r>
    <r>
      <rPr>
        <vertAlign val="subscript"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= 1.5*U</t>
    </r>
    <r>
      <rPr>
        <vertAlign val="subscript"/>
        <sz val="14"/>
        <color theme="1"/>
        <rFont val="Calibri"/>
        <family val="2"/>
        <scheme val="minor"/>
      </rPr>
      <t xml:space="preserve">salt    </t>
    </r>
    <r>
      <rPr>
        <sz val="14"/>
        <color theme="1"/>
        <rFont val="Calibri"/>
        <family val="2"/>
        <scheme val="minor"/>
      </rPr>
      <t>(Air terminal velocity)</t>
    </r>
  </si>
  <si>
    <r>
      <t xml:space="preserve">Pipe roughness   </t>
    </r>
    <r>
      <rPr>
        <sz val="7"/>
        <color theme="1"/>
        <rFont val="Calibri"/>
        <family val="2"/>
      </rPr>
      <t>ɛ (mtr) stainless steel</t>
    </r>
  </si>
  <si>
    <r>
      <t>Bulk Density       Kg/M</t>
    </r>
    <r>
      <rPr>
        <vertAlign val="superscript"/>
        <sz val="9"/>
        <color theme="1"/>
        <rFont val="Calibri"/>
        <family val="2"/>
        <scheme val="minor"/>
      </rPr>
      <t>3</t>
    </r>
  </si>
  <si>
    <r>
      <t>ρ = Particle density kg/m</t>
    </r>
    <r>
      <rPr>
        <vertAlign val="superscript"/>
        <sz val="14"/>
        <color theme="1"/>
        <rFont val="Calibri"/>
        <family val="2"/>
      </rPr>
      <t xml:space="preserve">3      </t>
    </r>
    <r>
      <rPr>
        <sz val="14"/>
        <color theme="1"/>
        <rFont val="Calibri"/>
        <family val="2"/>
      </rPr>
      <t>g= gravitational constant 9.8m/s2</t>
    </r>
  </si>
  <si>
    <t>β+1</t>
  </si>
  <si>
    <r>
      <rPr>
        <sz val="9"/>
        <color theme="1"/>
        <rFont val="Calibri"/>
        <family val="2"/>
      </rPr>
      <t>ρ</t>
    </r>
    <r>
      <rPr>
        <vertAlign val="subscript"/>
        <sz val="9"/>
        <color theme="1"/>
        <rFont val="Calibri"/>
        <family val="2"/>
      </rPr>
      <t>f</t>
    </r>
    <r>
      <rPr>
        <sz val="9"/>
        <color theme="1"/>
        <rFont val="Calibri"/>
        <family val="2"/>
      </rPr>
      <t xml:space="preserve">  kg/m</t>
    </r>
    <r>
      <rPr>
        <vertAlign val="superscript"/>
        <sz val="9"/>
        <color theme="1"/>
        <rFont val="Calibri"/>
        <family val="2"/>
      </rPr>
      <t>3</t>
    </r>
    <r>
      <rPr>
        <sz val="9"/>
        <color theme="1"/>
        <rFont val="Calibri"/>
        <family val="2"/>
      </rPr>
      <t xml:space="preserve">   </t>
    </r>
    <r>
      <rPr>
        <sz val="6"/>
        <color theme="1"/>
        <rFont val="Calibri"/>
        <family val="2"/>
      </rPr>
      <t xml:space="preserve">        </t>
    </r>
    <r>
      <rPr>
        <sz val="6"/>
        <color theme="1"/>
        <rFont val="Calibri"/>
        <family val="2"/>
        <scheme val="minor"/>
      </rPr>
      <t>Air Density</t>
    </r>
  </si>
  <si>
    <r>
      <t xml:space="preserve">    </t>
    </r>
    <r>
      <rPr>
        <sz val="9"/>
        <color theme="1"/>
        <rFont val="Calibri"/>
        <family val="2"/>
      </rPr>
      <t>µ</t>
    </r>
    <r>
      <rPr>
        <vertAlign val="subscript"/>
        <sz val="9"/>
        <color theme="1"/>
        <rFont val="Calibri"/>
        <family val="2"/>
      </rPr>
      <t>f</t>
    </r>
    <r>
      <rPr>
        <sz val="9"/>
        <color theme="1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 xml:space="preserve">(pas)     </t>
    </r>
    <r>
      <rPr>
        <sz val="6"/>
        <color theme="1"/>
        <rFont val="Calibri"/>
        <family val="2"/>
      </rPr>
      <t xml:space="preserve">       </t>
    </r>
    <r>
      <rPr>
        <sz val="6"/>
        <color theme="1"/>
        <rFont val="Calibri"/>
        <family val="2"/>
        <scheme val="minor"/>
      </rPr>
      <t xml:space="preserve">Air Viscosity  </t>
    </r>
  </si>
  <si>
    <r>
      <t>Particle density  Kg/M</t>
    </r>
    <r>
      <rPr>
        <vertAlign val="superscript"/>
        <sz val="9"/>
        <color theme="1"/>
        <rFont val="Calibri"/>
        <family val="2"/>
        <scheme val="minor"/>
      </rPr>
      <t>3</t>
    </r>
  </si>
  <si>
    <t>Mp=  Material feed rate Kg/s   D= Pipe dia mtr</t>
  </si>
  <si>
    <t>β/2</t>
  </si>
  <si>
    <r>
      <t>kg/s   M</t>
    </r>
    <r>
      <rPr>
        <vertAlign val="subscript"/>
        <sz val="9"/>
        <color theme="1"/>
        <rFont val="Calibri"/>
        <family val="2"/>
        <scheme val="minor"/>
      </rPr>
      <t>p</t>
    </r>
  </si>
  <si>
    <t>FEED Rate            kg/Hr</t>
  </si>
  <si>
    <t>Clickcell C8 to select</t>
  </si>
  <si>
    <t>Sherical</t>
  </si>
  <si>
    <t>Z</t>
  </si>
  <si>
    <t>Y</t>
  </si>
  <si>
    <t>X</t>
  </si>
  <si>
    <t xml:space="preserve">Cube </t>
  </si>
  <si>
    <t>β</t>
  </si>
  <si>
    <t>Material</t>
  </si>
  <si>
    <t>Particle shape and size   (mm)</t>
  </si>
  <si>
    <t>Thickness</t>
  </si>
  <si>
    <t>Dia</t>
  </si>
  <si>
    <t>Disk</t>
  </si>
  <si>
    <t>X= Equivalent particle dia</t>
  </si>
  <si>
    <t>α</t>
  </si>
  <si>
    <t>Lv</t>
  </si>
  <si>
    <t>Lh</t>
  </si>
  <si>
    <t>Length</t>
  </si>
  <si>
    <t>Cylindrical</t>
  </si>
  <si>
    <t>mtr       d</t>
  </si>
  <si>
    <t xml:space="preserve">Equ. Particle dia </t>
  </si>
  <si>
    <t>90 Deg</t>
  </si>
  <si>
    <r>
      <t>number of Bends   n</t>
    </r>
    <r>
      <rPr>
        <b/>
        <vertAlign val="subscript"/>
        <sz val="9"/>
        <color theme="1"/>
        <rFont val="Calibri"/>
        <family val="2"/>
        <scheme val="minor"/>
      </rPr>
      <t>b</t>
    </r>
  </si>
  <si>
    <t>Mtr</t>
  </si>
  <si>
    <t>Vertical</t>
  </si>
  <si>
    <t>Horizontal</t>
  </si>
  <si>
    <t>dia</t>
  </si>
  <si>
    <t>Intermediate Calculations-1</t>
  </si>
  <si>
    <t xml:space="preserve"> Pipe Lengths &amp; Bends</t>
  </si>
  <si>
    <t>INPUT</t>
  </si>
  <si>
    <t>List Data</t>
  </si>
  <si>
    <t xml:space="preserve">Software Developed By :   Maheep Nigam  2022 Version                                                </t>
  </si>
  <si>
    <t>Particle size selection</t>
  </si>
  <si>
    <t>Equations</t>
  </si>
  <si>
    <t>Dilute Phase Pneumatc Conveying System Modeling &amp; Simulation Application  (Ambient Temp)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</si>
</sst>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6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vertAlign val="subscript"/>
      <sz val="14"/>
      <color theme="1"/>
      <name val="Calibri"/>
      <family val="2"/>
    </font>
    <font>
      <vertAlign val="superscript"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9"/>
      <color rgb="FF7030A0"/>
      <name val="Calibri"/>
      <family val="2"/>
      <scheme val="minor"/>
    </font>
    <font>
      <b/>
      <i/>
      <sz val="8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i/>
      <sz val="8"/>
      <color rgb="FFFF0000"/>
      <name val="Calibri"/>
      <family val="2"/>
    </font>
    <font>
      <sz val="7"/>
      <color theme="1"/>
      <name val="Calibri"/>
      <family val="2"/>
      <scheme val="minor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6"/>
      <color theme="1"/>
      <name val="Calibri"/>
      <family val="2"/>
      <scheme val="minor"/>
    </font>
    <font>
      <vertAlign val="subscript"/>
      <sz val="9"/>
      <color theme="1"/>
      <name val="Calibri"/>
      <family val="2"/>
    </font>
    <font>
      <vertAlign val="superscript"/>
      <sz val="9"/>
      <color theme="1"/>
      <name val="Calibri"/>
      <family val="2"/>
    </font>
    <font>
      <sz val="6"/>
      <color theme="1"/>
      <name val="Calibri"/>
      <family val="2"/>
    </font>
    <font>
      <vertAlign val="subscript"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5" fillId="0" borderId="0" xfId="0" applyFont="1" applyAlignment="1">
      <alignment horizontal="center"/>
    </xf>
    <xf numFmtId="0" fontId="0" fillId="2" borderId="0" xfId="0" applyFill="1"/>
    <xf numFmtId="0" fontId="8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8" fillId="0" borderId="1" xfId="0" applyFont="1" applyBorder="1"/>
    <xf numFmtId="0" fontId="8" fillId="3" borderId="1" xfId="0" applyFont="1" applyFill="1" applyBorder="1"/>
    <xf numFmtId="0" fontId="8" fillId="4" borderId="1" xfId="0" applyFont="1" applyFill="1" applyBorder="1"/>
    <xf numFmtId="0" fontId="8" fillId="5" borderId="1" xfId="0" applyFont="1" applyFill="1" applyBorder="1"/>
    <xf numFmtId="0" fontId="0" fillId="5" borderId="1" xfId="0" applyFill="1" applyBorder="1"/>
    <xf numFmtId="0" fontId="8" fillId="6" borderId="1" xfId="0" applyFont="1" applyFill="1" applyBorder="1"/>
    <xf numFmtId="0" fontId="0" fillId="6" borderId="1" xfId="0" applyFill="1" applyBorder="1"/>
    <xf numFmtId="0" fontId="8" fillId="7" borderId="1" xfId="0" applyFont="1" applyFill="1" applyBorder="1" applyAlignment="1">
      <alignment horizontal="center"/>
    </xf>
    <xf numFmtId="0" fontId="8" fillId="7" borderId="1" xfId="0" applyFont="1" applyFill="1" applyBorder="1"/>
    <xf numFmtId="0" fontId="0" fillId="7" borderId="1" xfId="0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/>
    <xf numFmtId="0" fontId="10" fillId="2" borderId="0" xfId="0" applyFont="1" applyFill="1"/>
    <xf numFmtId="0" fontId="11" fillId="2" borderId="0" xfId="0" applyFont="1" applyFill="1"/>
    <xf numFmtId="0" fontId="0" fillId="9" borderId="0" xfId="0" applyFill="1"/>
    <xf numFmtId="0" fontId="0" fillId="2" borderId="0" xfId="0" applyFill="1" applyAlignment="1">
      <alignment horizontal="right"/>
    </xf>
    <xf numFmtId="0" fontId="2" fillId="9" borderId="0" xfId="0" applyFont="1" applyFill="1"/>
    <xf numFmtId="0" fontId="4" fillId="9" borderId="0" xfId="0" applyFont="1" applyFill="1"/>
    <xf numFmtId="0" fontId="9" fillId="9" borderId="0" xfId="0" applyFont="1" applyFill="1"/>
    <xf numFmtId="0" fontId="6" fillId="9" borderId="0" xfId="0" applyFont="1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  <xf numFmtId="0" fontId="0" fillId="6" borderId="0" xfId="0" applyFill="1"/>
    <xf numFmtId="0" fontId="0" fillId="12" borderId="0" xfId="0" applyFill="1"/>
    <xf numFmtId="0" fontId="0" fillId="13" borderId="0" xfId="0" applyFill="1"/>
    <xf numFmtId="0" fontId="3" fillId="12" borderId="0" xfId="0" applyFont="1" applyFill="1"/>
    <xf numFmtId="0" fontId="0" fillId="14" borderId="0" xfId="0" applyFill="1"/>
    <xf numFmtId="0" fontId="12" fillId="2" borderId="0" xfId="0" applyFont="1" applyFill="1"/>
    <xf numFmtId="0" fontId="5" fillId="0" borderId="0" xfId="0" applyFont="1"/>
    <xf numFmtId="0" fontId="13" fillId="9" borderId="0" xfId="0" applyFont="1" applyFill="1"/>
    <xf numFmtId="0" fontId="13" fillId="9" borderId="0" xfId="0" applyFont="1" applyFill="1" applyAlignment="1">
      <alignment horizontal="center"/>
    </xf>
    <xf numFmtId="0" fontId="14" fillId="2" borderId="0" xfId="0" applyFont="1" applyFill="1"/>
    <xf numFmtId="0" fontId="15" fillId="2" borderId="0" xfId="0" applyFont="1" applyFill="1"/>
    <xf numFmtId="0" fontId="3" fillId="11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15" borderId="0" xfId="0" applyFill="1" applyAlignment="1">
      <alignment horizontal="right"/>
    </xf>
    <xf numFmtId="164" fontId="0" fillId="16" borderId="1" xfId="0" applyNumberFormat="1" applyFill="1" applyBorder="1"/>
    <xf numFmtId="0" fontId="0" fillId="17" borderId="1" xfId="0" applyFill="1" applyBorder="1"/>
    <xf numFmtId="0" fontId="6" fillId="8" borderId="2" xfId="0" applyFont="1" applyFill="1" applyBorder="1"/>
    <xf numFmtId="0" fontId="6" fillId="8" borderId="3" xfId="0" applyFont="1" applyFill="1" applyBorder="1"/>
    <xf numFmtId="0" fontId="6" fillId="15" borderId="0" xfId="0" applyFont="1" applyFill="1" applyAlignment="1">
      <alignment horizontal="right"/>
    </xf>
    <xf numFmtId="0" fontId="0" fillId="15" borderId="1" xfId="0" applyFill="1" applyBorder="1"/>
    <xf numFmtId="0" fontId="17" fillId="15" borderId="4" xfId="0" applyFont="1" applyFill="1" applyBorder="1" applyAlignment="1">
      <alignment horizontal="center"/>
    </xf>
    <xf numFmtId="0" fontId="0" fillId="18" borderId="1" xfId="0" applyFill="1" applyBorder="1"/>
    <xf numFmtId="0" fontId="0" fillId="19" borderId="1" xfId="0" applyFill="1" applyBorder="1"/>
    <xf numFmtId="0" fontId="6" fillId="15" borderId="0" xfId="0" applyFont="1" applyFill="1" applyAlignment="1">
      <alignment horizontal="center"/>
    </xf>
    <xf numFmtId="0" fontId="20" fillId="0" borderId="0" xfId="0" applyFont="1"/>
    <xf numFmtId="0" fontId="0" fillId="20" borderId="0" xfId="0" applyFill="1"/>
    <xf numFmtId="0" fontId="0" fillId="20" borderId="1" xfId="0" applyFill="1" applyBorder="1"/>
    <xf numFmtId="0" fontId="24" fillId="0" borderId="0" xfId="0" applyFont="1"/>
    <xf numFmtId="0" fontId="0" fillId="0" borderId="0" xfId="0" applyAlignment="1">
      <alignment horizontal="left"/>
    </xf>
    <xf numFmtId="0" fontId="17" fillId="0" borderId="0" xfId="0" applyFont="1"/>
    <xf numFmtId="0" fontId="1" fillId="15" borderId="0" xfId="0" applyFont="1" applyFill="1" applyAlignment="1">
      <alignment horizontal="right"/>
    </xf>
    <xf numFmtId="0" fontId="0" fillId="15" borderId="1" xfId="0" applyFill="1" applyBorder="1" applyAlignment="1">
      <alignment horizontal="center"/>
    </xf>
    <xf numFmtId="0" fontId="17" fillId="0" borderId="5" xfId="0" applyFont="1" applyBorder="1"/>
    <xf numFmtId="165" fontId="0" fillId="15" borderId="1" xfId="0" applyNumberFormat="1" applyFill="1" applyBorder="1" applyAlignment="1">
      <alignment horizontal="center"/>
    </xf>
    <xf numFmtId="166" fontId="0" fillId="15" borderId="1" xfId="0" applyNumberFormat="1" applyFill="1" applyBorder="1" applyAlignment="1">
      <alignment horizontal="center"/>
    </xf>
    <xf numFmtId="0" fontId="27" fillId="15" borderId="0" xfId="0" applyFont="1" applyFill="1" applyAlignment="1">
      <alignment horizontal="right"/>
    </xf>
    <xf numFmtId="0" fontId="6" fillId="15" borderId="0" xfId="0" applyFont="1" applyFill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29" fillId="0" borderId="0" xfId="0" applyFont="1"/>
    <xf numFmtId="0" fontId="1" fillId="0" borderId="0" xfId="0" applyFont="1"/>
    <xf numFmtId="0" fontId="0" fillId="21" borderId="1" xfId="0" applyFill="1" applyBorder="1"/>
    <xf numFmtId="0" fontId="30" fillId="0" borderId="0" xfId="0" applyFont="1"/>
    <xf numFmtId="0" fontId="31" fillId="0" borderId="0" xfId="0" applyFont="1"/>
    <xf numFmtId="0" fontId="6" fillId="0" borderId="0" xfId="0" applyFont="1" applyAlignment="1">
      <alignment horizontal="center"/>
    </xf>
    <xf numFmtId="0" fontId="32" fillId="0" borderId="0" xfId="0" applyFont="1"/>
    <xf numFmtId="0" fontId="33" fillId="0" borderId="0" xfId="0" applyFont="1"/>
    <xf numFmtId="0" fontId="17" fillId="4" borderId="1" xfId="0" applyFont="1" applyFill="1" applyBorder="1" applyAlignment="1">
      <alignment horizontal="center"/>
    </xf>
    <xf numFmtId="0" fontId="34" fillId="4" borderId="0" xfId="0" applyFont="1" applyFill="1"/>
    <xf numFmtId="164" fontId="6" fillId="4" borderId="1" xfId="0" applyNumberFormat="1" applyFont="1" applyFill="1" applyBorder="1" applyAlignment="1">
      <alignment horizontal="center"/>
    </xf>
    <xf numFmtId="1" fontId="6" fillId="4" borderId="1" xfId="0" applyNumberFormat="1" applyFont="1" applyFill="1" applyBorder="1" applyAlignment="1">
      <alignment horizontal="center"/>
    </xf>
    <xf numFmtId="0" fontId="34" fillId="4" borderId="0" xfId="0" applyFont="1" applyFill="1" applyAlignment="1">
      <alignment horizontal="right"/>
    </xf>
    <xf numFmtId="0" fontId="6" fillId="22" borderId="0" xfId="0" applyFont="1" applyFill="1" applyAlignment="1">
      <alignment horizontal="center" vertical="center"/>
    </xf>
    <xf numFmtId="0" fontId="0" fillId="20" borderId="6" xfId="0" applyFill="1" applyBorder="1" applyAlignment="1">
      <alignment horizontal="right"/>
    </xf>
    <xf numFmtId="0" fontId="0" fillId="20" borderId="1" xfId="0" applyFill="1" applyBorder="1" applyAlignment="1">
      <alignment horizontal="right"/>
    </xf>
    <xf numFmtId="0" fontId="38" fillId="0" borderId="0" xfId="0" applyFont="1"/>
    <xf numFmtId="0" fontId="27" fillId="20" borderId="0" xfId="0" applyFont="1" applyFill="1" applyAlignment="1">
      <alignment horizontal="center"/>
    </xf>
    <xf numFmtId="0" fontId="40" fillId="15" borderId="7" xfId="0" applyFont="1" applyFill="1" applyBorder="1" applyAlignment="1">
      <alignment horizontal="center" vertical="center" wrapText="1"/>
    </xf>
    <xf numFmtId="0" fontId="40" fillId="15" borderId="8" xfId="0" applyFont="1" applyFill="1" applyBorder="1" applyAlignment="1">
      <alignment horizontal="center" vertical="center" wrapText="1"/>
    </xf>
    <xf numFmtId="0" fontId="17" fillId="20" borderId="1" xfId="0" applyFont="1" applyFill="1" applyBorder="1" applyAlignment="1">
      <alignment horizontal="center"/>
    </xf>
    <xf numFmtId="0" fontId="17" fillId="20" borderId="1" xfId="0" applyFont="1" applyFill="1" applyBorder="1"/>
    <xf numFmtId="0" fontId="0" fillId="23" borderId="1" xfId="0" applyFill="1" applyBorder="1" applyAlignment="1" applyProtection="1">
      <alignment horizontal="center"/>
      <protection locked="0"/>
    </xf>
    <xf numFmtId="0" fontId="17" fillId="15" borderId="7" xfId="0" applyFont="1" applyFill="1" applyBorder="1" applyAlignment="1">
      <alignment horizontal="left"/>
    </xf>
    <xf numFmtId="0" fontId="17" fillId="15" borderId="8" xfId="0" applyFont="1" applyFill="1" applyBorder="1" applyAlignment="1">
      <alignment horizontal="left"/>
    </xf>
    <xf numFmtId="0" fontId="17" fillId="23" borderId="1" xfId="0" applyFont="1" applyFill="1" applyBorder="1" applyProtection="1">
      <protection locked="0"/>
    </xf>
    <xf numFmtId="0" fontId="17" fillId="23" borderId="7" xfId="0" applyFont="1" applyFill="1" applyBorder="1" applyProtection="1">
      <protection locked="0"/>
    </xf>
    <xf numFmtId="0" fontId="12" fillId="22" borderId="4" xfId="0" applyFont="1" applyFill="1" applyBorder="1" applyAlignment="1">
      <alignment horizontal="center" vertical="center" textRotation="255"/>
    </xf>
    <xf numFmtId="0" fontId="21" fillId="0" borderId="0" xfId="0" applyFont="1"/>
    <xf numFmtId="0" fontId="17" fillId="20" borderId="2" xfId="0" applyFont="1" applyFill="1" applyBorder="1"/>
    <xf numFmtId="0" fontId="42" fillId="15" borderId="0" xfId="0" applyFont="1" applyFill="1" applyAlignment="1">
      <alignment horizontal="right"/>
    </xf>
    <xf numFmtId="0" fontId="43" fillId="15" borderId="1" xfId="0" applyFont="1" applyFill="1" applyBorder="1" applyAlignment="1">
      <alignment horizontal="center" vertical="center" wrapText="1"/>
    </xf>
    <xf numFmtId="0" fontId="17" fillId="15" borderId="1" xfId="0" applyFont="1" applyFill="1" applyBorder="1"/>
    <xf numFmtId="0" fontId="17" fillId="15" borderId="9" xfId="0" applyFont="1" applyFill="1" applyBorder="1"/>
    <xf numFmtId="0" fontId="12" fillId="22" borderId="10" xfId="0" applyFont="1" applyFill="1" applyBorder="1" applyAlignment="1">
      <alignment horizontal="center" vertical="center" textRotation="255"/>
    </xf>
    <xf numFmtId="0" fontId="17" fillId="23" borderId="1" xfId="0" applyFont="1" applyFill="1" applyBorder="1" applyAlignment="1" applyProtection="1">
      <alignment horizontal="center"/>
      <protection locked="0"/>
    </xf>
    <xf numFmtId="0" fontId="48" fillId="0" borderId="7" xfId="0" applyFont="1" applyBorder="1" applyAlignment="1">
      <alignment horizontal="center"/>
    </xf>
    <xf numFmtId="0" fontId="48" fillId="0" borderId="8" xfId="0" applyFont="1" applyBorder="1" applyAlignment="1">
      <alignment horizontal="center"/>
    </xf>
    <xf numFmtId="0" fontId="49" fillId="15" borderId="1" xfId="0" applyFont="1" applyFill="1" applyBorder="1"/>
    <xf numFmtId="0" fontId="27" fillId="20" borderId="0" xfId="0" applyFont="1" applyFill="1"/>
    <xf numFmtId="0" fontId="17" fillId="15" borderId="7" xfId="0" applyFont="1" applyFill="1" applyBorder="1" applyAlignment="1">
      <alignment horizontal="center"/>
    </xf>
    <xf numFmtId="0" fontId="17" fillId="15" borderId="8" xfId="0" applyFont="1" applyFill="1" applyBorder="1" applyAlignment="1">
      <alignment horizontal="center"/>
    </xf>
    <xf numFmtId="0" fontId="27" fillId="15" borderId="7" xfId="0" applyFont="1" applyFill="1" applyBorder="1" applyAlignment="1">
      <alignment horizontal="center"/>
    </xf>
    <xf numFmtId="0" fontId="27" fillId="15" borderId="11" xfId="0" applyFont="1" applyFill="1" applyBorder="1" applyAlignment="1">
      <alignment horizontal="center"/>
    </xf>
    <xf numFmtId="0" fontId="27" fillId="15" borderId="8" xfId="0" applyFont="1" applyFill="1" applyBorder="1" applyAlignment="1">
      <alignment horizontal="center"/>
    </xf>
    <xf numFmtId="0" fontId="27" fillId="15" borderId="9" xfId="0" applyFont="1" applyFill="1" applyBorder="1" applyAlignment="1">
      <alignment horizontal="center" vertical="center" wrapText="1"/>
    </xf>
    <xf numFmtId="0" fontId="27" fillId="15" borderId="12" xfId="0" applyFont="1" applyFill="1" applyBorder="1" applyAlignment="1">
      <alignment horizontal="center" vertical="center" wrapText="1"/>
    </xf>
    <xf numFmtId="0" fontId="27" fillId="15" borderId="4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/>
    </xf>
    <xf numFmtId="0" fontId="17" fillId="15" borderId="7" xfId="0" applyFont="1" applyFill="1" applyBorder="1" applyAlignment="1">
      <alignment horizontal="center"/>
    </xf>
    <xf numFmtId="0" fontId="17" fillId="20" borderId="4" xfId="0" applyFont="1" applyFill="1" applyBorder="1"/>
    <xf numFmtId="0" fontId="27" fillId="15" borderId="0" xfId="0" applyFont="1" applyFill="1"/>
    <xf numFmtId="0" fontId="27" fillId="15" borderId="3" xfId="0" applyFont="1" applyFill="1" applyBorder="1" applyAlignment="1">
      <alignment horizontal="center" vertical="center" wrapText="1"/>
    </xf>
    <xf numFmtId="0" fontId="27" fillId="15" borderId="13" xfId="0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/>
    </xf>
    <xf numFmtId="0" fontId="27" fillId="15" borderId="2" xfId="0" applyFont="1" applyFill="1" applyBorder="1" applyAlignment="1">
      <alignment horizontal="center" vertical="center" wrapText="1"/>
    </xf>
    <xf numFmtId="0" fontId="27" fillId="15" borderId="7" xfId="0" applyFont="1" applyFill="1" applyBorder="1" applyAlignment="1">
      <alignment horizontal="center"/>
    </xf>
    <xf numFmtId="0" fontId="6" fillId="15" borderId="7" xfId="0" applyFont="1" applyFill="1" applyBorder="1" applyAlignment="1">
      <alignment horizontal="center"/>
    </xf>
    <xf numFmtId="0" fontId="6" fillId="15" borderId="11" xfId="0" applyFont="1" applyFill="1" applyBorder="1" applyAlignment="1">
      <alignment horizontal="center"/>
    </xf>
    <xf numFmtId="0" fontId="6" fillId="15" borderId="8" xfId="0" applyFont="1" applyFill="1" applyBorder="1" applyAlignment="1">
      <alignment horizontal="center"/>
    </xf>
    <xf numFmtId="0" fontId="12" fillId="15" borderId="7" xfId="0" applyFont="1" applyFill="1" applyBorder="1" applyAlignment="1">
      <alignment horizontal="center"/>
    </xf>
    <xf numFmtId="0" fontId="12" fillId="15" borderId="11" xfId="0" applyFont="1" applyFill="1" applyBorder="1" applyAlignment="1">
      <alignment horizontal="center"/>
    </xf>
    <xf numFmtId="0" fontId="12" fillId="15" borderId="8" xfId="0" applyFont="1" applyFill="1" applyBorder="1" applyAlignment="1">
      <alignment horizontal="center"/>
    </xf>
    <xf numFmtId="0" fontId="12" fillId="22" borderId="2" xfId="0" applyFont="1" applyFill="1" applyBorder="1" applyAlignment="1">
      <alignment horizontal="center" vertical="center" textRotation="255"/>
    </xf>
    <xf numFmtId="0" fontId="6" fillId="20" borderId="0" xfId="0" applyFont="1" applyFill="1" applyAlignment="1">
      <alignment horizontal="center"/>
    </xf>
    <xf numFmtId="0" fontId="49" fillId="2" borderId="0" xfId="0" applyFont="1" applyFill="1" applyAlignment="1" applyProtection="1">
      <alignment horizontal="center"/>
      <protection locked="0"/>
    </xf>
    <xf numFmtId="0" fontId="2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Pressure Drop in Pa</a:t>
            </a:r>
          </a:p>
        </c:rich>
      </c:tx>
      <c:layout>
        <c:manualLayout>
          <c:xMode val="edge"/>
          <c:yMode val="edge"/>
          <c:x val="0.25425618362274255"/>
          <c:y val="2.777766221821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00827749146254"/>
          <c:y val="0.16038466935347914"/>
          <c:w val="0.87150255187990566"/>
          <c:h val="0.7319303896394069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'Trend Analysis'!$F$7:$F$14</c:f>
              <c:strCache>
                <c:ptCount val="8"/>
                <c:pt idx="0">
                  <c:v>50 NB</c:v>
                </c:pt>
                <c:pt idx="1">
                  <c:v>65NB</c:v>
                </c:pt>
                <c:pt idx="2">
                  <c:v>80NB</c:v>
                </c:pt>
                <c:pt idx="3">
                  <c:v>100NB</c:v>
                </c:pt>
                <c:pt idx="4">
                  <c:v>125NB</c:v>
                </c:pt>
                <c:pt idx="5">
                  <c:v>150NB</c:v>
                </c:pt>
                <c:pt idx="6">
                  <c:v>200NB</c:v>
                </c:pt>
                <c:pt idx="7">
                  <c:v>250NB</c:v>
                </c:pt>
              </c:strCache>
            </c:strRef>
          </c:cat>
          <c:val>
            <c:numRef>
              <c:f>'Trend Analysis'!$G$7:$G$14</c:f>
              <c:numCache>
                <c:formatCode>General</c:formatCode>
                <c:ptCount val="8"/>
                <c:pt idx="0">
                  <c:v>16177.38</c:v>
                </c:pt>
                <c:pt idx="1">
                  <c:v>10415.879999999999</c:v>
                </c:pt>
                <c:pt idx="2">
                  <c:v>7669.8</c:v>
                </c:pt>
                <c:pt idx="3">
                  <c:v>5563.7539999999999</c:v>
                </c:pt>
                <c:pt idx="4">
                  <c:v>4294.1459999999997</c:v>
                </c:pt>
                <c:pt idx="5">
                  <c:v>3510.04</c:v>
                </c:pt>
                <c:pt idx="6">
                  <c:v>2666.1219999999998</c:v>
                </c:pt>
                <c:pt idx="7">
                  <c:v>2218.1350000000002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8-424B-B3DB-A8504AE03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157392"/>
        <c:axId val="1340163152"/>
      </c:lineChart>
      <c:catAx>
        <c:axId val="134015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63152"/>
        <c:crosses val="autoZero"/>
        <c:auto val="1"/>
        <c:lblAlgn val="ctr"/>
        <c:lblOffset val="100"/>
        <c:noMultiLvlLbl val="0"/>
      </c:catAx>
      <c:valAx>
        <c:axId val="13401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573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Volumetric Flow Rate (Q) in m3/s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'Trend Analysis'!$F$7:$F$14</c:f>
              <c:strCache>
                <c:ptCount val="8"/>
                <c:pt idx="0">
                  <c:v>50 NB</c:v>
                </c:pt>
                <c:pt idx="1">
                  <c:v>65NB</c:v>
                </c:pt>
                <c:pt idx="2">
                  <c:v>80NB</c:v>
                </c:pt>
                <c:pt idx="3">
                  <c:v>100NB</c:v>
                </c:pt>
                <c:pt idx="4">
                  <c:v>125NB</c:v>
                </c:pt>
                <c:pt idx="5">
                  <c:v>150NB</c:v>
                </c:pt>
                <c:pt idx="6">
                  <c:v>200NB</c:v>
                </c:pt>
                <c:pt idx="7">
                  <c:v>250NB</c:v>
                </c:pt>
              </c:strCache>
            </c:strRef>
          </c:cat>
          <c:val>
            <c:numRef>
              <c:f>'Trend Analysis'!$H$7:$H$14</c:f>
              <c:numCache>
                <c:formatCode>General</c:formatCode>
                <c:ptCount val="8"/>
                <c:pt idx="0">
                  <c:v>4.24E-2</c:v>
                </c:pt>
                <c:pt idx="1">
                  <c:v>7.6600000000000001E-2</c:v>
                </c:pt>
                <c:pt idx="2">
                  <c:v>0.12</c:v>
                </c:pt>
                <c:pt idx="3">
                  <c:v>0.2</c:v>
                </c:pt>
                <c:pt idx="4">
                  <c:v>0.316</c:v>
                </c:pt>
                <c:pt idx="5">
                  <c:v>0.46989999999999998</c:v>
                </c:pt>
                <c:pt idx="6">
                  <c:v>0.86799999999999999</c:v>
                </c:pt>
                <c:pt idx="7">
                  <c:v>1.409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76-48A1-AAA9-9F138F5D4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696288"/>
        <c:axId val="1400689088"/>
      </c:lineChart>
      <c:catAx>
        <c:axId val="14006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89088"/>
        <c:crosses val="autoZero"/>
        <c:auto val="1"/>
        <c:lblAlgn val="ctr"/>
        <c:lblOffset val="100"/>
        <c:noMultiLvlLbl val="0"/>
      </c:catAx>
      <c:valAx>
        <c:axId val="14006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962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Pressure Drop in Pa</a:t>
            </a:r>
          </a:p>
        </c:rich>
      </c:tx>
      <c:layout>
        <c:manualLayout>
          <c:xMode val="edge"/>
          <c:yMode val="edge"/>
          <c:x val="0.25425618362274255"/>
          <c:y val="2.777766221821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00827749146254"/>
          <c:y val="0.16038466935347914"/>
          <c:w val="0.87150255187990566"/>
          <c:h val="0.7319303896394069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'Trend Analysis'!$N$7:$N$14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'Trend Analysis'!$O$7:$O$14</c:f>
              <c:numCache>
                <c:formatCode>General</c:formatCode>
                <c:ptCount val="8"/>
                <c:pt idx="0">
                  <c:v>3970.6610000000001</c:v>
                </c:pt>
                <c:pt idx="1">
                  <c:v>5563.7539999999999</c:v>
                </c:pt>
                <c:pt idx="2">
                  <c:v>7011.116</c:v>
                </c:pt>
                <c:pt idx="3">
                  <c:v>8401.0290000000005</c:v>
                </c:pt>
                <c:pt idx="4">
                  <c:v>9763.625</c:v>
                </c:pt>
                <c:pt idx="5">
                  <c:v>11112.92</c:v>
                </c:pt>
                <c:pt idx="6">
                  <c:v>12456.57</c:v>
                </c:pt>
                <c:pt idx="7">
                  <c:v>13799.19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3-4771-A0AA-F8B4D6A56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157392"/>
        <c:axId val="1340163152"/>
      </c:lineChart>
      <c:catAx>
        <c:axId val="134015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63152"/>
        <c:crosses val="autoZero"/>
        <c:auto val="1"/>
        <c:lblAlgn val="ctr"/>
        <c:lblOffset val="100"/>
        <c:noMultiLvlLbl val="0"/>
      </c:catAx>
      <c:valAx>
        <c:axId val="13401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573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Pressure Drop in Pa</a:t>
            </a:r>
          </a:p>
        </c:rich>
      </c:tx>
      <c:layout>
        <c:manualLayout>
          <c:xMode val="edge"/>
          <c:yMode val="edge"/>
          <c:x val="0.25425618362274255"/>
          <c:y val="2.777766221821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00827749146254"/>
          <c:y val="0.16038466935347914"/>
          <c:w val="0.87150255187990566"/>
          <c:h val="0.7319303896394069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'Trend Analysis'!$V$7:$V$14</c:f>
              <c:numCache>
                <c:formatCode>General</c:formatCode>
                <c:ptCount val="8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  <c:pt idx="6">
                  <c:v>1600</c:v>
                </c:pt>
                <c:pt idx="7">
                  <c:v>2000</c:v>
                </c:pt>
              </c:numCache>
            </c:numRef>
          </c:cat>
          <c:val>
            <c:numRef>
              <c:f>'Trend Analysis'!$W$7:$W$14</c:f>
              <c:numCache>
                <c:formatCode>General</c:formatCode>
                <c:ptCount val="8"/>
                <c:pt idx="0">
                  <c:v>5494.9880000000003</c:v>
                </c:pt>
                <c:pt idx="1">
                  <c:v>5427.3860000000004</c:v>
                </c:pt>
                <c:pt idx="2">
                  <c:v>5455.3609999999999</c:v>
                </c:pt>
                <c:pt idx="3">
                  <c:v>5542.6509999999998</c:v>
                </c:pt>
                <c:pt idx="4">
                  <c:v>5578.36</c:v>
                </c:pt>
                <c:pt idx="5">
                  <c:v>5657.3490000000002</c:v>
                </c:pt>
                <c:pt idx="6">
                  <c:v>5843.4939999999997</c:v>
                </c:pt>
                <c:pt idx="7">
                  <c:v>6069.9049999999997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63-41AD-863B-23E87E1A0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157392"/>
        <c:axId val="1340163152"/>
      </c:lineChart>
      <c:catAx>
        <c:axId val="134015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63152"/>
        <c:crosses val="autoZero"/>
        <c:auto val="1"/>
        <c:lblAlgn val="ctr"/>
        <c:lblOffset val="100"/>
        <c:noMultiLvlLbl val="0"/>
      </c:catAx>
      <c:valAx>
        <c:axId val="13401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573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Pressure Drop in Pa</a:t>
            </a:r>
          </a:p>
        </c:rich>
      </c:tx>
      <c:layout>
        <c:manualLayout>
          <c:xMode val="edge"/>
          <c:yMode val="edge"/>
          <c:x val="0.25425618362274255"/>
          <c:y val="2.777766221821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00827749146254"/>
          <c:y val="0.16038466935347914"/>
          <c:w val="0.87150255187990566"/>
          <c:h val="0.7319303896394069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'Trend Analysis'!$F$56:$F$65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'Trend Analysis'!$G$56:$G$65</c:f>
              <c:numCache>
                <c:formatCode>General</c:formatCode>
                <c:ptCount val="10"/>
                <c:pt idx="0">
                  <c:v>4600.0129999999999</c:v>
                </c:pt>
                <c:pt idx="1">
                  <c:v>5081.8829999999998</c:v>
                </c:pt>
                <c:pt idx="2">
                  <c:v>5563.7539999999999</c:v>
                </c:pt>
                <c:pt idx="3">
                  <c:v>6045.6239999999998</c:v>
                </c:pt>
                <c:pt idx="4">
                  <c:v>6527.4939999999997</c:v>
                </c:pt>
                <c:pt idx="5">
                  <c:v>7009.3649999999998</c:v>
                </c:pt>
                <c:pt idx="6">
                  <c:v>7491.2349999999997</c:v>
                </c:pt>
                <c:pt idx="7">
                  <c:v>7973.1049999999996</c:v>
                </c:pt>
                <c:pt idx="8">
                  <c:v>8494.5759999999991</c:v>
                </c:pt>
                <c:pt idx="9">
                  <c:v>8936.8459999999995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A5-4F70-9EF7-E0EBB0B97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157392"/>
        <c:axId val="1340163152"/>
      </c:lineChart>
      <c:catAx>
        <c:axId val="134015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63152"/>
        <c:crosses val="autoZero"/>
        <c:auto val="1"/>
        <c:lblAlgn val="ctr"/>
        <c:lblOffset val="100"/>
        <c:noMultiLvlLbl val="0"/>
      </c:catAx>
      <c:valAx>
        <c:axId val="13401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573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Volumetric Flow Rate (Q) in m3/s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'Trend Analysis'!$N$7:$N$14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</c:numCache>
            </c:numRef>
          </c:cat>
          <c:val>
            <c:numRef>
              <c:f>'Trend Analysis'!$P$7:$P$14</c:f>
              <c:numCache>
                <c:formatCode>General</c:formatCode>
                <c:ptCount val="8"/>
                <c:pt idx="0">
                  <c:v>0.18079999999999999</c:v>
                </c:pt>
                <c:pt idx="1">
                  <c:v>0.20039999999999999</c:v>
                </c:pt>
                <c:pt idx="2">
                  <c:v>0.21299999999999999</c:v>
                </c:pt>
                <c:pt idx="3">
                  <c:v>0.22239999999999999</c:v>
                </c:pt>
                <c:pt idx="4">
                  <c:v>0.23</c:v>
                </c:pt>
                <c:pt idx="5">
                  <c:v>0.2366</c:v>
                </c:pt>
                <c:pt idx="6">
                  <c:v>0.2422</c:v>
                </c:pt>
                <c:pt idx="7">
                  <c:v>0.24729999999999999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AF-4098-8C2B-A0F8CF299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696288"/>
        <c:axId val="1400689088"/>
      </c:lineChart>
      <c:catAx>
        <c:axId val="14006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89088"/>
        <c:crosses val="autoZero"/>
        <c:auto val="1"/>
        <c:lblAlgn val="ctr"/>
        <c:lblOffset val="100"/>
        <c:noMultiLvlLbl val="0"/>
      </c:catAx>
      <c:valAx>
        <c:axId val="14006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962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Volumetric Flow Rate (Q) in m3/s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'Trend Analysis'!$V$7:$V$14</c:f>
              <c:numCache>
                <c:formatCode>General</c:formatCode>
                <c:ptCount val="8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  <c:pt idx="6">
                  <c:v>1600</c:v>
                </c:pt>
                <c:pt idx="7">
                  <c:v>2000</c:v>
                </c:pt>
              </c:numCache>
            </c:numRef>
          </c:cat>
          <c:val>
            <c:numRef>
              <c:f>'Trend Analysis'!$X$7:$X$14</c:f>
              <c:numCache>
                <c:formatCode>General</c:formatCode>
                <c:ptCount val="8"/>
                <c:pt idx="0">
                  <c:v>0.2019</c:v>
                </c:pt>
                <c:pt idx="1">
                  <c:v>0.20100000000000001</c:v>
                </c:pt>
                <c:pt idx="2">
                  <c:v>0.20069999999999999</c:v>
                </c:pt>
                <c:pt idx="3">
                  <c:v>0.20050000000000001</c:v>
                </c:pt>
                <c:pt idx="4">
                  <c:v>0.20047000000000001</c:v>
                </c:pt>
                <c:pt idx="5">
                  <c:v>0.20041400000000001</c:v>
                </c:pt>
                <c:pt idx="6">
                  <c:v>0.20033000000000001</c:v>
                </c:pt>
                <c:pt idx="7">
                  <c:v>0.200293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D-4E49-8BD1-EEB91FA9D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696288"/>
        <c:axId val="1400689088"/>
      </c:lineChart>
      <c:catAx>
        <c:axId val="14006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89088"/>
        <c:crosses val="autoZero"/>
        <c:auto val="1"/>
        <c:lblAlgn val="ctr"/>
        <c:lblOffset val="100"/>
        <c:noMultiLvlLbl val="0"/>
      </c:catAx>
      <c:valAx>
        <c:axId val="14006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962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Volumetric Flow Rate (Q) in m3/s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'Trend Analysis'!$F$56:$F$65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cat>
          <c:val>
            <c:numRef>
              <c:f>'Trend Analysis'!$H$56:$H$65</c:f>
              <c:numCache>
                <c:formatCode>General</c:formatCode>
                <c:ptCount val="10"/>
                <c:pt idx="0">
                  <c:v>0.20039999999999999</c:v>
                </c:pt>
                <c:pt idx="1">
                  <c:v>0.20039999999999999</c:v>
                </c:pt>
                <c:pt idx="2">
                  <c:v>0.20039999999999999</c:v>
                </c:pt>
                <c:pt idx="3">
                  <c:v>0.20039999999999999</c:v>
                </c:pt>
                <c:pt idx="4">
                  <c:v>0.20039999999999999</c:v>
                </c:pt>
                <c:pt idx="5">
                  <c:v>0.20039999999999999</c:v>
                </c:pt>
                <c:pt idx="6">
                  <c:v>0.20039999999999999</c:v>
                </c:pt>
                <c:pt idx="7">
                  <c:v>0.20039999999999999</c:v>
                </c:pt>
                <c:pt idx="8">
                  <c:v>0.20039999999999999</c:v>
                </c:pt>
                <c:pt idx="9">
                  <c:v>0.20039999999999999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01-4140-8C02-403D11797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696288"/>
        <c:axId val="1400689088"/>
      </c:lineChart>
      <c:catAx>
        <c:axId val="14006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89088"/>
        <c:crosses val="autoZero"/>
        <c:auto val="1"/>
        <c:lblAlgn val="ctr"/>
        <c:lblOffset val="100"/>
        <c:noMultiLvlLbl val="0"/>
      </c:catAx>
      <c:valAx>
        <c:axId val="14006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962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Pressure Drop in Pa</a:t>
            </a:r>
          </a:p>
        </c:rich>
      </c:tx>
      <c:layout>
        <c:manualLayout>
          <c:xMode val="edge"/>
          <c:yMode val="edge"/>
          <c:x val="0.25425618362274255"/>
          <c:y val="2.777766221821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00827749146254"/>
          <c:y val="0.16038466935347914"/>
          <c:w val="0.87150255187990566"/>
          <c:h val="0.7319303896394069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'Trend Analysis'!$N$56:$N$66</c:f>
              <c:numCache>
                <c:formatCode>General</c:formatCode>
                <c:ptCount val="11"/>
                <c:pt idx="0">
                  <c:v>0.1</c:v>
                </c:pt>
                <c:pt idx="1">
                  <c:v>0.3</c:v>
                </c:pt>
                <c:pt idx="2">
                  <c:v>0.6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15</c:v>
                </c:pt>
              </c:numCache>
            </c:numRef>
          </c:cat>
          <c:val>
            <c:numRef>
              <c:f>'Trend Analysis'!$O$56:$O$66</c:f>
              <c:numCache>
                <c:formatCode>General</c:formatCode>
                <c:ptCount val="11"/>
                <c:pt idx="0">
                  <c:v>22817.85</c:v>
                </c:pt>
                <c:pt idx="1">
                  <c:v>8942.5580000000009</c:v>
                </c:pt>
                <c:pt idx="2">
                  <c:v>6442.0730000000003</c:v>
                </c:pt>
                <c:pt idx="3">
                  <c:v>5673.4480000000003</c:v>
                </c:pt>
                <c:pt idx="4">
                  <c:v>5419.4740000000002</c:v>
                </c:pt>
                <c:pt idx="5">
                  <c:v>5563.7539999999999</c:v>
                </c:pt>
                <c:pt idx="6">
                  <c:v>5975.2079999999996</c:v>
                </c:pt>
                <c:pt idx="7">
                  <c:v>6531.982</c:v>
                </c:pt>
                <c:pt idx="8">
                  <c:v>6852.6750000000002</c:v>
                </c:pt>
                <c:pt idx="9">
                  <c:v>7149.8710000000001</c:v>
                </c:pt>
                <c:pt idx="10">
                  <c:v>7582.3429999999998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7-49CF-98C7-4BB718CEE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157392"/>
        <c:axId val="1340163152"/>
      </c:lineChart>
      <c:catAx>
        <c:axId val="134015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63152"/>
        <c:crosses val="autoZero"/>
        <c:auto val="1"/>
        <c:lblAlgn val="ctr"/>
        <c:lblOffset val="100"/>
        <c:noMultiLvlLbl val="0"/>
      </c:catAx>
      <c:valAx>
        <c:axId val="13401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573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Pressure Drop in Pa</a:t>
            </a:r>
          </a:p>
        </c:rich>
      </c:tx>
      <c:layout>
        <c:manualLayout>
          <c:xMode val="edge"/>
          <c:yMode val="edge"/>
          <c:x val="0.25425618362274255"/>
          <c:y val="2.777766221821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00827749146254"/>
          <c:y val="0.16038466935347914"/>
          <c:w val="0.87150255187990566"/>
          <c:h val="0.7319303896394069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'Trend Analysis'!$V$56:$V$66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</c:numCache>
            </c:numRef>
          </c:cat>
          <c:val>
            <c:numRef>
              <c:f>'Trend Analysis'!$W$56:$W$66</c:f>
              <c:numCache>
                <c:formatCode>General</c:formatCode>
                <c:ptCount val="11"/>
                <c:pt idx="0">
                  <c:v>4684.8609999999999</c:v>
                </c:pt>
                <c:pt idx="1">
                  <c:v>5270.79</c:v>
                </c:pt>
                <c:pt idx="2">
                  <c:v>5856.7179999999998</c:v>
                </c:pt>
                <c:pt idx="3">
                  <c:v>6442.6459999999997</c:v>
                </c:pt>
                <c:pt idx="4">
                  <c:v>7028.5739999999996</c:v>
                </c:pt>
                <c:pt idx="5">
                  <c:v>7614.5020000000004</c:v>
                </c:pt>
                <c:pt idx="6">
                  <c:v>8200.43</c:v>
                </c:pt>
                <c:pt idx="7">
                  <c:v>8786.3590000000004</c:v>
                </c:pt>
                <c:pt idx="8">
                  <c:v>9372.2870000000003</c:v>
                </c:pt>
                <c:pt idx="9">
                  <c:v>9958.2150000000001</c:v>
                </c:pt>
                <c:pt idx="10">
                  <c:v>15817.5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E2-4BA4-92EA-4BBAB32D6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157392"/>
        <c:axId val="1340163152"/>
      </c:lineChart>
      <c:catAx>
        <c:axId val="134015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63152"/>
        <c:crosses val="autoZero"/>
        <c:auto val="1"/>
        <c:lblAlgn val="ctr"/>
        <c:lblOffset val="100"/>
        <c:noMultiLvlLbl val="0"/>
      </c:catAx>
      <c:valAx>
        <c:axId val="13401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573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Volumetric Flow Rate (Q) in m3/s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'Trend Analysis'!$N$56:$N$66</c:f>
              <c:numCache>
                <c:formatCode>General</c:formatCode>
                <c:ptCount val="11"/>
                <c:pt idx="0">
                  <c:v>0.1</c:v>
                </c:pt>
                <c:pt idx="1">
                  <c:v>0.3</c:v>
                </c:pt>
                <c:pt idx="2">
                  <c:v>0.6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15</c:v>
                </c:pt>
              </c:numCache>
            </c:numRef>
          </c:cat>
          <c:val>
            <c:numRef>
              <c:f>'Trend Analysis'!$P$56:$P$66</c:f>
              <c:numCache>
                <c:formatCode>General</c:formatCode>
                <c:ptCount val="11"/>
                <c:pt idx="0">
                  <c:v>0.14149</c:v>
                </c:pt>
                <c:pt idx="1">
                  <c:v>0.14760000000000001</c:v>
                </c:pt>
                <c:pt idx="2">
                  <c:v>0.15611</c:v>
                </c:pt>
                <c:pt idx="3">
                  <c:v>0.16603000000000001</c:v>
                </c:pt>
                <c:pt idx="4">
                  <c:v>0.18579999999999999</c:v>
                </c:pt>
                <c:pt idx="5">
                  <c:v>0.20039999999999999</c:v>
                </c:pt>
                <c:pt idx="6">
                  <c:v>0.22070000000000001</c:v>
                </c:pt>
                <c:pt idx="7">
                  <c:v>0.23910000000000001</c:v>
                </c:pt>
                <c:pt idx="8">
                  <c:v>0.24726000000000001</c:v>
                </c:pt>
                <c:pt idx="9">
                  <c:v>0.25337999999999999</c:v>
                </c:pt>
                <c:pt idx="10">
                  <c:v>0.26019999999999999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A-476A-B63D-695567348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696288"/>
        <c:axId val="1400689088"/>
      </c:lineChart>
      <c:catAx>
        <c:axId val="14006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89088"/>
        <c:crosses val="autoZero"/>
        <c:auto val="1"/>
        <c:lblAlgn val="ctr"/>
        <c:lblOffset val="100"/>
        <c:noMultiLvlLbl val="0"/>
      </c:catAx>
      <c:valAx>
        <c:axId val="14006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962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Volumetric Flow Rate (Q) in m3/s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'Trend Analysis'!$V$56:$V$66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</c:numCache>
            </c:numRef>
          </c:cat>
          <c:val>
            <c:numRef>
              <c:f>'Trend Analysis'!$X$56:$X$66</c:f>
              <c:numCache>
                <c:formatCode>General</c:formatCode>
                <c:ptCount val="11"/>
                <c:pt idx="0">
                  <c:v>0.20039999999999999</c:v>
                </c:pt>
                <c:pt idx="1">
                  <c:v>0.20039999999999999</c:v>
                </c:pt>
                <c:pt idx="2">
                  <c:v>0.20039999999999999</c:v>
                </c:pt>
                <c:pt idx="3">
                  <c:v>0.20039999999999999</c:v>
                </c:pt>
                <c:pt idx="4">
                  <c:v>0.20039999999999999</c:v>
                </c:pt>
                <c:pt idx="5">
                  <c:v>0.20039999999999999</c:v>
                </c:pt>
                <c:pt idx="6">
                  <c:v>0.20039999999999999</c:v>
                </c:pt>
                <c:pt idx="7">
                  <c:v>0.20039999999999999</c:v>
                </c:pt>
                <c:pt idx="8">
                  <c:v>0.20039999999999999</c:v>
                </c:pt>
                <c:pt idx="9">
                  <c:v>0.20039999999999999</c:v>
                </c:pt>
                <c:pt idx="10">
                  <c:v>0.20039999999999999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14-4916-9176-E8E00E8BE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696288"/>
        <c:axId val="1400689088"/>
      </c:lineChart>
      <c:catAx>
        <c:axId val="14006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89088"/>
        <c:crosses val="autoZero"/>
        <c:auto val="1"/>
        <c:lblAlgn val="ctr"/>
        <c:lblOffset val="100"/>
        <c:noMultiLvlLbl val="0"/>
      </c:catAx>
      <c:valAx>
        <c:axId val="14006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962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28</xdr:row>
      <xdr:rowOff>47625</xdr:rowOff>
    </xdr:from>
    <xdr:to>
      <xdr:col>5</xdr:col>
      <xdr:colOff>466725</xdr:colOff>
      <xdr:row>30</xdr:row>
      <xdr:rowOff>142875</xdr:rowOff>
    </xdr:to>
    <xdr:sp macro="" textlink="">
      <xdr:nvSpPr>
        <xdr:cNvPr id="2" name="Down Arrow 82">
          <a:extLst>
            <a:ext uri="{FF2B5EF4-FFF2-40B4-BE49-F238E27FC236}">
              <a16:creationId xmlns:a16="http://schemas.microsoft.com/office/drawing/2014/main" id="{D28E487F-1CB5-4EB5-898E-295B6FD93EC0}"/>
            </a:ext>
          </a:extLst>
        </xdr:cNvPr>
        <xdr:cNvSpPr/>
      </xdr:nvSpPr>
      <xdr:spPr>
        <a:xfrm>
          <a:off x="3400425" y="5168265"/>
          <a:ext cx="114300" cy="461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981075</xdr:colOff>
      <xdr:row>7</xdr:row>
      <xdr:rowOff>47625</xdr:rowOff>
    </xdr:from>
    <xdr:to>
      <xdr:col>3</xdr:col>
      <xdr:colOff>371475</xdr:colOff>
      <xdr:row>7</xdr:row>
      <xdr:rowOff>95250</xdr:rowOff>
    </xdr:to>
    <xdr:sp macro="" textlink="">
      <xdr:nvSpPr>
        <xdr:cNvPr id="3" name="Left Arrow 90">
          <a:extLst>
            <a:ext uri="{FF2B5EF4-FFF2-40B4-BE49-F238E27FC236}">
              <a16:creationId xmlns:a16="http://schemas.microsoft.com/office/drawing/2014/main" id="{19CF1ABD-CA5B-4453-9B06-B61154A4BE5F}"/>
            </a:ext>
          </a:extLst>
        </xdr:cNvPr>
        <xdr:cNvSpPr/>
      </xdr:nvSpPr>
      <xdr:spPr>
        <a:xfrm>
          <a:off x="1826895" y="1327785"/>
          <a:ext cx="373380" cy="47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276224</xdr:colOff>
      <xdr:row>9</xdr:row>
      <xdr:rowOff>95250</xdr:rowOff>
    </xdr:from>
    <xdr:to>
      <xdr:col>2</xdr:col>
      <xdr:colOff>499677</xdr:colOff>
      <xdr:row>9</xdr:row>
      <xdr:rowOff>104395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70A7313-45D2-4148-9F95-7F06D1BA4A07}"/>
            </a:ext>
          </a:extLst>
        </xdr:cNvPr>
        <xdr:cNvCxnSpPr/>
      </xdr:nvCxnSpPr>
      <xdr:spPr>
        <a:xfrm rot="16200000" flipV="1">
          <a:off x="1297778" y="1329216"/>
          <a:ext cx="9145" cy="833053"/>
        </a:xfrm>
        <a:prstGeom prst="line">
          <a:avLst/>
        </a:prstGeom>
        <a:ln w="158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752473</xdr:colOff>
      <xdr:row>19</xdr:row>
      <xdr:rowOff>225880</xdr:rowOff>
    </xdr:from>
    <xdr:to>
      <xdr:col>16</xdr:col>
      <xdr:colOff>400050</xdr:colOff>
      <xdr:row>36</xdr:row>
      <xdr:rowOff>174172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EC8ADFD-595A-4F24-B6F7-589EAB8FFD0C}"/>
            </a:ext>
          </a:extLst>
        </xdr:cNvPr>
        <xdr:cNvGrpSpPr/>
      </xdr:nvGrpSpPr>
      <xdr:grpSpPr>
        <a:xfrm>
          <a:off x="1112691" y="4714753"/>
          <a:ext cx="8666886" cy="4340183"/>
          <a:chOff x="466724" y="1838325"/>
          <a:chExt cx="8239127" cy="4162425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90F4773-6CE2-4489-C793-E1B3FA860053}"/>
              </a:ext>
            </a:extLst>
          </xdr:cNvPr>
          <xdr:cNvGrpSpPr/>
        </xdr:nvGrpSpPr>
        <xdr:grpSpPr>
          <a:xfrm>
            <a:off x="466724" y="1838325"/>
            <a:ext cx="8239127" cy="4162425"/>
            <a:chOff x="885824" y="2381250"/>
            <a:chExt cx="8772527" cy="4162425"/>
          </a:xfrm>
        </xdr:grpSpPr>
        <xdr:cxnSp macro="">
          <xdr:nvCxnSpPr>
            <xdr:cNvPr id="8" name="Straight Connector 7">
              <a:extLst>
                <a:ext uri="{FF2B5EF4-FFF2-40B4-BE49-F238E27FC236}">
                  <a16:creationId xmlns:a16="http://schemas.microsoft.com/office/drawing/2014/main" id="{C9F84F83-BC2B-7CB5-7B46-619034699743}"/>
                </a:ext>
              </a:extLst>
            </xdr:cNvPr>
            <xdr:cNvCxnSpPr/>
          </xdr:nvCxnSpPr>
          <xdr:spPr>
            <a:xfrm rot="10800000" flipV="1">
              <a:off x="2524135" y="6267450"/>
              <a:ext cx="809615" cy="2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4AC67F40-A91E-8D03-4DFC-0851BD52E289}"/>
                </a:ext>
              </a:extLst>
            </xdr:cNvPr>
            <xdr:cNvSpPr/>
          </xdr:nvSpPr>
          <xdr:spPr>
            <a:xfrm>
              <a:off x="1333500" y="6038941"/>
              <a:ext cx="1226890" cy="223248"/>
            </a:xfrm>
            <a:prstGeom prst="rect">
              <a:avLst/>
            </a:prstGeom>
            <a:noFill/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D9067B11-2287-ADEA-5D79-D6F11E718C7D}"/>
                </a:ext>
              </a:extLst>
            </xdr:cNvPr>
            <xdr:cNvGrpSpPr/>
          </xdr:nvGrpSpPr>
          <xdr:grpSpPr>
            <a:xfrm>
              <a:off x="885824" y="2381250"/>
              <a:ext cx="8772527" cy="4162425"/>
              <a:chOff x="885824" y="2381250"/>
              <a:chExt cx="8772527" cy="4086225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A812D174-4AF8-1B00-B69F-D61DA0E996EE}"/>
                  </a:ext>
                </a:extLst>
              </xdr:cNvPr>
              <xdr:cNvGrpSpPr/>
            </xdr:nvGrpSpPr>
            <xdr:grpSpPr>
              <a:xfrm>
                <a:off x="2453280" y="5011511"/>
                <a:ext cx="798452" cy="951230"/>
                <a:chOff x="3048000" y="1905000"/>
                <a:chExt cx="1228724" cy="1628776"/>
              </a:xfrm>
            </xdr:grpSpPr>
            <xdr:grpSp>
              <xdr:nvGrpSpPr>
                <xdr:cNvPr id="33" name="Group 32">
                  <a:extLst>
                    <a:ext uri="{FF2B5EF4-FFF2-40B4-BE49-F238E27FC236}">
                      <a16:creationId xmlns:a16="http://schemas.microsoft.com/office/drawing/2014/main" id="{208D9557-5690-8DE1-F43F-2B19A282CBA8}"/>
                    </a:ext>
                  </a:extLst>
                </xdr:cNvPr>
                <xdr:cNvGrpSpPr/>
              </xdr:nvGrpSpPr>
              <xdr:grpSpPr>
                <a:xfrm>
                  <a:off x="3248026" y="2486026"/>
                  <a:ext cx="819150" cy="1047750"/>
                  <a:chOff x="5172075" y="3105150"/>
                  <a:chExt cx="1375029" cy="1666875"/>
                </a:xfrm>
              </xdr:grpSpPr>
              <xdr:sp macro="" textlink="">
                <xdr:nvSpPr>
                  <xdr:cNvPr id="35" name="Isosceles Triangle 34">
                    <a:extLst>
                      <a:ext uri="{FF2B5EF4-FFF2-40B4-BE49-F238E27FC236}">
                        <a16:creationId xmlns:a16="http://schemas.microsoft.com/office/drawing/2014/main" id="{1533CEF4-79D7-4524-7942-A6B7A909B130}"/>
                      </a:ext>
                    </a:extLst>
                  </xdr:cNvPr>
                  <xdr:cNvSpPr/>
                </xdr:nvSpPr>
                <xdr:spPr>
                  <a:xfrm rot="10800000">
                    <a:off x="5181600" y="3105150"/>
                    <a:ext cx="1365504" cy="914400"/>
                  </a:xfrm>
                  <a:prstGeom prst="triangle">
                    <a:avLst/>
                  </a:prstGeom>
                  <a:noFill/>
                  <a:ln w="158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marL="0" indent="0" algn="ctr"/>
                    <a:endParaRPr lang="en-US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36" name="Isosceles Triangle 35">
                    <a:extLst>
                      <a:ext uri="{FF2B5EF4-FFF2-40B4-BE49-F238E27FC236}">
                        <a16:creationId xmlns:a16="http://schemas.microsoft.com/office/drawing/2014/main" id="{CC0E6E4C-EFEE-7965-0542-FF479EA3D95C}"/>
                      </a:ext>
                    </a:extLst>
                  </xdr:cNvPr>
                  <xdr:cNvSpPr/>
                </xdr:nvSpPr>
                <xdr:spPr>
                  <a:xfrm>
                    <a:off x="5172075" y="3857625"/>
                    <a:ext cx="1365504" cy="914400"/>
                  </a:xfrm>
                  <a:prstGeom prst="triangle">
                    <a:avLst/>
                  </a:prstGeom>
                  <a:noFill/>
                  <a:ln w="158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marL="0" indent="0" algn="ctr"/>
                    <a:endParaRPr lang="en-US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grpSp>
                <xdr:nvGrpSpPr>
                  <xdr:cNvPr id="37" name="Group 11">
                    <a:extLst>
                      <a:ext uri="{FF2B5EF4-FFF2-40B4-BE49-F238E27FC236}">
                        <a16:creationId xmlns:a16="http://schemas.microsoft.com/office/drawing/2014/main" id="{6F897DC5-835F-2B30-2F0E-CF1E6AEFE968}"/>
                      </a:ext>
                    </a:extLst>
                  </xdr:cNvPr>
                  <xdr:cNvGrpSpPr/>
                </xdr:nvGrpSpPr>
                <xdr:grpSpPr>
                  <a:xfrm>
                    <a:off x="5191124" y="3343275"/>
                    <a:ext cx="1304925" cy="1304925"/>
                    <a:chOff x="5191124" y="3343275"/>
                    <a:chExt cx="1304925" cy="1304925"/>
                  </a:xfrm>
                  <a:solidFill>
                    <a:schemeClr val="bg1"/>
                  </a:solidFill>
                </xdr:grpSpPr>
                <xdr:sp macro="" textlink="">
                  <xdr:nvSpPr>
                    <xdr:cNvPr id="38" name="Oval 37">
                      <a:extLst>
                        <a:ext uri="{FF2B5EF4-FFF2-40B4-BE49-F238E27FC236}">
                          <a16:creationId xmlns:a16="http://schemas.microsoft.com/office/drawing/2014/main" id="{71A5BC69-AAC2-54FC-3651-B67ABCFE02E4}"/>
                        </a:ext>
                      </a:extLst>
                    </xdr:cNvPr>
                    <xdr:cNvSpPr/>
                  </xdr:nvSpPr>
                  <xdr:spPr>
                    <a:xfrm>
                      <a:off x="5191124" y="3343275"/>
                      <a:ext cx="1304925" cy="1304925"/>
                    </a:xfrm>
                    <a:prstGeom prst="ellipse">
                      <a:avLst/>
                    </a:prstGeom>
                    <a:grpFill/>
                    <a:ln w="1587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ctr"/>
                    <a:lstStyle/>
                    <a:p>
                      <a:pPr marL="0" indent="0" algn="ctr"/>
                      <a:endParaRPr lang="en-US"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  <xdr:sp macro="" textlink="">
                  <xdr:nvSpPr>
                    <xdr:cNvPr id="39" name="Rectangle 38">
                      <a:extLst>
                        <a:ext uri="{FF2B5EF4-FFF2-40B4-BE49-F238E27FC236}">
                          <a16:creationId xmlns:a16="http://schemas.microsoft.com/office/drawing/2014/main" id="{6D193D7B-2B0A-2548-4318-A3A5865F236D}"/>
                        </a:ext>
                      </a:extLst>
                    </xdr:cNvPr>
                    <xdr:cNvSpPr/>
                  </xdr:nvSpPr>
                  <xdr:spPr>
                    <a:xfrm>
                      <a:off x="5838825" y="3390900"/>
                      <a:ext cx="47625" cy="1200150"/>
                    </a:xfrm>
                    <a:prstGeom prst="rect">
                      <a:avLst/>
                    </a:prstGeom>
                    <a:grpFill/>
                    <a:ln w="1587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ctr"/>
                    <a:lstStyle/>
                    <a:p>
                      <a:pPr marL="0" indent="0" algn="ctr"/>
                      <a:endParaRPr lang="en-US"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  <xdr:sp macro="" textlink="">
                  <xdr:nvSpPr>
                    <xdr:cNvPr id="40" name="Rectangle 39">
                      <a:extLst>
                        <a:ext uri="{FF2B5EF4-FFF2-40B4-BE49-F238E27FC236}">
                          <a16:creationId xmlns:a16="http://schemas.microsoft.com/office/drawing/2014/main" id="{4E6C39ED-BDCD-D36E-CA33-0198ACF8F70A}"/>
                        </a:ext>
                      </a:extLst>
                    </xdr:cNvPr>
                    <xdr:cNvSpPr/>
                  </xdr:nvSpPr>
                  <xdr:spPr>
                    <a:xfrm rot="5400000">
                      <a:off x="5819775" y="3352801"/>
                      <a:ext cx="47625" cy="1200150"/>
                    </a:xfrm>
                    <a:prstGeom prst="rect">
                      <a:avLst/>
                    </a:prstGeom>
                    <a:grpFill/>
                    <a:ln w="1587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ctr"/>
                    <a:lstStyle/>
                    <a:p>
                      <a:pPr marL="0" indent="0" algn="ctr"/>
                      <a:endParaRPr lang="en-US"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  <xdr:sp macro="" textlink="">
                  <xdr:nvSpPr>
                    <xdr:cNvPr id="41" name="Rectangle 40">
                      <a:extLst>
                        <a:ext uri="{FF2B5EF4-FFF2-40B4-BE49-F238E27FC236}">
                          <a16:creationId xmlns:a16="http://schemas.microsoft.com/office/drawing/2014/main" id="{58665C66-1855-E369-FFA6-DD42C781DB3C}"/>
                        </a:ext>
                      </a:extLst>
                    </xdr:cNvPr>
                    <xdr:cNvSpPr/>
                  </xdr:nvSpPr>
                  <xdr:spPr>
                    <a:xfrm rot="8100000">
                      <a:off x="5838825" y="3371851"/>
                      <a:ext cx="47625" cy="1200150"/>
                    </a:xfrm>
                    <a:prstGeom prst="rect">
                      <a:avLst/>
                    </a:prstGeom>
                    <a:grpFill/>
                    <a:ln w="1587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ctr"/>
                    <a:lstStyle/>
                    <a:p>
                      <a:pPr marL="0" indent="0" algn="ctr"/>
                      <a:endParaRPr lang="en-US"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  <xdr:sp macro="" textlink="">
                  <xdr:nvSpPr>
                    <xdr:cNvPr id="42" name="Rectangle 41">
                      <a:extLst>
                        <a:ext uri="{FF2B5EF4-FFF2-40B4-BE49-F238E27FC236}">
                          <a16:creationId xmlns:a16="http://schemas.microsoft.com/office/drawing/2014/main" id="{D2CEB0A7-FDC5-43F8-427D-2458FD9AB0D0}"/>
                        </a:ext>
                      </a:extLst>
                    </xdr:cNvPr>
                    <xdr:cNvSpPr/>
                  </xdr:nvSpPr>
                  <xdr:spPr>
                    <a:xfrm rot="2700000">
                      <a:off x="5824538" y="3386138"/>
                      <a:ext cx="47625" cy="1200150"/>
                    </a:xfrm>
                    <a:prstGeom prst="rect">
                      <a:avLst/>
                    </a:prstGeom>
                    <a:grpFill/>
                    <a:ln w="1587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ctr"/>
                    <a:lstStyle/>
                    <a:p>
                      <a:pPr marL="0" indent="0" algn="ctr"/>
                      <a:endParaRPr lang="en-US"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  <xdr:sp macro="" textlink="">
                  <xdr:nvSpPr>
                    <xdr:cNvPr id="43" name="Oval 42">
                      <a:extLst>
                        <a:ext uri="{FF2B5EF4-FFF2-40B4-BE49-F238E27FC236}">
                          <a16:creationId xmlns:a16="http://schemas.microsoft.com/office/drawing/2014/main" id="{19F339D4-489B-56FF-B4EE-355A24FD903E}"/>
                        </a:ext>
                      </a:extLst>
                    </xdr:cNvPr>
                    <xdr:cNvSpPr/>
                  </xdr:nvSpPr>
                  <xdr:spPr>
                    <a:xfrm>
                      <a:off x="5610225" y="3752850"/>
                      <a:ext cx="514350" cy="485775"/>
                    </a:xfrm>
                    <a:prstGeom prst="ellipse">
                      <a:avLst/>
                    </a:prstGeom>
                    <a:grpFill/>
                    <a:ln w="1587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ctr"/>
                    <a:lstStyle/>
                    <a:p>
                      <a:pPr marL="0" indent="0" algn="ctr"/>
                      <a:endParaRPr lang="en-US"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endParaRPr>
                    </a:p>
                  </xdr:txBody>
                </xdr:sp>
              </xdr:grpSp>
            </xdr:grpSp>
            <xdr:sp macro="" textlink="">
              <xdr:nvSpPr>
                <xdr:cNvPr id="34" name="Trapezoid 33">
                  <a:extLst>
                    <a:ext uri="{FF2B5EF4-FFF2-40B4-BE49-F238E27FC236}">
                      <a16:creationId xmlns:a16="http://schemas.microsoft.com/office/drawing/2014/main" id="{7D4B26EF-348F-A85D-5053-11A320B428A9}"/>
                    </a:ext>
                  </a:extLst>
                </xdr:cNvPr>
                <xdr:cNvSpPr/>
              </xdr:nvSpPr>
              <xdr:spPr>
                <a:xfrm rot="10800000">
                  <a:off x="3048000" y="1905000"/>
                  <a:ext cx="1228724" cy="571500"/>
                </a:xfrm>
                <a:prstGeom prst="trapezoid">
                  <a:avLst>
                    <a:gd name="adj" fmla="val 35000"/>
                  </a:avLst>
                </a:prstGeom>
                <a:noFill/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marL="0" indent="0" algn="ctr"/>
                  <a:endParaRPr 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66CDEAC6-A240-ADF5-3A90-6F63E808B0DD}"/>
                  </a:ext>
                </a:extLst>
              </xdr:cNvPr>
              <xdr:cNvSpPr/>
            </xdr:nvSpPr>
            <xdr:spPr>
              <a:xfrm>
                <a:off x="3154360" y="5962741"/>
                <a:ext cx="1645591" cy="242661"/>
              </a:xfrm>
              <a:prstGeom prst="rect">
                <a:avLst/>
              </a:prstGeom>
              <a:noFill/>
              <a:ln w="158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13" name="Straight Connector 12">
                <a:extLst>
                  <a:ext uri="{FF2B5EF4-FFF2-40B4-BE49-F238E27FC236}">
                    <a16:creationId xmlns:a16="http://schemas.microsoft.com/office/drawing/2014/main" id="{4601FA31-35A6-EF3A-0331-5443F5EE0C98}"/>
                  </a:ext>
                </a:extLst>
              </xdr:cNvPr>
              <xdr:cNvCxnSpPr/>
            </xdr:nvCxnSpPr>
            <xdr:spPr>
              <a:xfrm rot="16200000" flipV="1">
                <a:off x="2315319" y="6212666"/>
                <a:ext cx="499881" cy="9737"/>
              </a:xfrm>
              <a:prstGeom prst="line">
                <a:avLst/>
              </a:prstGeom>
              <a:ln w="158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Straight Connector 13">
                <a:extLst>
                  <a:ext uri="{FF2B5EF4-FFF2-40B4-BE49-F238E27FC236}">
                    <a16:creationId xmlns:a16="http://schemas.microsoft.com/office/drawing/2014/main" id="{A62890BA-C979-0AB7-7261-8C6F770922F2}"/>
                  </a:ext>
                </a:extLst>
              </xdr:cNvPr>
              <xdr:cNvCxnSpPr>
                <a:stCxn id="36" idx="4"/>
              </xdr:cNvCxnSpPr>
            </xdr:nvCxnSpPr>
            <xdr:spPr>
              <a:xfrm rot="5400000" flipH="1">
                <a:off x="2850742" y="5701608"/>
                <a:ext cx="1" cy="522266"/>
              </a:xfrm>
              <a:prstGeom prst="line">
                <a:avLst/>
              </a:prstGeom>
              <a:ln w="158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" name="Straight Connector 14">
                <a:extLst>
                  <a:ext uri="{FF2B5EF4-FFF2-40B4-BE49-F238E27FC236}">
                    <a16:creationId xmlns:a16="http://schemas.microsoft.com/office/drawing/2014/main" id="{C7905F5E-F81C-CDD6-C2C9-C96A7810A049}"/>
                  </a:ext>
                </a:extLst>
              </xdr:cNvPr>
              <xdr:cNvCxnSpPr/>
            </xdr:nvCxnSpPr>
            <xdr:spPr>
              <a:xfrm rot="10800000">
                <a:off x="2385129" y="5962742"/>
                <a:ext cx="262897" cy="67944"/>
              </a:xfrm>
              <a:prstGeom prst="line">
                <a:avLst/>
              </a:prstGeom>
              <a:ln w="158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Straight Connector 15">
                <a:extLst>
                  <a:ext uri="{FF2B5EF4-FFF2-40B4-BE49-F238E27FC236}">
                    <a16:creationId xmlns:a16="http://schemas.microsoft.com/office/drawing/2014/main" id="{C984E95D-9510-D3E2-09B9-D63F5917116A}"/>
                  </a:ext>
                </a:extLst>
              </xdr:cNvPr>
              <xdr:cNvCxnSpPr/>
            </xdr:nvCxnSpPr>
            <xdr:spPr>
              <a:xfrm rot="10800000">
                <a:off x="2609088" y="6030686"/>
                <a:ext cx="136309" cy="1618"/>
              </a:xfrm>
              <a:prstGeom prst="line">
                <a:avLst/>
              </a:prstGeom>
              <a:ln w="158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7" name="Block Arc 16">
                <a:extLst>
                  <a:ext uri="{FF2B5EF4-FFF2-40B4-BE49-F238E27FC236}">
                    <a16:creationId xmlns:a16="http://schemas.microsoft.com/office/drawing/2014/main" id="{07BDB9A3-AC43-8856-6287-A07F79F4D3E5}"/>
                  </a:ext>
                </a:extLst>
              </xdr:cNvPr>
              <xdr:cNvSpPr/>
            </xdr:nvSpPr>
            <xdr:spPr>
              <a:xfrm rot="10800000">
                <a:off x="3991759" y="4506776"/>
                <a:ext cx="1577431" cy="1688919"/>
              </a:xfrm>
              <a:prstGeom prst="blockArc">
                <a:avLst>
                  <a:gd name="adj1" fmla="val 10614363"/>
                  <a:gd name="adj2" fmla="val 16144510"/>
                  <a:gd name="adj3" fmla="val 15468"/>
                </a:avLst>
              </a:prstGeom>
              <a:noFill/>
              <a:ln w="158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marL="0" indent="0" algn="ctr"/>
                <a:endPara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D37DAF7F-EC3A-3863-4C0E-6F530BCA409D}"/>
                  </a:ext>
                </a:extLst>
              </xdr:cNvPr>
              <xdr:cNvSpPr/>
            </xdr:nvSpPr>
            <xdr:spPr>
              <a:xfrm rot="5400000">
                <a:off x="4602984" y="4365648"/>
                <a:ext cx="1669506" cy="243431"/>
              </a:xfrm>
              <a:prstGeom prst="rect">
                <a:avLst/>
              </a:prstGeom>
              <a:noFill/>
              <a:ln w="158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9" name="Block Arc 18">
                <a:extLst>
                  <a:ext uri="{FF2B5EF4-FFF2-40B4-BE49-F238E27FC236}">
                    <a16:creationId xmlns:a16="http://schemas.microsoft.com/office/drawing/2014/main" id="{C573B1EC-9B0F-F816-5DC7-351D4B351114}"/>
                  </a:ext>
                </a:extLst>
              </xdr:cNvPr>
              <xdr:cNvSpPr/>
            </xdr:nvSpPr>
            <xdr:spPr>
              <a:xfrm>
                <a:off x="5325759" y="2769326"/>
                <a:ext cx="1577431" cy="1688919"/>
              </a:xfrm>
              <a:prstGeom prst="blockArc">
                <a:avLst>
                  <a:gd name="adj1" fmla="val 10614363"/>
                  <a:gd name="adj2" fmla="val 16144510"/>
                  <a:gd name="adj3" fmla="val 15468"/>
                </a:avLst>
              </a:prstGeom>
              <a:noFill/>
              <a:ln w="158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marL="0" indent="0" algn="ctr"/>
                <a:endPara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0" name="Rectangle 19">
                <a:extLst>
                  <a:ext uri="{FF2B5EF4-FFF2-40B4-BE49-F238E27FC236}">
                    <a16:creationId xmlns:a16="http://schemas.microsoft.com/office/drawing/2014/main" id="{7DE5CDA1-E8F4-2A3A-8D68-1295BFFA3E90}"/>
                  </a:ext>
                </a:extLst>
              </xdr:cNvPr>
              <xdr:cNvSpPr/>
            </xdr:nvSpPr>
            <xdr:spPr>
              <a:xfrm>
                <a:off x="6095000" y="2779032"/>
                <a:ext cx="2458450" cy="242661"/>
              </a:xfrm>
              <a:prstGeom prst="rect">
                <a:avLst/>
              </a:prstGeom>
              <a:noFill/>
              <a:ln w="158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grpSp>
            <xdr:nvGrpSpPr>
              <xdr:cNvPr id="21" name="Group 20">
                <a:extLst>
                  <a:ext uri="{FF2B5EF4-FFF2-40B4-BE49-F238E27FC236}">
                    <a16:creationId xmlns:a16="http://schemas.microsoft.com/office/drawing/2014/main" id="{B821F3AB-927F-3224-FCAA-40B51C78ECC1}"/>
                  </a:ext>
                </a:extLst>
              </xdr:cNvPr>
              <xdr:cNvGrpSpPr/>
            </xdr:nvGrpSpPr>
            <xdr:grpSpPr>
              <a:xfrm>
                <a:off x="8470410" y="2381250"/>
                <a:ext cx="1187941" cy="1426845"/>
                <a:chOff x="10077450" y="1409700"/>
                <a:chExt cx="2343149" cy="2238374"/>
              </a:xfrm>
            </xdr:grpSpPr>
            <xdr:sp macro="" textlink="">
              <xdr:nvSpPr>
                <xdr:cNvPr id="25" name="Trapezoid 24">
                  <a:extLst>
                    <a:ext uri="{FF2B5EF4-FFF2-40B4-BE49-F238E27FC236}">
                      <a16:creationId xmlns:a16="http://schemas.microsoft.com/office/drawing/2014/main" id="{034F7723-ADAF-7466-A3D7-99F57214156C}"/>
                    </a:ext>
                  </a:extLst>
                </xdr:cNvPr>
                <xdr:cNvSpPr/>
              </xdr:nvSpPr>
              <xdr:spPr>
                <a:xfrm rot="10800000">
                  <a:off x="10077450" y="1924048"/>
                  <a:ext cx="1228724" cy="1724026"/>
                </a:xfrm>
                <a:prstGeom prst="trapezoid">
                  <a:avLst>
                    <a:gd name="adj" fmla="val 33433"/>
                  </a:avLst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marL="0" indent="0" algn="ctr"/>
                  <a:endParaRPr 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6" name="Rectangle 25">
                  <a:extLst>
                    <a:ext uri="{FF2B5EF4-FFF2-40B4-BE49-F238E27FC236}">
                      <a16:creationId xmlns:a16="http://schemas.microsoft.com/office/drawing/2014/main" id="{D86D875B-E27F-AD36-C233-813AB9842D5D}"/>
                    </a:ext>
                  </a:extLst>
                </xdr:cNvPr>
                <xdr:cNvSpPr/>
              </xdr:nvSpPr>
              <xdr:spPr>
                <a:xfrm>
                  <a:off x="10467976" y="1666875"/>
                  <a:ext cx="476250" cy="257175"/>
                </a:xfrm>
                <a:prstGeom prst="rect">
                  <a:avLst/>
                </a:prstGeom>
                <a:noFill/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27" name="Rectangle 26">
                  <a:extLst>
                    <a:ext uri="{FF2B5EF4-FFF2-40B4-BE49-F238E27FC236}">
                      <a16:creationId xmlns:a16="http://schemas.microsoft.com/office/drawing/2014/main" id="{4B743F06-BA3D-E738-2A14-5CB30BFEDC10}"/>
                    </a:ext>
                  </a:extLst>
                </xdr:cNvPr>
                <xdr:cNvSpPr/>
              </xdr:nvSpPr>
              <xdr:spPr>
                <a:xfrm>
                  <a:off x="10477501" y="1924050"/>
                  <a:ext cx="476250" cy="600075"/>
                </a:xfrm>
                <a:prstGeom prst="rect">
                  <a:avLst/>
                </a:prstGeom>
                <a:noFill/>
                <a:ln w="15875">
                  <a:solidFill>
                    <a:schemeClr val="tx1"/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28" name="Rectangle 27">
                  <a:extLst>
                    <a:ext uri="{FF2B5EF4-FFF2-40B4-BE49-F238E27FC236}">
                      <a16:creationId xmlns:a16="http://schemas.microsoft.com/office/drawing/2014/main" id="{047C4A29-4BF0-E467-2D39-EC9D7F6813AA}"/>
                    </a:ext>
                  </a:extLst>
                </xdr:cNvPr>
                <xdr:cNvSpPr/>
              </xdr:nvSpPr>
              <xdr:spPr>
                <a:xfrm>
                  <a:off x="10458450" y="1409700"/>
                  <a:ext cx="1962149" cy="257175"/>
                </a:xfrm>
                <a:prstGeom prst="rect">
                  <a:avLst/>
                </a:prstGeom>
                <a:noFill/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29" name="Rectangle 28">
                  <a:extLst>
                    <a:ext uri="{FF2B5EF4-FFF2-40B4-BE49-F238E27FC236}">
                      <a16:creationId xmlns:a16="http://schemas.microsoft.com/office/drawing/2014/main" id="{B9219B12-3780-BAEA-85BD-B75BED099281}"/>
                    </a:ext>
                  </a:extLst>
                </xdr:cNvPr>
                <xdr:cNvSpPr/>
              </xdr:nvSpPr>
              <xdr:spPr>
                <a:xfrm rot="5400000">
                  <a:off x="11001374" y="2133601"/>
                  <a:ext cx="1090612" cy="147639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15875">
                  <a:solidFill>
                    <a:schemeClr val="tx1"/>
                  </a:solidFill>
                  <a:prstDash val="sys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id="{4292BED1-EC9C-6D64-9613-98B0AEC83992}"/>
                    </a:ext>
                  </a:extLst>
                </xdr:cNvPr>
                <xdr:cNvSpPr/>
              </xdr:nvSpPr>
              <xdr:spPr>
                <a:xfrm rot="5400000">
                  <a:off x="11229974" y="2143127"/>
                  <a:ext cx="1090612" cy="147639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15875">
                  <a:solidFill>
                    <a:schemeClr val="tx1"/>
                  </a:solidFill>
                  <a:prstDash val="sys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31" name="Rectangle 30">
                  <a:extLst>
                    <a:ext uri="{FF2B5EF4-FFF2-40B4-BE49-F238E27FC236}">
                      <a16:creationId xmlns:a16="http://schemas.microsoft.com/office/drawing/2014/main" id="{CB17CAEA-4499-B670-DA3B-541A4715BB09}"/>
                    </a:ext>
                  </a:extLst>
                </xdr:cNvPr>
                <xdr:cNvSpPr/>
              </xdr:nvSpPr>
              <xdr:spPr>
                <a:xfrm rot="5400000">
                  <a:off x="11429999" y="2143128"/>
                  <a:ext cx="1090612" cy="147639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15875">
                  <a:solidFill>
                    <a:schemeClr val="tx1"/>
                  </a:solidFill>
                  <a:prstDash val="sys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32" name="Rectangle 31">
                  <a:extLst>
                    <a:ext uri="{FF2B5EF4-FFF2-40B4-BE49-F238E27FC236}">
                      <a16:creationId xmlns:a16="http://schemas.microsoft.com/office/drawing/2014/main" id="{FDC51518-C2A0-ECAC-D45A-C68440543196}"/>
                    </a:ext>
                  </a:extLst>
                </xdr:cNvPr>
                <xdr:cNvSpPr/>
              </xdr:nvSpPr>
              <xdr:spPr>
                <a:xfrm rot="5400000">
                  <a:off x="11658599" y="2133604"/>
                  <a:ext cx="1090612" cy="147639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15875">
                  <a:solidFill>
                    <a:schemeClr val="tx1"/>
                  </a:solidFill>
                  <a:prstDash val="sys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grpSp>
            <xdr:nvGrpSpPr>
              <xdr:cNvPr id="22" name="Group 21">
                <a:extLst>
                  <a:ext uri="{FF2B5EF4-FFF2-40B4-BE49-F238E27FC236}">
                    <a16:creationId xmlns:a16="http://schemas.microsoft.com/office/drawing/2014/main" id="{7DC5C579-32C7-91C2-A67D-DD8F663A10D4}"/>
                  </a:ext>
                </a:extLst>
              </xdr:cNvPr>
              <xdr:cNvGrpSpPr/>
            </xdr:nvGrpSpPr>
            <xdr:grpSpPr>
              <a:xfrm>
                <a:off x="885824" y="5353050"/>
                <a:ext cx="942975" cy="847726"/>
                <a:chOff x="2200275" y="4248150"/>
                <a:chExt cx="438150" cy="447675"/>
              </a:xfrm>
            </xdr:grpSpPr>
            <xdr:sp macro="" textlink="">
              <xdr:nvSpPr>
                <xdr:cNvPr id="23" name="Oval 22">
                  <a:extLst>
                    <a:ext uri="{FF2B5EF4-FFF2-40B4-BE49-F238E27FC236}">
                      <a16:creationId xmlns:a16="http://schemas.microsoft.com/office/drawing/2014/main" id="{0DA21236-09C3-D946-054D-A14C962F4FA7}"/>
                    </a:ext>
                  </a:extLst>
                </xdr:cNvPr>
                <xdr:cNvSpPr/>
              </xdr:nvSpPr>
              <xdr:spPr>
                <a:xfrm>
                  <a:off x="2200275" y="4248150"/>
                  <a:ext cx="428625" cy="447675"/>
                </a:xfrm>
                <a:prstGeom prst="ellipse">
                  <a:avLst/>
                </a:prstGeom>
                <a:solidFill>
                  <a:schemeClr val="bg1">
                    <a:lumMod val="95000"/>
                  </a:schemeClr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marL="0" indent="0" algn="ctr"/>
                  <a:endParaRPr 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4" name="Sun 23">
                  <a:extLst>
                    <a:ext uri="{FF2B5EF4-FFF2-40B4-BE49-F238E27FC236}">
                      <a16:creationId xmlns:a16="http://schemas.microsoft.com/office/drawing/2014/main" id="{1036CCDF-A849-FD70-84E2-DB8EAAFA0146}"/>
                    </a:ext>
                  </a:extLst>
                </xdr:cNvPr>
                <xdr:cNvSpPr/>
              </xdr:nvSpPr>
              <xdr:spPr>
                <a:xfrm>
                  <a:off x="2200275" y="4267200"/>
                  <a:ext cx="438150" cy="400050"/>
                </a:xfrm>
                <a:prstGeom prst="sun">
                  <a:avLst/>
                </a:prstGeom>
                <a:solidFill>
                  <a:schemeClr val="bg1"/>
                </a:solidFill>
                <a:ln w="1587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marL="0" indent="0" algn="ctr"/>
                  <a:endParaRPr 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</xdr:grpSp>
      </xdr:grp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4226F4D2-F281-D7D9-2A8F-5C3A64BD291A}"/>
              </a:ext>
            </a:extLst>
          </xdr:cNvPr>
          <xdr:cNvCxnSpPr/>
        </xdr:nvCxnSpPr>
        <xdr:spPr>
          <a:xfrm rot="16200000" flipV="1">
            <a:off x="2355056" y="5664999"/>
            <a:ext cx="494919" cy="4380"/>
          </a:xfrm>
          <a:prstGeom prst="line">
            <a:avLst/>
          </a:prstGeom>
          <a:ln w="158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22</xdr:col>
      <xdr:colOff>19050</xdr:colOff>
      <xdr:row>2</xdr:row>
      <xdr:rowOff>66675</xdr:rowOff>
    </xdr:from>
    <xdr:ext cx="2809875" cy="536762"/>
    <xdr:pic>
      <xdr:nvPicPr>
        <xdr:cNvPr id="44" name="Picture 5">
          <a:extLst>
            <a:ext uri="{FF2B5EF4-FFF2-40B4-BE49-F238E27FC236}">
              <a16:creationId xmlns:a16="http://schemas.microsoft.com/office/drawing/2014/main" id="{BF00147C-76AB-43D1-90FF-B422C4722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30250" y="432435"/>
          <a:ext cx="2809875" cy="536762"/>
        </a:xfrm>
        <a:prstGeom prst="rect">
          <a:avLst/>
        </a:prstGeom>
        <a:noFill/>
      </xdr:spPr>
    </xdr:pic>
    <xdr:clientData/>
  </xdr:oneCellAnchor>
  <xdr:oneCellAnchor>
    <xdr:from>
      <xdr:col>22</xdr:col>
      <xdr:colOff>0</xdr:colOff>
      <xdr:row>5</xdr:row>
      <xdr:rowOff>0</xdr:rowOff>
    </xdr:from>
    <xdr:ext cx="1743075" cy="188819"/>
    <xdr:pic>
      <xdr:nvPicPr>
        <xdr:cNvPr id="45" name="Picture 6">
          <a:extLst>
            <a:ext uri="{FF2B5EF4-FFF2-40B4-BE49-F238E27FC236}">
              <a16:creationId xmlns:a16="http://schemas.microsoft.com/office/drawing/2014/main" id="{883AB031-CA83-4FBF-8BFA-EB28AB334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1200" y="914400"/>
          <a:ext cx="1743075" cy="188819"/>
        </a:xfrm>
        <a:prstGeom prst="rect">
          <a:avLst/>
        </a:prstGeom>
        <a:noFill/>
      </xdr:spPr>
    </xdr:pic>
    <xdr:clientData/>
  </xdr:oneCellAnchor>
  <xdr:oneCellAnchor>
    <xdr:from>
      <xdr:col>22</xdr:col>
      <xdr:colOff>0</xdr:colOff>
      <xdr:row>6</xdr:row>
      <xdr:rowOff>0</xdr:rowOff>
    </xdr:from>
    <xdr:ext cx="1819275" cy="161925"/>
    <xdr:pic>
      <xdr:nvPicPr>
        <xdr:cNvPr id="46" name="Picture 7">
          <a:extLst>
            <a:ext uri="{FF2B5EF4-FFF2-40B4-BE49-F238E27FC236}">
              <a16:creationId xmlns:a16="http://schemas.microsoft.com/office/drawing/2014/main" id="{24CB42FC-CB97-4C6D-A02D-E023DFA0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11200" y="1097280"/>
          <a:ext cx="1819275" cy="161925"/>
        </a:xfrm>
        <a:prstGeom prst="rect">
          <a:avLst/>
        </a:prstGeom>
        <a:noFill/>
      </xdr:spPr>
    </xdr:pic>
    <xdr:clientData/>
  </xdr:oneCellAnchor>
  <xdr:twoCellAnchor>
    <xdr:from>
      <xdr:col>22</xdr:col>
      <xdr:colOff>361950</xdr:colOff>
      <xdr:row>45</xdr:row>
      <xdr:rowOff>247650</xdr:rowOff>
    </xdr:from>
    <xdr:to>
      <xdr:col>22</xdr:col>
      <xdr:colOff>400050</xdr:colOff>
      <xdr:row>46</xdr:row>
      <xdr:rowOff>123825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2C8CEF1-FE75-4270-BE37-B4AE1EF984E0}"/>
            </a:ext>
          </a:extLst>
        </xdr:cNvPr>
        <xdr:cNvCxnSpPr/>
      </xdr:nvCxnSpPr>
      <xdr:spPr>
        <a:xfrm rot="16200000" flipH="1">
          <a:off x="13728382" y="8453438"/>
          <a:ext cx="12763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447675</xdr:colOff>
      <xdr:row>44</xdr:row>
      <xdr:rowOff>257175</xdr:rowOff>
    </xdr:from>
    <xdr:to>
      <xdr:col>23</xdr:col>
      <xdr:colOff>466725</xdr:colOff>
      <xdr:row>45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60C1089-0286-45C7-936E-14853F264E8B}"/>
            </a:ext>
          </a:extLst>
        </xdr:cNvPr>
        <xdr:cNvCxnSpPr/>
      </xdr:nvCxnSpPr>
      <xdr:spPr>
        <a:xfrm rot="5400000">
          <a:off x="14419897" y="8276273"/>
          <a:ext cx="11620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238125</xdr:colOff>
      <xdr:row>44</xdr:row>
      <xdr:rowOff>219074</xdr:rowOff>
    </xdr:from>
    <xdr:to>
      <xdr:col>24</xdr:col>
      <xdr:colOff>266700</xdr:colOff>
      <xdr:row>45</xdr:row>
      <xdr:rowOff>123824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41B79E91-6080-4570-92D7-87337083C680}"/>
            </a:ext>
          </a:extLst>
        </xdr:cNvPr>
        <xdr:cNvCxnSpPr/>
      </xdr:nvCxnSpPr>
      <xdr:spPr>
        <a:xfrm rot="16200000" flipH="1">
          <a:off x="14819948" y="8276271"/>
          <a:ext cx="12573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17</xdr:row>
      <xdr:rowOff>31377</xdr:rowOff>
    </xdr:from>
    <xdr:to>
      <xdr:col>8</xdr:col>
      <xdr:colOff>129540</xdr:colOff>
      <xdr:row>31</xdr:row>
      <xdr:rowOff>115196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3935E9-A49B-4B5E-8019-EB7051BB7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390221</xdr:colOff>
      <xdr:row>33</xdr:row>
      <xdr:rowOff>83500</xdr:rowOff>
    </xdr:from>
    <xdr:to>
      <xdr:col>8</xdr:col>
      <xdr:colOff>116541</xdr:colOff>
      <xdr:row>48</xdr:row>
      <xdr:rowOff>161364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16CDA8-DB55-41C3-B2AF-D6284637B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541020</xdr:colOff>
      <xdr:row>17</xdr:row>
      <xdr:rowOff>7620</xdr:rowOff>
    </xdr:from>
    <xdr:to>
      <xdr:col>16</xdr:col>
      <xdr:colOff>266700</xdr:colOff>
      <xdr:row>31</xdr:row>
      <xdr:rowOff>91439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11A5AC-8207-4CFA-9CF5-0AAD1B9EC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573677</xdr:colOff>
      <xdr:row>17</xdr:row>
      <xdr:rowOff>1</xdr:rowOff>
    </xdr:from>
    <xdr:to>
      <xdr:col>24</xdr:col>
      <xdr:colOff>299357</xdr:colOff>
      <xdr:row>31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A3C40D-D8F8-465F-8B98-CFB150371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407446</xdr:colOff>
      <xdr:row>67</xdr:row>
      <xdr:rowOff>166295</xdr:rowOff>
    </xdr:from>
    <xdr:to>
      <xdr:col>8</xdr:col>
      <xdr:colOff>133126</xdr:colOff>
      <xdr:row>82</xdr:row>
      <xdr:rowOff>70821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CE9E5B7-E8E7-45A6-8BC8-6FE98DA36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538779</xdr:colOff>
      <xdr:row>33</xdr:row>
      <xdr:rowOff>82411</xdr:rowOff>
    </xdr:from>
    <xdr:to>
      <xdr:col>16</xdr:col>
      <xdr:colOff>295835</xdr:colOff>
      <xdr:row>49</xdr:row>
      <xdr:rowOff>116540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A9C57FE-938F-4049-9002-05B77873A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550497</xdr:colOff>
      <xdr:row>33</xdr:row>
      <xdr:rowOff>69797</xdr:rowOff>
    </xdr:from>
    <xdr:to>
      <xdr:col>24</xdr:col>
      <xdr:colOff>322729</xdr:colOff>
      <xdr:row>49</xdr:row>
      <xdr:rowOff>71717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0BA332E-27DE-43B3-9D85-105163834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407894</xdr:colOff>
      <xdr:row>83</xdr:row>
      <xdr:rowOff>149711</xdr:rowOff>
    </xdr:from>
    <xdr:to>
      <xdr:col>8</xdr:col>
      <xdr:colOff>134471</xdr:colOff>
      <xdr:row>98</xdr:row>
      <xdr:rowOff>54236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3BCBDB4-8189-4999-8C4F-403771D9B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68</xdr:row>
      <xdr:rowOff>0</xdr:rowOff>
    </xdr:from>
    <xdr:to>
      <xdr:col>16</xdr:col>
      <xdr:colOff>335280</xdr:colOff>
      <xdr:row>82</xdr:row>
      <xdr:rowOff>83820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C944393-E4D5-4BF9-A081-B69934C2A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68</xdr:row>
      <xdr:rowOff>0</xdr:rowOff>
    </xdr:from>
    <xdr:to>
      <xdr:col>24</xdr:col>
      <xdr:colOff>335280</xdr:colOff>
      <xdr:row>82</xdr:row>
      <xdr:rowOff>83820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97D5422-77C2-4D52-BFD2-29F90A02C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609599</xdr:colOff>
      <xdr:row>83</xdr:row>
      <xdr:rowOff>170331</xdr:rowOff>
    </xdr:from>
    <xdr:to>
      <xdr:col>16</xdr:col>
      <xdr:colOff>340658</xdr:colOff>
      <xdr:row>98</xdr:row>
      <xdr:rowOff>74856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B289462-8A27-4D5D-9DF8-F0CD3D722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24</xdr:col>
      <xdr:colOff>304800</xdr:colOff>
      <xdr:row>98</xdr:row>
      <xdr:rowOff>83820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78A80F0-D4AE-4F7F-808E-8218FF46C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gam\Desktop\Summer%20Project-2023\Official-Pneumatic%20conveying%20Modeling%20and%20simulation.xlsx" TargetMode="External"/><Relationship Id="rId1" Type="http://schemas.openxmlformats.org/officeDocument/2006/relationships/externalLinkPath" Target="Official-Pneumatic%20conveying%20Modeling%20and%20sim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nd analysis"/>
      <sheetName val="Motor&amp; Pipe"/>
      <sheetName val="Centrifugal Blower"/>
      <sheetName val="Roots Blower"/>
      <sheetName val="Side channel  Blower"/>
      <sheetName val="Sheet3"/>
      <sheetName val="Sheet1"/>
    </sheetNames>
    <sheetDataSet>
      <sheetData sheetId="0"/>
      <sheetData sheetId="1">
        <row r="3">
          <cell r="A3">
            <v>0.1</v>
          </cell>
          <cell r="B3">
            <v>0.1</v>
          </cell>
        </row>
        <row r="4">
          <cell r="A4">
            <v>0.12</v>
          </cell>
          <cell r="B4">
            <v>0.12</v>
          </cell>
        </row>
        <row r="5">
          <cell r="A5">
            <v>0.18</v>
          </cell>
          <cell r="B5">
            <v>0.18</v>
          </cell>
        </row>
        <row r="6">
          <cell r="A6">
            <v>0.25</v>
          </cell>
          <cell r="B6">
            <v>0.25</v>
          </cell>
        </row>
        <row r="7">
          <cell r="A7">
            <v>0.37</v>
          </cell>
          <cell r="B7">
            <v>0.37</v>
          </cell>
        </row>
        <row r="8">
          <cell r="A8">
            <v>0.56000000000000005</v>
          </cell>
          <cell r="B8">
            <v>0.56000000000000005</v>
          </cell>
        </row>
        <row r="9">
          <cell r="A9">
            <v>0.75</v>
          </cell>
          <cell r="B9">
            <v>0.75</v>
          </cell>
        </row>
        <row r="10">
          <cell r="A10">
            <v>1.1000000000000001</v>
          </cell>
          <cell r="B10">
            <v>1.1000000000000001</v>
          </cell>
        </row>
        <row r="11">
          <cell r="A11">
            <v>1.5</v>
          </cell>
          <cell r="B11">
            <v>1.5</v>
          </cell>
        </row>
        <row r="12">
          <cell r="A12">
            <v>2.2000000000000002</v>
          </cell>
          <cell r="B12">
            <v>2.2000000000000002</v>
          </cell>
        </row>
        <row r="13">
          <cell r="A13">
            <v>3</v>
          </cell>
          <cell r="B13">
            <v>3</v>
          </cell>
        </row>
        <row r="14">
          <cell r="A14">
            <v>3.7</v>
          </cell>
          <cell r="B14">
            <v>3.7</v>
          </cell>
        </row>
        <row r="15">
          <cell r="A15">
            <v>5</v>
          </cell>
          <cell r="B15">
            <v>5</v>
          </cell>
        </row>
        <row r="16">
          <cell r="A16">
            <v>5.5</v>
          </cell>
          <cell r="B16">
            <v>5.5</v>
          </cell>
        </row>
        <row r="17">
          <cell r="A17">
            <v>7.5</v>
          </cell>
          <cell r="B17">
            <v>7.5</v>
          </cell>
        </row>
        <row r="18">
          <cell r="A18">
            <v>10</v>
          </cell>
          <cell r="B18">
            <v>10</v>
          </cell>
        </row>
        <row r="19">
          <cell r="A19">
            <v>11</v>
          </cell>
          <cell r="B19">
            <v>11</v>
          </cell>
        </row>
        <row r="20">
          <cell r="A20">
            <v>15</v>
          </cell>
          <cell r="B20">
            <v>15</v>
          </cell>
        </row>
        <row r="21">
          <cell r="A21">
            <v>18</v>
          </cell>
          <cell r="B21">
            <v>18</v>
          </cell>
        </row>
        <row r="22">
          <cell r="A22">
            <v>22</v>
          </cell>
          <cell r="B22">
            <v>22</v>
          </cell>
        </row>
        <row r="23">
          <cell r="A23">
            <v>30</v>
          </cell>
          <cell r="B23">
            <v>30</v>
          </cell>
        </row>
        <row r="24">
          <cell r="A24">
            <v>37</v>
          </cell>
          <cell r="B24">
            <v>37</v>
          </cell>
        </row>
        <row r="25">
          <cell r="A25">
            <v>45</v>
          </cell>
          <cell r="B25">
            <v>45</v>
          </cell>
        </row>
        <row r="26">
          <cell r="A26">
            <v>55</v>
          </cell>
          <cell r="B26">
            <v>55</v>
          </cell>
        </row>
        <row r="27">
          <cell r="A27">
            <v>75</v>
          </cell>
          <cell r="B27">
            <v>75</v>
          </cell>
        </row>
        <row r="28">
          <cell r="A28">
            <v>90</v>
          </cell>
          <cell r="B28">
            <v>90</v>
          </cell>
        </row>
        <row r="29">
          <cell r="A29">
            <v>110</v>
          </cell>
          <cell r="B29">
            <v>110</v>
          </cell>
        </row>
        <row r="30">
          <cell r="A30">
            <v>130</v>
          </cell>
          <cell r="B30">
            <v>130</v>
          </cell>
        </row>
        <row r="31">
          <cell r="A31">
            <v>150</v>
          </cell>
          <cell r="B31">
            <v>150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C5FC-A708-480F-9B5C-0B53233CEA61}">
  <sheetPr>
    <tabColor rgb="FFFF0000"/>
  </sheetPr>
  <dimension ref="A2:AI79"/>
  <sheetViews>
    <sheetView showGridLines="0" tabSelected="1" topLeftCell="A48" zoomScale="55" zoomScaleNormal="55" workbookViewId="0">
      <selection activeCell="S77" sqref="S77"/>
    </sheetView>
  </sheetViews>
  <sheetFormatPr defaultRowHeight="14.4" x14ac:dyDescent="0.3"/>
  <cols>
    <col min="1" max="1" width="2.77734375" customWidth="1"/>
    <col min="2" max="2" width="2.44140625" customWidth="1"/>
    <col min="3" max="3" width="16.21875" customWidth="1"/>
    <col min="4" max="4" width="8.44140625" customWidth="1"/>
    <col min="9" max="9" width="9.109375" customWidth="1"/>
  </cols>
  <sheetData>
    <row r="2" spans="1:35" ht="18" x14ac:dyDescent="0.35">
      <c r="A2" s="137" t="s">
        <v>265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W2" s="70" t="s">
        <v>264</v>
      </c>
      <c r="X2" s="69"/>
      <c r="Y2" s="69"/>
      <c r="Z2" s="69"/>
      <c r="AA2" s="69"/>
      <c r="AE2" s="135"/>
      <c r="AF2" s="135" t="s">
        <v>263</v>
      </c>
      <c r="AG2" s="135"/>
      <c r="AH2" s="135"/>
    </row>
    <row r="3" spans="1:35" x14ac:dyDescent="0.3">
      <c r="A3" s="136" t="s">
        <v>262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AE3" s="135" t="s">
        <v>261</v>
      </c>
      <c r="AF3" s="135"/>
      <c r="AG3" s="135"/>
      <c r="AH3" s="135"/>
    </row>
    <row r="4" spans="1:35" ht="15.75" customHeight="1" x14ac:dyDescent="0.3">
      <c r="B4" s="134" t="s">
        <v>260</v>
      </c>
      <c r="C4" s="133" t="s">
        <v>259</v>
      </c>
      <c r="D4" s="132"/>
      <c r="E4" s="132"/>
      <c r="F4" s="132"/>
      <c r="G4" s="132"/>
      <c r="H4" s="132"/>
      <c r="I4" s="132"/>
      <c r="J4" s="131"/>
      <c r="K4" s="130" t="s">
        <v>258</v>
      </c>
      <c r="L4" s="129"/>
      <c r="M4" s="128"/>
      <c r="AE4" s="110" t="s">
        <v>233</v>
      </c>
      <c r="AF4" s="58" t="s">
        <v>257</v>
      </c>
      <c r="AG4" s="58"/>
      <c r="AH4" s="58"/>
    </row>
    <row r="5" spans="1:35" ht="14.4" customHeight="1" x14ac:dyDescent="0.3">
      <c r="B5" s="105"/>
      <c r="C5" s="127" t="s">
        <v>256</v>
      </c>
      <c r="D5" s="125" t="s">
        <v>254</v>
      </c>
      <c r="E5" s="125" t="s">
        <v>255</v>
      </c>
      <c r="F5" s="125" t="s">
        <v>254</v>
      </c>
      <c r="G5" s="126" t="s">
        <v>253</v>
      </c>
      <c r="H5" s="125" t="s">
        <v>252</v>
      </c>
      <c r="I5" s="124"/>
      <c r="J5" s="123"/>
      <c r="K5" s="122" t="s">
        <v>251</v>
      </c>
      <c r="L5" s="121">
        <f>IF(C8=AE4,C10,IF(C8=AE5,2*((3.14*C10*C10*D10/4)*3/4)^(1/3),IF(C8=AE6,2*((3.14*C10*C10*D10/4)*3/4)^(1/3),(6*C10*D10*E10/4)^(1/3))))/1000</f>
        <v>3.0000000000000001E-3</v>
      </c>
      <c r="M5" s="52" t="s">
        <v>250</v>
      </c>
      <c r="AE5" s="110" t="s">
        <v>249</v>
      </c>
      <c r="AF5" s="58" t="s">
        <v>242</v>
      </c>
      <c r="AG5" s="58" t="s">
        <v>248</v>
      </c>
      <c r="AH5" s="58"/>
    </row>
    <row r="6" spans="1:35" x14ac:dyDescent="0.3">
      <c r="B6" s="105"/>
      <c r="C6" s="120" t="s">
        <v>247</v>
      </c>
      <c r="D6" s="106">
        <v>25</v>
      </c>
      <c r="E6" s="119" t="s">
        <v>246</v>
      </c>
      <c r="F6" s="106">
        <v>15</v>
      </c>
      <c r="G6" s="118"/>
      <c r="H6" s="106">
        <v>5</v>
      </c>
      <c r="I6" s="117"/>
      <c r="J6" s="116"/>
      <c r="K6" s="101" t="s">
        <v>245</v>
      </c>
      <c r="L6" s="92">
        <f>1440*L5+1.96</f>
        <v>6.28</v>
      </c>
      <c r="M6" s="52"/>
      <c r="Z6" t="s">
        <v>244</v>
      </c>
      <c r="AE6" s="110" t="s">
        <v>243</v>
      </c>
      <c r="AF6" s="58" t="s">
        <v>242</v>
      </c>
      <c r="AG6" s="58" t="s">
        <v>241</v>
      </c>
      <c r="AH6" s="58"/>
    </row>
    <row r="7" spans="1:35" x14ac:dyDescent="0.3">
      <c r="B7" s="105"/>
      <c r="C7" s="115" t="s">
        <v>240</v>
      </c>
      <c r="D7" s="114"/>
      <c r="E7" s="113"/>
      <c r="F7" s="115" t="s">
        <v>239</v>
      </c>
      <c r="G7" s="114"/>
      <c r="H7" s="113"/>
      <c r="I7" s="112"/>
      <c r="J7" s="111"/>
      <c r="K7" s="101" t="s">
        <v>238</v>
      </c>
      <c r="L7" s="92">
        <f>1100*L5+2.5</f>
        <v>5.8000000000000007</v>
      </c>
      <c r="M7" s="52"/>
      <c r="AA7" s="62"/>
      <c r="AE7" s="110" t="s">
        <v>237</v>
      </c>
      <c r="AF7" s="58" t="s">
        <v>236</v>
      </c>
      <c r="AG7" s="58" t="s">
        <v>235</v>
      </c>
      <c r="AH7" s="58" t="s">
        <v>234</v>
      </c>
    </row>
    <row r="8" spans="1:35" ht="18" x14ac:dyDescent="0.35">
      <c r="B8" s="105"/>
      <c r="C8" s="109" t="s">
        <v>233</v>
      </c>
      <c r="D8" s="108" t="s">
        <v>232</v>
      </c>
      <c r="E8" s="107"/>
      <c r="F8" s="95" t="s">
        <v>231</v>
      </c>
      <c r="G8" s="94"/>
      <c r="H8" s="106">
        <v>1000</v>
      </c>
      <c r="I8" s="92">
        <f>+H8/3600</f>
        <v>0.27777777777777779</v>
      </c>
      <c r="J8" s="92" t="s">
        <v>230</v>
      </c>
      <c r="K8" s="101" t="s">
        <v>229</v>
      </c>
      <c r="L8" s="92">
        <f>+L7/2</f>
        <v>2.9000000000000004</v>
      </c>
      <c r="M8" s="52"/>
      <c r="W8" s="57" t="s">
        <v>228</v>
      </c>
      <c r="X8" s="57"/>
      <c r="Y8" s="57"/>
      <c r="Z8" s="57"/>
      <c r="AA8" s="57"/>
      <c r="AB8" s="57"/>
    </row>
    <row r="9" spans="1:35" ht="22.8" x14ac:dyDescent="0.35">
      <c r="B9" s="105"/>
      <c r="C9" s="104" t="str">
        <f>VLOOKUP($C$8,$AE$4:$AH$7,2,FALSE)</f>
        <v>dia</v>
      </c>
      <c r="D9" s="103" t="str">
        <f>IF(VLOOKUP($C$8,$AE$4:$AH$7,3,FALSE)=0,"",VLOOKUP($C$8,$AE$4:$AH$7,3,FALSE))</f>
        <v/>
      </c>
      <c r="E9" s="103" t="str">
        <f>IF(VLOOKUP($C$8,$AE$4:$AH$7,4,FALSE)=0,"",VLOOKUP($C$8,$AE$4:$AH$7,4,FALSE))</f>
        <v/>
      </c>
      <c r="F9" s="95" t="s">
        <v>227</v>
      </c>
      <c r="G9" s="94"/>
      <c r="H9" s="93">
        <v>980</v>
      </c>
      <c r="I9" s="102" t="s">
        <v>226</v>
      </c>
      <c r="J9" s="102" t="s">
        <v>225</v>
      </c>
      <c r="K9" s="101" t="s">
        <v>224</v>
      </c>
      <c r="L9" s="100">
        <f>+L7+1</f>
        <v>6.8000000000000007</v>
      </c>
      <c r="M9" s="52"/>
      <c r="W9" s="99" t="s">
        <v>223</v>
      </c>
      <c r="X9" s="57"/>
      <c r="Y9" s="57"/>
      <c r="Z9" s="57"/>
      <c r="AA9" s="57"/>
      <c r="AB9" s="57"/>
    </row>
    <row r="10" spans="1:35" ht="20.399999999999999" customHeight="1" x14ac:dyDescent="0.45">
      <c r="B10" s="98"/>
      <c r="C10" s="97">
        <v>3</v>
      </c>
      <c r="D10" s="96"/>
      <c r="E10" s="96"/>
      <c r="F10" s="95" t="s">
        <v>222</v>
      </c>
      <c r="G10" s="94"/>
      <c r="H10" s="93">
        <v>650</v>
      </c>
      <c r="I10" s="92">
        <v>1.84E-5</v>
      </c>
      <c r="J10" s="91">
        <v>1.2</v>
      </c>
      <c r="K10" s="90" t="s">
        <v>221</v>
      </c>
      <c r="L10" s="89"/>
      <c r="M10" s="52">
        <v>1.5E-5</v>
      </c>
      <c r="W10" s="57" t="s">
        <v>220</v>
      </c>
      <c r="X10" s="57"/>
      <c r="Y10" s="71"/>
      <c r="Z10" s="57"/>
      <c r="AA10" s="57"/>
      <c r="AB10" s="57"/>
      <c r="AE10" s="88"/>
      <c r="AF10" s="88"/>
      <c r="AG10" s="88" t="s">
        <v>219</v>
      </c>
      <c r="AH10" s="88"/>
    </row>
    <row r="11" spans="1:35" ht="20.399999999999999" x14ac:dyDescent="0.45">
      <c r="C11" s="87" t="s">
        <v>218</v>
      </c>
      <c r="W11" s="57" t="s">
        <v>217</v>
      </c>
      <c r="X11" s="57"/>
      <c r="Y11" s="71"/>
      <c r="Z11" s="57"/>
      <c r="AA11" s="57"/>
      <c r="AB11" s="57"/>
      <c r="AE11" s="86" t="s">
        <v>87</v>
      </c>
      <c r="AF11" s="86" t="s">
        <v>216</v>
      </c>
      <c r="AG11" s="86" t="s">
        <v>215</v>
      </c>
      <c r="AH11" s="86" t="s">
        <v>214</v>
      </c>
      <c r="AI11" s="85" t="s">
        <v>213</v>
      </c>
    </row>
    <row r="12" spans="1:35" ht="21" x14ac:dyDescent="0.45">
      <c r="C12" s="84" t="s">
        <v>212</v>
      </c>
      <c r="D12" s="53" t="s">
        <v>118</v>
      </c>
      <c r="E12" s="53" t="s">
        <v>31</v>
      </c>
      <c r="F12" s="53" t="s">
        <v>82</v>
      </c>
      <c r="G12" s="53" t="s">
        <v>84</v>
      </c>
      <c r="H12" s="53" t="s">
        <v>86</v>
      </c>
      <c r="I12" s="53" t="s">
        <v>89</v>
      </c>
      <c r="J12" s="53" t="s">
        <v>90</v>
      </c>
      <c r="W12" s="57" t="s">
        <v>211</v>
      </c>
      <c r="X12" s="57"/>
      <c r="Y12" s="57"/>
      <c r="Z12" s="57"/>
      <c r="AA12" s="57"/>
      <c r="AB12" s="57"/>
      <c r="AE12" s="59">
        <v>50</v>
      </c>
      <c r="AF12" s="59">
        <v>60.33</v>
      </c>
      <c r="AG12" s="59">
        <v>2.77</v>
      </c>
      <c r="AH12" s="59">
        <f>+AF12-2*AG12</f>
        <v>54.79</v>
      </c>
      <c r="AI12" s="59">
        <f>+AH12/1000</f>
        <v>5.4789999999999998E-2</v>
      </c>
    </row>
    <row r="13" spans="1:35" ht="20.399999999999999" x14ac:dyDescent="0.45">
      <c r="C13" s="83" t="s">
        <v>210</v>
      </c>
      <c r="D13" s="82">
        <f>+D75</f>
        <v>19192.920648868123</v>
      </c>
      <c r="E13" s="82">
        <f>+E75</f>
        <v>11573.628886641753</v>
      </c>
      <c r="F13" s="82">
        <f>+F75</f>
        <v>8911.775793032848</v>
      </c>
      <c r="G13" s="82">
        <f>+G75</f>
        <v>7477.80094417487</v>
      </c>
      <c r="H13" s="82">
        <f>+H75</f>
        <v>6607.8851918661248</v>
      </c>
      <c r="I13" s="82">
        <f>+I75</f>
        <v>5700.8266496911292</v>
      </c>
      <c r="J13" s="82">
        <f>+J75</f>
        <v>5183.0296053236079</v>
      </c>
      <c r="W13" s="57" t="s">
        <v>209</v>
      </c>
      <c r="X13" s="57"/>
      <c r="Y13" s="57"/>
      <c r="Z13" s="57"/>
      <c r="AA13" s="57"/>
      <c r="AB13" s="57"/>
      <c r="AE13" s="59">
        <v>80</v>
      </c>
      <c r="AF13" s="59">
        <v>88.9</v>
      </c>
      <c r="AG13" s="59">
        <v>3.05</v>
      </c>
      <c r="AH13" s="59">
        <f>+AF13-2*AG13</f>
        <v>82.800000000000011</v>
      </c>
      <c r="AI13" s="59">
        <f>+AH13/1000</f>
        <v>8.2800000000000012E-2</v>
      </c>
    </row>
    <row r="14" spans="1:35" ht="20.399999999999999" x14ac:dyDescent="0.45">
      <c r="C14" s="80" t="s">
        <v>208</v>
      </c>
      <c r="D14" s="82">
        <f>+D77</f>
        <v>196.92632298267188</v>
      </c>
      <c r="E14" s="82">
        <f>+E77</f>
        <v>472.30804715343862</v>
      </c>
      <c r="F14" s="82">
        <f>+F77</f>
        <v>834.14231776888857</v>
      </c>
      <c r="G14" s="82">
        <f>+G77</f>
        <v>1325.4749715107955</v>
      </c>
      <c r="H14" s="82">
        <f>+H77</f>
        <v>1956.4697482384236</v>
      </c>
      <c r="I14" s="82">
        <f>+I77</f>
        <v>3478.9359366184781</v>
      </c>
      <c r="J14" s="82">
        <f>+J77</f>
        <v>5605.2970878008782</v>
      </c>
      <c r="K14" s="76"/>
      <c r="W14" s="57" t="s">
        <v>207</v>
      </c>
      <c r="X14" s="57"/>
      <c r="Y14" s="57"/>
      <c r="Z14" s="57"/>
      <c r="AA14" s="57"/>
      <c r="AB14" s="57"/>
      <c r="AE14" s="59">
        <v>100</v>
      </c>
      <c r="AF14" s="59">
        <v>114.3</v>
      </c>
      <c r="AG14" s="59">
        <v>3.05</v>
      </c>
      <c r="AH14" s="59">
        <f>+AF14-2*AG14</f>
        <v>108.2</v>
      </c>
      <c r="AI14" s="59">
        <f>+AH14/1000</f>
        <v>0.1082</v>
      </c>
    </row>
    <row r="15" spans="1:35" ht="20.399999999999999" x14ac:dyDescent="0.45">
      <c r="C15" s="80" t="s">
        <v>206</v>
      </c>
      <c r="D15" s="82">
        <f>+D13/10</f>
        <v>1919.2920648868123</v>
      </c>
      <c r="E15" s="82">
        <f>+E13/10</f>
        <v>1157.3628886641752</v>
      </c>
      <c r="F15" s="82">
        <f>+F13/10</f>
        <v>891.1775793032848</v>
      </c>
      <c r="G15" s="82">
        <f>+G13/10</f>
        <v>747.78009441748702</v>
      </c>
      <c r="H15" s="82">
        <f>+H13/10</f>
        <v>660.78851918661246</v>
      </c>
      <c r="I15" s="82">
        <f>+I13/10</f>
        <v>570.0826649691129</v>
      </c>
      <c r="J15" s="82">
        <f>+J13/10</f>
        <v>518.30296053236077</v>
      </c>
      <c r="K15" s="72"/>
      <c r="W15" s="57" t="s">
        <v>205</v>
      </c>
      <c r="AE15" s="59">
        <v>125</v>
      </c>
      <c r="AF15" s="59">
        <v>141.30000000000001</v>
      </c>
      <c r="AG15" s="59">
        <v>3.4</v>
      </c>
      <c r="AH15" s="59">
        <f>+AF15-2*AG15</f>
        <v>134.5</v>
      </c>
      <c r="AI15" s="59">
        <f>+AH15/1000</f>
        <v>0.13450000000000001</v>
      </c>
    </row>
    <row r="16" spans="1:35" ht="20.399999999999999" x14ac:dyDescent="0.45">
      <c r="C16" s="80" t="s">
        <v>204</v>
      </c>
      <c r="D16" s="81">
        <f>+D78</f>
        <v>2.2966410063290827</v>
      </c>
      <c r="E16" s="81">
        <f>+E78</f>
        <v>3.32156819083407</v>
      </c>
      <c r="F16" s="81">
        <f>+F78</f>
        <v>4.5170269473958227</v>
      </c>
      <c r="G16" s="81">
        <f>+G78</f>
        <v>6.0227343394945789</v>
      </c>
      <c r="H16" s="81">
        <f>+H78</f>
        <v>7.8556821139881317</v>
      </c>
      <c r="I16" s="81">
        <f>+I78</f>
        <v>12.051262377707529</v>
      </c>
      <c r="J16" s="81">
        <f>+J78</f>
        <v>17.653491000025614</v>
      </c>
      <c r="W16" s="57" t="s">
        <v>203</v>
      </c>
      <c r="AE16" s="59">
        <v>150</v>
      </c>
      <c r="AF16" s="59">
        <v>168.28</v>
      </c>
      <c r="AG16" s="59">
        <v>3.4</v>
      </c>
      <c r="AH16" s="59">
        <f>+AF16-2*AG16</f>
        <v>161.47999999999999</v>
      </c>
      <c r="AI16" s="59">
        <f>+AH16/1000</f>
        <v>0.16147999999999998</v>
      </c>
    </row>
    <row r="17" spans="3:35" ht="20.399999999999999" x14ac:dyDescent="0.45">
      <c r="C17" s="80" t="s">
        <v>202</v>
      </c>
      <c r="D17" s="79" t="str">
        <f>IF(D15&lt;1100, "CB",IF(AND(D15&gt;1100,D15&lt;10000),"RB or SCB","Compressed Air"))</f>
        <v>RB or SCB</v>
      </c>
      <c r="E17" s="79" t="str">
        <f>IF(E15&lt;1100, "CB",IF(AND(E15&gt;1100,E15&lt;10000),"RB or SCB","Compressed Air"))</f>
        <v>RB or SCB</v>
      </c>
      <c r="F17" s="79" t="str">
        <f>IF(F15&lt;1100, "CB",IF(AND(F15&gt;1100,F15&lt;10000),"RB or SCB","Compressed Air"))</f>
        <v>CB</v>
      </c>
      <c r="G17" s="79" t="str">
        <f>IF(G15&lt;1100, "CB",IF(AND(G15&gt;1100,G15&lt;10000),"RB or SCB","Compressed Air"))</f>
        <v>CB</v>
      </c>
      <c r="H17" s="79" t="str">
        <f>IF(H15&lt;1100, "CB",IF(AND(H15&gt;1100,H15&lt;10000),"RB or SCB","Compressed Air"))</f>
        <v>CB</v>
      </c>
      <c r="I17" s="79" t="str">
        <f>IF(I15&lt;1100, "CB",IF(AND(I15&gt;1100,I15&lt;10000),"RB or SCB","Compressed Air"))</f>
        <v>CB</v>
      </c>
      <c r="J17" s="79" t="str">
        <f>IF(J15&lt;1100, "CB",IF(AND(J15&gt;1100,J15&lt;10000),"RB or SCB","Compressed Air"))</f>
        <v>CB</v>
      </c>
      <c r="W17" s="57" t="s">
        <v>201</v>
      </c>
      <c r="X17" s="57"/>
      <c r="Y17" s="57"/>
      <c r="Z17" s="57"/>
      <c r="AA17" s="57"/>
      <c r="AB17" s="57"/>
      <c r="AE17" s="59">
        <v>200</v>
      </c>
      <c r="AF17" s="59">
        <v>219.08</v>
      </c>
      <c r="AG17" s="59">
        <v>3.76</v>
      </c>
      <c r="AH17" s="59">
        <f>+AF17-2*AG17</f>
        <v>211.56</v>
      </c>
      <c r="AI17" s="59">
        <f>+AH17/1000</f>
        <v>0.21156</v>
      </c>
    </row>
    <row r="18" spans="3:35" ht="21" x14ac:dyDescent="0.45">
      <c r="D18" s="78" t="s">
        <v>200</v>
      </c>
      <c r="W18" s="57" t="s">
        <v>199</v>
      </c>
      <c r="X18" s="57"/>
      <c r="Y18" s="57"/>
      <c r="Z18" s="57"/>
      <c r="AA18" s="57"/>
      <c r="AB18" s="57"/>
      <c r="AE18" s="59">
        <v>250</v>
      </c>
      <c r="AF18" s="59">
        <v>273</v>
      </c>
      <c r="AG18" s="59">
        <v>4.1900000000000004</v>
      </c>
      <c r="AH18" s="59">
        <f>+AF18-2*AG18</f>
        <v>264.62</v>
      </c>
      <c r="AI18" s="59">
        <f>+AH18/1000</f>
        <v>0.26462000000000002</v>
      </c>
    </row>
    <row r="19" spans="3:35" ht="20.399999999999999" x14ac:dyDescent="0.45">
      <c r="C19" s="75"/>
      <c r="D19" s="77" t="s">
        <v>198</v>
      </c>
      <c r="J19" s="76"/>
      <c r="W19" s="57" t="s">
        <v>197</v>
      </c>
    </row>
    <row r="20" spans="3:35" ht="21" x14ac:dyDescent="0.45">
      <c r="J20" s="72"/>
      <c r="W20" s="57" t="s">
        <v>196</v>
      </c>
    </row>
    <row r="21" spans="3:35" ht="20.399999999999999" x14ac:dyDescent="0.45">
      <c r="W21" s="57" t="s">
        <v>195</v>
      </c>
    </row>
    <row r="22" spans="3:35" ht="21" x14ac:dyDescent="0.45">
      <c r="W22" s="57" t="s">
        <v>194</v>
      </c>
    </row>
    <row r="23" spans="3:35" ht="18" x14ac:dyDescent="0.35">
      <c r="W23" s="57" t="s">
        <v>193</v>
      </c>
    </row>
    <row r="24" spans="3:35" ht="18" x14ac:dyDescent="0.35">
      <c r="L24" t="s">
        <v>192</v>
      </c>
      <c r="W24" s="71" t="s">
        <v>191</v>
      </c>
    </row>
    <row r="25" spans="3:35" ht="20.399999999999999" x14ac:dyDescent="0.45">
      <c r="W25" s="57" t="s">
        <v>190</v>
      </c>
    </row>
    <row r="26" spans="3:35" ht="21" x14ac:dyDescent="0.45">
      <c r="W26" s="57" t="s">
        <v>189</v>
      </c>
    </row>
    <row r="27" spans="3:35" ht="20.399999999999999" x14ac:dyDescent="0.45">
      <c r="D27" s="75"/>
      <c r="E27" s="74" t="s">
        <v>188</v>
      </c>
      <c r="L27" s="60"/>
      <c r="W27" s="57" t="s">
        <v>187</v>
      </c>
    </row>
    <row r="28" spans="3:35" ht="21" x14ac:dyDescent="0.45">
      <c r="F28" s="73">
        <v>0.3</v>
      </c>
      <c r="G28" t="s">
        <v>186</v>
      </c>
      <c r="W28" s="57" t="s">
        <v>185</v>
      </c>
    </row>
    <row r="29" spans="3:35" ht="20.399999999999999" x14ac:dyDescent="0.45">
      <c r="W29" s="57" t="s">
        <v>184</v>
      </c>
    </row>
    <row r="30" spans="3:35" ht="21" x14ac:dyDescent="0.45">
      <c r="W30" s="57" t="s">
        <v>183</v>
      </c>
    </row>
    <row r="31" spans="3:35" ht="20.399999999999999" x14ac:dyDescent="0.45">
      <c r="W31" s="57" t="s">
        <v>182</v>
      </c>
    </row>
    <row r="32" spans="3:35" ht="21" x14ac:dyDescent="0.45">
      <c r="E32" s="72"/>
      <c r="W32" s="57" t="s">
        <v>181</v>
      </c>
    </row>
    <row r="33" spans="3:26" ht="20.399999999999999" x14ac:dyDescent="0.45">
      <c r="W33" s="57" t="s">
        <v>180</v>
      </c>
    </row>
    <row r="34" spans="3:26" ht="20.399999999999999" x14ac:dyDescent="0.45">
      <c r="W34" s="57" t="s">
        <v>179</v>
      </c>
    </row>
    <row r="35" spans="3:26" ht="20.399999999999999" x14ac:dyDescent="0.45">
      <c r="W35" s="57" t="s">
        <v>178</v>
      </c>
    </row>
    <row r="36" spans="3:26" ht="18" x14ac:dyDescent="0.35">
      <c r="W36" s="71" t="s">
        <v>177</v>
      </c>
    </row>
    <row r="37" spans="3:26" ht="18" x14ac:dyDescent="0.35">
      <c r="W37" s="57" t="s">
        <v>176</v>
      </c>
    </row>
    <row r="38" spans="3:26" ht="21" x14ac:dyDescent="0.45">
      <c r="W38" s="57" t="s">
        <v>175</v>
      </c>
    </row>
    <row r="39" spans="3:26" ht="20.399999999999999" x14ac:dyDescent="0.45">
      <c r="C39" s="70" t="s">
        <v>174</v>
      </c>
      <c r="D39" s="69"/>
      <c r="E39" s="69"/>
      <c r="F39" s="69"/>
      <c r="G39" s="69"/>
      <c r="H39" s="69"/>
      <c r="I39" s="69"/>
      <c r="J39" s="69"/>
      <c r="W39" s="57" t="s">
        <v>173</v>
      </c>
    </row>
    <row r="40" spans="3:26" ht="20.399999999999999" x14ac:dyDescent="0.45">
      <c r="C40" s="68" t="s">
        <v>172</v>
      </c>
      <c r="D40" s="53" t="s">
        <v>118</v>
      </c>
      <c r="E40" s="53" t="s">
        <v>31</v>
      </c>
      <c r="F40" s="53" t="s">
        <v>82</v>
      </c>
      <c r="G40" s="53" t="s">
        <v>84</v>
      </c>
      <c r="H40" s="53" t="s">
        <v>86</v>
      </c>
      <c r="I40" s="53" t="s">
        <v>89</v>
      </c>
      <c r="J40" s="53" t="s">
        <v>90</v>
      </c>
      <c r="W40" s="57" t="s">
        <v>171</v>
      </c>
    </row>
    <row r="41" spans="3:26" ht="21" x14ac:dyDescent="0.45">
      <c r="C41" s="46" t="s">
        <v>170</v>
      </c>
      <c r="D41" s="64">
        <v>5.4789999999999998E-2</v>
      </c>
      <c r="E41" s="67">
        <v>8.2800000000000012E-2</v>
      </c>
      <c r="F41" s="67">
        <v>0.1082</v>
      </c>
      <c r="G41" s="66">
        <v>0.13450000000000001</v>
      </c>
      <c r="H41" s="64">
        <v>0.16147999999999998</v>
      </c>
      <c r="I41" s="64">
        <v>0.21156</v>
      </c>
      <c r="J41" s="64">
        <v>0.26462000000000002</v>
      </c>
      <c r="K41" s="65" t="s">
        <v>81</v>
      </c>
      <c r="W41" s="57" t="s">
        <v>169</v>
      </c>
    </row>
    <row r="42" spans="3:26" ht="21" x14ac:dyDescent="0.45">
      <c r="C42" s="46" t="s">
        <v>168</v>
      </c>
      <c r="D42" s="64">
        <f>3.14*D41*D41/4</f>
        <v>2.3565261185E-3</v>
      </c>
      <c r="E42" s="64">
        <f>3.14*E41*E41/4</f>
        <v>5.3818344000000021E-3</v>
      </c>
      <c r="F42" s="64">
        <f>3.14*F41*F41/4</f>
        <v>9.1901834000000012E-3</v>
      </c>
      <c r="G42" s="64">
        <f>3.14*G41*G41/4</f>
        <v>1.4200846250000003E-2</v>
      </c>
      <c r="H42" s="64">
        <f>3.14*H41*H41/4</f>
        <v>2.0469495463999995E-2</v>
      </c>
      <c r="I42" s="64">
        <f>3.14*I41*I41/4</f>
        <v>3.5134742376000005E-2</v>
      </c>
      <c r="J42" s="64">
        <f>3.14*J41*J41/4</f>
        <v>5.496863935400001E-2</v>
      </c>
      <c r="K42" s="62" t="s">
        <v>167</v>
      </c>
      <c r="W42" s="57" t="s">
        <v>166</v>
      </c>
    </row>
    <row r="43" spans="3:26" ht="21" x14ac:dyDescent="0.45">
      <c r="C43" s="46" t="s">
        <v>165</v>
      </c>
      <c r="D43" s="59">
        <f>((4*$F$28*(10^$L$6)*(9.8^$L$8)*D41^($L$8-2))/(3.14*$J$10))^(1/$L$9)</f>
        <v>12.771552628075346</v>
      </c>
      <c r="E43" s="59">
        <f>((4*$F$28*10^$L$6*9.8^$L$8*E41^($L$8-2))/(3.14*$J$10))^(1/$L$9)</f>
        <v>13.488958630485195</v>
      </c>
      <c r="F43" s="59">
        <f>((4*$F$28*10^$L$6*9.8^$L$8*F41^($L$8-2))/(3.14*$J$10))^(1/$L$9)</f>
        <v>13.975180549435379</v>
      </c>
      <c r="G43" s="59">
        <f>((4*$F$28*10^$L$6*9.8^$L$8*G41^($L$8-2))/(3.14*$J$10))^(1/$L$9)</f>
        <v>14.383484897113226</v>
      </c>
      <c r="H43" s="59">
        <f>((4*$F$28*10^$L$6*9.8^$L$8*H41^($L$8-2))/(3.14*$J$10))^(1/$L$9)</f>
        <v>14.735757848679295</v>
      </c>
      <c r="I43" s="59">
        <f>((4*$F$28*10^$L$6*9.8^$L$8*I41^($L$8-2))/(3.14*$J$10))^(1/$L$9)</f>
        <v>15.272123850490843</v>
      </c>
      <c r="J43" s="59">
        <f>((4*$F$28*10^$L$6*9.8^$L$8*J41^($L$8-2))/(3.14*$J$10))^(1/$L$9)</f>
        <v>15.731230750706372</v>
      </c>
      <c r="K43" s="62" t="s">
        <v>15</v>
      </c>
      <c r="W43" s="57" t="s">
        <v>164</v>
      </c>
    </row>
    <row r="44" spans="3:26" ht="20.399999999999999" x14ac:dyDescent="0.45">
      <c r="C44" s="46" t="s">
        <v>163</v>
      </c>
      <c r="D44" s="59">
        <f>+D43*1.5</f>
        <v>19.157328942113018</v>
      </c>
      <c r="E44" s="59">
        <f>+E43*1.5</f>
        <v>20.233437945727793</v>
      </c>
      <c r="F44" s="59">
        <f>+F43*1.5</f>
        <v>20.962770824153068</v>
      </c>
      <c r="G44" s="59">
        <f>+G43*1.5</f>
        <v>21.575227345669838</v>
      </c>
      <c r="H44" s="59">
        <f>+H43*1.5</f>
        <v>22.103636773018941</v>
      </c>
      <c r="I44" s="59">
        <f>+I43*1.5</f>
        <v>22.908185775736264</v>
      </c>
      <c r="J44" s="59">
        <f>+J43*1.5</f>
        <v>23.596846126059557</v>
      </c>
      <c r="K44" s="62" t="s">
        <v>15</v>
      </c>
      <c r="W44" s="57" t="s">
        <v>162</v>
      </c>
    </row>
    <row r="45" spans="3:26" ht="21" x14ac:dyDescent="0.45">
      <c r="C45" s="46" t="s">
        <v>161</v>
      </c>
      <c r="D45" s="59">
        <f>+D44*(1-0.0638*$L$5^0.3*$H$9^0.5)</f>
        <v>12.459947269397381</v>
      </c>
      <c r="E45" s="59">
        <f>+E44*(1-0.0638*$L$5^0.3*$H$9^0.5)</f>
        <v>13.159849718307617</v>
      </c>
      <c r="F45" s="59">
        <f>+F44*(1-0.0638*$L$5^0.3*$H$9^0.5)</f>
        <v>13.634208603853505</v>
      </c>
      <c r="G45" s="59">
        <f>+G44*(1-0.0638*$L$5^0.3*$H$9^0.5)</f>
        <v>14.032550981643036</v>
      </c>
      <c r="H45" s="59">
        <f>+H44*(1-0.0638*$L$5^0.3*$H$9^0.5)</f>
        <v>14.376229039336611</v>
      </c>
      <c r="I45" s="59">
        <f>+I44*(1-0.0638*$L$5^0.3*$H$9^0.5)</f>
        <v>14.899508572709721</v>
      </c>
      <c r="J45" s="59">
        <f>+J44*(1-0.0638*$L$5^0.3*$H$9^0.5)</f>
        <v>15.34741400240093</v>
      </c>
      <c r="K45" s="62" t="s">
        <v>15</v>
      </c>
      <c r="W45" s="57" t="s">
        <v>160</v>
      </c>
      <c r="Z45" t="s">
        <v>159</v>
      </c>
    </row>
    <row r="46" spans="3:26" ht="21" x14ac:dyDescent="0.45">
      <c r="C46" s="63" t="s">
        <v>158</v>
      </c>
      <c r="D46" s="59">
        <f>1-$I$8/D42/D45/$H$9</f>
        <v>0.99034654088571694</v>
      </c>
      <c r="E46" s="59">
        <f>1-$I$8/E42/E45/$H$9</f>
        <v>0.99599787947465346</v>
      </c>
      <c r="F46" s="59">
        <f>1-$I$8/F42/F45/$H$9</f>
        <v>0.99773787129439884</v>
      </c>
      <c r="G46" s="59">
        <f>1-$I$8/G42/G45/$H$9</f>
        <v>0.99857760384585348</v>
      </c>
      <c r="H46" s="59">
        <f>1-$I$8/H42/H45/$H$9</f>
        <v>0.99903679372756315</v>
      </c>
      <c r="I46" s="59">
        <f>1-$I$8/I42/I45/$H$9</f>
        <v>0.99945854457961358</v>
      </c>
      <c r="J46" s="59">
        <f>1-$I$8/J42/J45/$H$9</f>
        <v>0.99966401396391413</v>
      </c>
      <c r="W46" s="57" t="s">
        <v>157</v>
      </c>
    </row>
    <row r="47" spans="3:26" ht="18" x14ac:dyDescent="0.35">
      <c r="C47" s="46" t="s">
        <v>156</v>
      </c>
      <c r="D47" s="59">
        <f>+D44/D46</f>
        <v>19.34406609324818</v>
      </c>
      <c r="E47" s="59">
        <f>+E44/E46</f>
        <v>20.31473998358317</v>
      </c>
      <c r="F47" s="59">
        <f>+F44/F46</f>
        <v>21.010298824236632</v>
      </c>
      <c r="G47" s="59">
        <f>+G44/G46</f>
        <v>21.605959579482338</v>
      </c>
      <c r="H47" s="59">
        <f>+H44/H46</f>
        <v>22.124947661383722</v>
      </c>
      <c r="I47" s="59">
        <f>+I44/I46</f>
        <v>22.920596256818008</v>
      </c>
      <c r="J47" s="59">
        <f>+J44/J46</f>
        <v>23.604777001516986</v>
      </c>
      <c r="K47" s="62" t="s">
        <v>15</v>
      </c>
      <c r="W47" s="57" t="s">
        <v>155</v>
      </c>
    </row>
    <row r="48" spans="3:26" ht="20.399999999999999" x14ac:dyDescent="0.45">
      <c r="C48" s="46" t="s">
        <v>154</v>
      </c>
      <c r="D48" s="59">
        <f>+D41*D47*$J$10/$I$10</f>
        <v>69121.394429287029</v>
      </c>
      <c r="E48" s="59">
        <f>+E41*E47*$J$10/$I$10</f>
        <v>109699.59591134914</v>
      </c>
      <c r="F48" s="59">
        <f>+F41*F47*$J$10/$I$10</f>
        <v>148259.6303988524</v>
      </c>
      <c r="G48" s="59">
        <f>+G41*G47*$J$10/$I$10</f>
        <v>189521.84109393749</v>
      </c>
      <c r="H48" s="59">
        <f>+H41*H47*$J$10/$I$10</f>
        <v>233004.55750175496</v>
      </c>
      <c r="I48" s="59">
        <f>+I41*I47*$J$10/$I$10</f>
        <v>316244.43548428814</v>
      </c>
      <c r="J48" s="59">
        <f>+J41*J47*$J$10/$I$10</f>
        <v>407367.13631357119</v>
      </c>
      <c r="K48" s="57"/>
      <c r="W48" s="57" t="s">
        <v>153</v>
      </c>
    </row>
    <row r="49" spans="3:24" ht="20.399999999999999" x14ac:dyDescent="0.45">
      <c r="C49" s="46" t="s">
        <v>152</v>
      </c>
      <c r="D49" s="59">
        <f>+$J$10*(D47-D45)*$L$5/$I$10</f>
        <v>1346.892813362113</v>
      </c>
      <c r="E49" s="59">
        <f>+$J$10*(E47-E45)*$L$5/$I$10</f>
        <v>1399.8698345104342</v>
      </c>
      <c r="F49" s="59">
        <f>+$J$10*(F47-F45)*$L$5/$I$10</f>
        <v>1443.1480865966987</v>
      </c>
      <c r="G49" s="59">
        <f>+$J$10*(G47-G45)*$L$5/$I$10</f>
        <v>1481.753856098994</v>
      </c>
      <c r="H49" s="59">
        <f>+$J$10*(H47-H45)*$L$5/$I$10</f>
        <v>1516.053643444</v>
      </c>
      <c r="I49" s="59">
        <f>+$J$10*(I47-I45)*$L$5/$I$10</f>
        <v>1569.3432425429257</v>
      </c>
      <c r="J49" s="59">
        <f>+$J$10*(J47-J45)*$L$5/$I$10</f>
        <v>1615.571021566185</v>
      </c>
      <c r="L49" s="57"/>
      <c r="M49" s="60"/>
      <c r="P49" s="61"/>
      <c r="W49" s="57" t="s">
        <v>151</v>
      </c>
    </row>
    <row r="50" spans="3:24" ht="20.399999999999999" x14ac:dyDescent="0.45">
      <c r="C50" s="46" t="s">
        <v>150</v>
      </c>
      <c r="D50" s="59">
        <f>+(24/D49)*(1+0.15*D49^0.687)+0.42*(1+42300*D49^-1)^-1</f>
        <v>0.40819633413023576</v>
      </c>
      <c r="E50" s="59">
        <f>+(24/E49)*(1+0.15*E49^0.687)+0.42*(1+42300*E49^(-1))^-1</f>
        <v>0.40348546490647458</v>
      </c>
      <c r="F50" s="59">
        <f>+(24/F49)*(1+0.15*F49^0.687)+0.42*(1+42300*F49^-1)^-1</f>
        <v>0.39983677516755173</v>
      </c>
      <c r="G50" s="59">
        <f>+(24/G49)*(1+0.15*G49^0.687)+0.42*(1+42300*G49^-1)^-1</f>
        <v>0.39672223159313358</v>
      </c>
      <c r="H50" s="59">
        <f>+(24/H49)*(1+0.15*H49^0.687)+0.42*(1+42300*H49^-1)^-1</f>
        <v>0.39405901354529294</v>
      </c>
      <c r="I50" s="59">
        <f>+(24/I49)*(1+0.15*I49^0.687)+0.42*(1+42300*I49^-1)^-1</f>
        <v>0.3901025095893188</v>
      </c>
      <c r="J50" s="59">
        <f>+(24/J49)*(1+0.15*J49^0.687)+0.42*(1+42300*J49^-1)^-1</f>
        <v>0.38683673726398421</v>
      </c>
      <c r="K50" s="57"/>
      <c r="W50" s="57" t="s">
        <v>149</v>
      </c>
    </row>
    <row r="51" spans="3:24" ht="20.399999999999999" x14ac:dyDescent="0.45">
      <c r="C51" s="46" t="s">
        <v>148</v>
      </c>
      <c r="D51" s="59">
        <f>+(3/8)*($J$10/$H$9)*D50*(D41/$L$5)*((D47-D45)/D45)^2</f>
        <v>1.0449605402630389E-3</v>
      </c>
      <c r="E51" s="59">
        <f>+(3/8)*($J$10/$H$9)*E50*(E41/$L$5)*((E47-E45)/E45)^2</f>
        <v>1.5115673748467985E-3</v>
      </c>
      <c r="F51" s="59">
        <f>+(3/8)*($J$10/$H$9)*F50*(F41/$L$5)*((F47-F45)/F45)^2</f>
        <v>1.9380623804635317E-3</v>
      </c>
      <c r="G51" s="59">
        <f>+(3/8)*($J$10/$H$9)*G50*(G41/$L$5)*((G47-G45)/G45)^2</f>
        <v>2.3789401998908178E-3</v>
      </c>
      <c r="H51" s="59">
        <f>+(3/8)*($J$10/$H$9)*H50*(H41/$L$5)*((H47-H45)/H45)^2</f>
        <v>2.8295345734815551E-3</v>
      </c>
      <c r="I51" s="59">
        <f>+(3/8)*($J$10/$H$9)*I50*(I41/$L$5)*((I47-I45)/I45)^2</f>
        <v>3.6610033390558484E-3</v>
      </c>
      <c r="J51" s="59">
        <f>+(3/8)*($J$10/$H$9)*J50*(J41/$L$5)*((J47-J45)/J45)^2</f>
        <v>4.535528463579022E-3</v>
      </c>
      <c r="W51" s="57" t="s">
        <v>147</v>
      </c>
    </row>
    <row r="52" spans="3:24" ht="21" x14ac:dyDescent="0.45">
      <c r="C52" s="46" t="s">
        <v>146</v>
      </c>
      <c r="D52" s="59">
        <f>(1/(1.14-2*LOG(($M$10/D41)*(21.25/D48^0.9))))^2</f>
        <v>4.8753354828246992E-3</v>
      </c>
      <c r="E52" s="59">
        <f>(1/(1.14-2*LOG(($M$10/E41)*(21.25/E48^0.9))))^2</f>
        <v>4.419936294731714E-3</v>
      </c>
      <c r="F52" s="59">
        <f>(1/(1.14-2*LOG(($M$10/F41)*(21.25/F48^0.9))))^2</f>
        <v>4.1572894672287745E-3</v>
      </c>
      <c r="G52" s="59">
        <f>(1/(1.14-2*LOG(($M$10/G41)*(21.25/G48^0.9))))^2</f>
        <v>3.9603550260665478E-3</v>
      </c>
      <c r="H52" s="59">
        <f>(1/(1.14-2*LOG(($M$10/H41)*(21.25/H48^0.9))))^2</f>
        <v>3.8054164705008187E-3</v>
      </c>
      <c r="I52" s="59">
        <f>(1/(1.14-2*LOG(($M$10/I41)*(21.25/I48^0.9))))^2</f>
        <v>3.5925202472383536E-3</v>
      </c>
      <c r="J52" s="59">
        <f>(1/(1.14-2*LOG(($M$10/J41)*(21.25/J48^0.9))))^2</f>
        <v>3.4293471033935577E-3</v>
      </c>
      <c r="W52" s="57" t="s">
        <v>145</v>
      </c>
    </row>
    <row r="53" spans="3:24" ht="21" x14ac:dyDescent="0.45">
      <c r="C53" s="56" t="s">
        <v>144</v>
      </c>
      <c r="D53" s="56"/>
      <c r="E53" s="56"/>
      <c r="F53" s="56"/>
      <c r="G53" s="56"/>
      <c r="H53" s="56"/>
      <c r="I53" s="56"/>
      <c r="J53" s="56"/>
      <c r="W53" s="57" t="s">
        <v>143</v>
      </c>
    </row>
    <row r="54" spans="3:24" ht="20.399999999999999" x14ac:dyDescent="0.45">
      <c r="C54" s="46" t="s">
        <v>142</v>
      </c>
      <c r="D54" s="54">
        <f>0.5*$J$10*D46*D47^2</f>
        <v>222.34838233579831</v>
      </c>
      <c r="E54" s="54">
        <f>0.5*$J$10*E46*E47^2</f>
        <v>246.6222185048552</v>
      </c>
      <c r="F54" s="54">
        <f>0.5*$J$10*F46*F47^2</f>
        <v>264.26044751966708</v>
      </c>
      <c r="G54" s="54">
        <f>0.5*$J$10*G46*G47^2</f>
        <v>279.6920939692107</v>
      </c>
      <c r="H54" s="54">
        <f>0.5*$J$10*H46*H47^2</f>
        <v>293.42508403756835</v>
      </c>
      <c r="I54" s="54">
        <f>0.5*$J$10*I46*I47^2</f>
        <v>315.04156628509929</v>
      </c>
      <c r="J54" s="54">
        <f>0.5*$J$10*J46*J47^2</f>
        <v>334.19897444684739</v>
      </c>
      <c r="K54" t="s">
        <v>57</v>
      </c>
      <c r="L54" s="60"/>
      <c r="W54" s="57" t="s">
        <v>141</v>
      </c>
    </row>
    <row r="55" spans="3:24" ht="21" x14ac:dyDescent="0.45">
      <c r="C55" s="46" t="s">
        <v>140</v>
      </c>
      <c r="D55" s="54">
        <f>0.5*$H$9*(1-D46)*D45^2</f>
        <v>734.36412109970172</v>
      </c>
      <c r="E55" s="54">
        <f>0.5*$H$9*(1-E46)*E45^2</f>
        <v>339.61596910534905</v>
      </c>
      <c r="F55" s="54">
        <f>0.5*$H$9*(1-F46)*F45^2</f>
        <v>206.05030405252981</v>
      </c>
      <c r="G55" s="54">
        <f>0.5*$H$9*(1-G46)*G45^2</f>
        <v>137.24290650052023</v>
      </c>
      <c r="H55" s="54">
        <f>0.5*$H$9*(1-H46)*H45^2</f>
        <v>97.545075363345532</v>
      </c>
      <c r="I55" s="54">
        <f>0.5*$H$9*(1-I46)*I45^2</f>
        <v>58.898288437932969</v>
      </c>
      <c r="J55" s="54">
        <f>0.5*$H$9*(1-J46)*J45^2</f>
        <v>38.778207049729595</v>
      </c>
      <c r="K55" t="s">
        <v>57</v>
      </c>
      <c r="W55" s="57" t="s">
        <v>139</v>
      </c>
    </row>
    <row r="56" spans="3:24" ht="20.399999999999999" x14ac:dyDescent="0.45">
      <c r="C56" s="46" t="s">
        <v>138</v>
      </c>
      <c r="D56" s="54">
        <f>2*D52*$J$10*D47^2*$D$6*D46/D41</f>
        <v>1978.5051249322689</v>
      </c>
      <c r="E56" s="54">
        <f>2*E52*$J$10*E47^2*$D$6*E46/E41</f>
        <v>1316.4909355759237</v>
      </c>
      <c r="F56" s="54">
        <f>2*F52*$J$10*F47^2*$D$6*F46/F41</f>
        <v>1015.348590645725</v>
      </c>
      <c r="G56" s="54">
        <f>2*G52*$J$10*G47^2*$D$6*G46/G41</f>
        <v>823.55389598664726</v>
      </c>
      <c r="H56" s="54">
        <f>2*H52*$J$10*H47^2*$D$6*H46/H41</f>
        <v>691.481699067779</v>
      </c>
      <c r="I56" s="54">
        <f>2*I52*$J$10*I47^2*$D$6*I46/I41</f>
        <v>534.97504518855305</v>
      </c>
      <c r="J56" s="54">
        <f>2*J52*$J$10*J47^2*$D$6*J46/J41</f>
        <v>433.10569306038616</v>
      </c>
      <c r="K56" t="s">
        <v>57</v>
      </c>
      <c r="W56" s="57" t="s">
        <v>137</v>
      </c>
    </row>
    <row r="57" spans="3:24" ht="20.399999999999999" x14ac:dyDescent="0.45">
      <c r="C57" s="46" t="s">
        <v>136</v>
      </c>
      <c r="D57" s="54">
        <f>2*D51*$H$9*D45^2*$F$6*(1-D46)/D41</f>
        <v>840.3521030123776</v>
      </c>
      <c r="E57" s="54">
        <f>2*E51*$H$9*E45^2*$F$6*(1-E46)/E41</f>
        <v>371.9945064323361</v>
      </c>
      <c r="F57" s="54">
        <f>2*F51*$H$9*F45^2*$F$6*(1-F46)/F41</f>
        <v>221.44455236632925</v>
      </c>
      <c r="G57" s="54">
        <f>2*G51*$H$9*G45^2*$F$6*(1-G46)/G41</f>
        <v>145.64728658317222</v>
      </c>
      <c r="H57" s="54">
        <f>2*H51*$H$9*H45^2*$F$6*(1-H46)/H41</f>
        <v>102.55406113950339</v>
      </c>
      <c r="I57" s="54">
        <f>2*I51*$H$9*I45^2*$F$6*(1-I46)/I41</f>
        <v>61.153383617682096</v>
      </c>
      <c r="J57" s="54">
        <f>2*J51*$H$9*J45^2*$F$6*(1-J46)/J41</f>
        <v>39.878995202314854</v>
      </c>
      <c r="K57" t="s">
        <v>57</v>
      </c>
      <c r="W57" s="57" t="s">
        <v>135</v>
      </c>
    </row>
    <row r="58" spans="3:24" ht="18" x14ac:dyDescent="0.35">
      <c r="C58" s="56"/>
      <c r="D58" s="56"/>
      <c r="E58" s="56"/>
      <c r="F58" s="56"/>
      <c r="G58" s="56"/>
      <c r="H58" s="56"/>
      <c r="I58" s="56"/>
      <c r="J58" s="56"/>
      <c r="W58" s="57" t="s">
        <v>134</v>
      </c>
    </row>
    <row r="59" spans="3:24" ht="18" x14ac:dyDescent="0.35">
      <c r="C59" s="46" t="s">
        <v>133</v>
      </c>
      <c r="D59" s="59">
        <f>1.74*($L$5*($H$9-$J$10)*9.81/$J$10)^0.5</f>
        <v>8.525124628531831</v>
      </c>
      <c r="E59" s="59">
        <f>1.74*($L$5*($H$9-$J$10)*9.81/$J$10)^0.5</f>
        <v>8.525124628531831</v>
      </c>
      <c r="F59" s="59">
        <f>1.74*($L$5*($H$9-$J$10)*9.81/$J$10)^0.5</f>
        <v>8.525124628531831</v>
      </c>
      <c r="G59" s="59">
        <f>1.74*($L$5*($H$9-$J$10)*9.81/$J$10)^0.5</f>
        <v>8.525124628531831</v>
      </c>
      <c r="H59" s="59">
        <f>1.74*($L$5*($H$9-$J$10)*9.81/$J$10)^0.5</f>
        <v>8.525124628531831</v>
      </c>
      <c r="I59" s="59">
        <f>1.74*($L$5*($H$9-$J$10)*9.81/$J$10)^0.5</f>
        <v>8.525124628531831</v>
      </c>
      <c r="J59" s="59">
        <f>1.74*($L$5*($H$9-$J$10)*9.81/$J$10)^0.5</f>
        <v>8.525124628531831</v>
      </c>
      <c r="W59" s="57" t="s">
        <v>132</v>
      </c>
    </row>
    <row r="60" spans="3:24" ht="20.399999999999999" x14ac:dyDescent="0.45">
      <c r="C60" s="46" t="s">
        <v>46</v>
      </c>
      <c r="D60" s="59">
        <f>4*$I$8/(3.14*D41*D41*$H$9)</f>
        <v>0.12028159153125068</v>
      </c>
      <c r="E60" s="59">
        <f>4*$I$8/(3.14*E41*E41*$H$9)</f>
        <v>5.2667304668114742E-2</v>
      </c>
      <c r="F60" s="59">
        <f>4*$I$8/(3.14*F41*F41*$H$9)</f>
        <v>3.0842334660931857E-2</v>
      </c>
      <c r="G60" s="59">
        <f>4*$I$8/(3.14*G41*G41*$H$9)</f>
        <v>1.9959846549154812E-2</v>
      </c>
      <c r="H60" s="59">
        <f>4*$I$8/(3.14*H41*H41*$H$9)</f>
        <v>1.3847273984678447E-2</v>
      </c>
      <c r="I60" s="59">
        <f>4*$I$8/(3.14*I41*I41*$H$9)</f>
        <v>8.0674196777876083E-3</v>
      </c>
      <c r="J60" s="59">
        <f>4*$I$8/(3.14*J41*J41*$H$9)</f>
        <v>5.1565167948352079E-3</v>
      </c>
      <c r="W60" s="57" t="s">
        <v>131</v>
      </c>
    </row>
    <row r="61" spans="3:24" ht="20.399999999999999" x14ac:dyDescent="0.45">
      <c r="C61" s="46" t="s">
        <v>130</v>
      </c>
      <c r="D61" s="59">
        <f>+((D60+D44+D59)-((D60+D44+D59)^2-4*D44*D59)^0.5)/(2*D59)</f>
        <v>0.98891109363130747</v>
      </c>
      <c r="E61" s="59">
        <f>+((E60+E44+E59)-((E60+E44+E59)^2-4*E44*E59)^0.5)/(2*E59)</f>
        <v>0.99553630374945956</v>
      </c>
      <c r="F61" s="59">
        <f>+((F60+F44+F59)-((F60+F44+F59)^2-4*F44*F59)^0.5)/(2*F59)</f>
        <v>0.99753054697159316</v>
      </c>
      <c r="G61" s="59">
        <f>+((G60+G44+G59)-((G60+G44+G59)^2-4*G44*G59)^0.5)/(2*G59)</f>
        <v>0.99847437577480325</v>
      </c>
      <c r="H61" s="59">
        <f>+((H60+H44+H59)-((H60+H44+H59)^2-4*H44*H59)^0.5)/(2*H59)</f>
        <v>0.99898189586077613</v>
      </c>
      <c r="I61" s="59">
        <f>+((I60+I44+I59)-((I60+I44+I59)^2-4*I44*I59)^0.5)/(2*I59)</f>
        <v>0.99943960319920921</v>
      </c>
      <c r="J61" s="59">
        <f>+((J60+J44+J59)-((J60+J44+J59)^2-4*J44*J59)^0.5)/(2*J59)</f>
        <v>0.99965805122546325</v>
      </c>
      <c r="W61" s="57" t="s">
        <v>129</v>
      </c>
    </row>
    <row r="62" spans="3:24" ht="18" x14ac:dyDescent="0.35">
      <c r="C62" s="46" t="s">
        <v>128</v>
      </c>
      <c r="D62" s="59">
        <f>+(D44/D61)-D59</f>
        <v>10.847020213899661</v>
      </c>
      <c r="E62" s="59">
        <f>+(E44/E61)-E59</f>
        <v>11.799034188703846</v>
      </c>
      <c r="F62" s="59">
        <f>+(F44/F61)-F59</f>
        <v>12.489540925113644</v>
      </c>
      <c r="G62" s="59">
        <f>+(G44/G61)-G59</f>
        <v>13.083068700343272</v>
      </c>
      <c r="H62" s="59">
        <f>+(H44/H61)-H59</f>
        <v>13.601038883143492</v>
      </c>
      <c r="I62" s="59">
        <f>+(I44/I61)-I59</f>
        <v>14.39590601945039</v>
      </c>
      <c r="J62" s="59">
        <f>+(J44/J61)-J59</f>
        <v>15.079793170242056</v>
      </c>
      <c r="W62" s="57" t="s">
        <v>127</v>
      </c>
      <c r="X62" s="57"/>
    </row>
    <row r="63" spans="3:24" ht="18" x14ac:dyDescent="0.35">
      <c r="C63" s="46"/>
      <c r="D63" s="58"/>
      <c r="E63" s="58"/>
      <c r="F63" s="58"/>
      <c r="G63" s="58"/>
      <c r="H63" s="58"/>
      <c r="I63" s="58"/>
      <c r="J63" s="58"/>
      <c r="W63" s="57" t="s">
        <v>126</v>
      </c>
    </row>
    <row r="64" spans="3:24" ht="15.6" x14ac:dyDescent="0.35">
      <c r="C64" s="56" t="s">
        <v>125</v>
      </c>
      <c r="D64" s="56"/>
      <c r="E64" s="56"/>
      <c r="F64" s="56"/>
      <c r="G64" s="56"/>
      <c r="H64" s="56"/>
      <c r="I64" s="56"/>
      <c r="J64" s="56"/>
    </row>
    <row r="65" spans="3:11" ht="20.399999999999999" x14ac:dyDescent="0.45">
      <c r="C65" s="46" t="s">
        <v>124</v>
      </c>
      <c r="D65" s="54">
        <f>+$J$10*$F$6*9.81*(D61)</f>
        <v>174.62192091341629</v>
      </c>
      <c r="E65" s="54">
        <f>+$J$10*$F$6*9.81*(E61)</f>
        <v>175.79180051607958</v>
      </c>
      <c r="F65" s="54">
        <f>+$J$10*$F$6*9.81*(F61)</f>
        <v>176.14394398424392</v>
      </c>
      <c r="G65" s="54">
        <f>+$J$10*$F$6*9.81*(G61)</f>
        <v>176.31060527431478</v>
      </c>
      <c r="H65" s="54">
        <f>+$J$10*$F$6*9.81*(H61)</f>
        <v>176.40022317109586</v>
      </c>
      <c r="I65" s="54">
        <f>+$J$10*$F$6*9.81*(I61)</f>
        <v>176.48104513291636</v>
      </c>
      <c r="J65" s="54">
        <f>+$J$10*$F$6*9.81*(J61)</f>
        <v>176.51961868539232</v>
      </c>
      <c r="K65" t="s">
        <v>57</v>
      </c>
    </row>
    <row r="66" spans="3:11" ht="20.399999999999999" x14ac:dyDescent="0.45">
      <c r="C66" s="46" t="s">
        <v>123</v>
      </c>
      <c r="D66" s="54">
        <f>+$H$9*$F$6*9.81*(1-D61)</f>
        <v>1599.0979207100438</v>
      </c>
      <c r="E66" s="54">
        <f>+$H$9*$F$6*9.81*(1-E61)</f>
        <v>643.69624520168509</v>
      </c>
      <c r="F66" s="54">
        <f>+$H$9*$F$6*9.81*(1-F61)</f>
        <v>356.11241286746559</v>
      </c>
      <c r="G66" s="54">
        <f>+$H$9*$F$6*9.81*(1-G61)</f>
        <v>220.00569264294822</v>
      </c>
      <c r="H66" s="54">
        <f>+$H$9*$F$6*9.81*(1-H61)</f>
        <v>146.81774360505725</v>
      </c>
      <c r="I66" s="54">
        <f>+$H$9*$F$6*9.81*(1-I61)</f>
        <v>80.81314145163681</v>
      </c>
      <c r="J66" s="54">
        <f>+$H$9*$F$6*9.81*(1-J61)</f>
        <v>49.311406929620944</v>
      </c>
      <c r="K66" t="s">
        <v>57</v>
      </c>
    </row>
    <row r="67" spans="3:11" ht="20.399999999999999" x14ac:dyDescent="0.45">
      <c r="C67" s="46" t="s">
        <v>122</v>
      </c>
      <c r="D67" s="54">
        <f>2*D52*$J$10*D47^2*$F$6*D61/D41</f>
        <v>1185.3824410405236</v>
      </c>
      <c r="E67" s="54">
        <f>2*E52*$J$10*E47^2*$F$6*E61/E41</f>
        <v>789.52850016962884</v>
      </c>
      <c r="F67" s="54">
        <f>2*F52*$J$10*F47^2*$F$6*F61/F41</f>
        <v>609.0825641486415</v>
      </c>
      <c r="G67" s="54">
        <f>2*G52*$J$10*G47^2*$F$6*G61/G41</f>
        <v>494.08125660653792</v>
      </c>
      <c r="H67" s="54">
        <f>2*H52*$J$10*H47^2*$F$6*H61/H41</f>
        <v>414.86622095890618</v>
      </c>
      <c r="I67" s="54">
        <f>2*I52*$J$10*I47^2*$F$6*I61/I41</f>
        <v>320.97894391985125</v>
      </c>
      <c r="J67" s="54">
        <f>2*J52*$J$10*J47^2*$F$6*J61/J41</f>
        <v>259.86186581786552</v>
      </c>
      <c r="K67" t="s">
        <v>57</v>
      </c>
    </row>
    <row r="68" spans="3:11" ht="20.399999999999999" x14ac:dyDescent="0.45">
      <c r="C68" s="46" t="s">
        <v>121</v>
      </c>
      <c r="D68" s="54">
        <f>2*D51*$H$9*D62^2*$F$6*(1-D61)/D41</f>
        <v>731.56940804686599</v>
      </c>
      <c r="E68" s="54">
        <f>2*E51*$H$9*E62^2*$F$6*(1-E61)/E41</f>
        <v>333.52781326211721</v>
      </c>
      <c r="F68" s="54">
        <f>2*F51*$H$9*F62^2*$F$6*(1-F61)/F41</f>
        <v>202.85304998496207</v>
      </c>
      <c r="G68" s="54">
        <f>2*G51*$H$9*G62^2*$F$6*(1-G61)/G41</f>
        <v>135.79237722914772</v>
      </c>
      <c r="H68" s="54">
        <f>2*H51*$H$9*H62^2*$F$6*(1-H61)/H41</f>
        <v>97.024175767206088</v>
      </c>
      <c r="I68" s="54">
        <f>2*I51*$H$9*I62^2*$F$6*(1-I61)/I41</f>
        <v>59.086402684698825</v>
      </c>
      <c r="J68" s="54">
        <f>2*J51*$H$9*J62^2*$F$6*(1-J61)/J41</f>
        <v>39.183604442643997</v>
      </c>
      <c r="K68" t="s">
        <v>57</v>
      </c>
    </row>
    <row r="69" spans="3:11" ht="15.6" x14ac:dyDescent="0.35">
      <c r="C69" s="51" t="s">
        <v>120</v>
      </c>
      <c r="D69" s="55">
        <f>SUM(D65:D68)+SUM(D54:D57)</f>
        <v>7466.2414220909959</v>
      </c>
      <c r="E69" s="55">
        <f>SUM(E65:E68)+SUM(E54:E57)</f>
        <v>4217.2679887679751</v>
      </c>
      <c r="F69" s="55">
        <f>SUM(F65:F68)+SUM(F54:F57)</f>
        <v>3051.2958655695643</v>
      </c>
      <c r="G69" s="55">
        <f>SUM(G65:G68)+SUM(G54:G57)</f>
        <v>2412.3261147924986</v>
      </c>
      <c r="H69" s="55">
        <f>SUM(H65:H68)+SUM(H54:H57)</f>
        <v>2020.1142831104617</v>
      </c>
      <c r="I69" s="55">
        <f>SUM(I65:I68)+SUM(I54:I57)</f>
        <v>1607.4278167183707</v>
      </c>
      <c r="J69" s="55">
        <f>SUM(J65:J68)+SUM(J54:J57)</f>
        <v>1370.8383656348008</v>
      </c>
      <c r="K69" t="s">
        <v>57</v>
      </c>
    </row>
    <row r="70" spans="3:11" x14ac:dyDescent="0.3">
      <c r="C70" s="46" t="s">
        <v>119</v>
      </c>
      <c r="D70" s="54">
        <f>+SUM(D65:D68)*7.5*$H$6/$F$6</f>
        <v>9226.6792267771252</v>
      </c>
      <c r="E70" s="54">
        <f>+SUM(E65:E68)*7.5*$H$6/$F$6</f>
        <v>4856.3608978737766</v>
      </c>
      <c r="F70" s="54">
        <f>+SUM(F65:F68)*7.5*$H$6/$F$6</f>
        <v>3360.4799274632828</v>
      </c>
      <c r="G70" s="54">
        <f>+SUM(G65:G68)*7.5*$H$6/$F$6</f>
        <v>2565.4748293823714</v>
      </c>
      <c r="H70" s="54">
        <f>+SUM(H65:H68)*7.5*$H$6/$F$6</f>
        <v>2087.7709087556632</v>
      </c>
      <c r="I70" s="54">
        <f>+SUM(I65:I68)*7.5*$H$6/$F$6</f>
        <v>1593.3988329727581</v>
      </c>
      <c r="J70" s="54">
        <f>+SUM(J65:J68)*7.5*$H$6/$F$6</f>
        <v>1312.1912396888069</v>
      </c>
      <c r="K70" t="s">
        <v>57</v>
      </c>
    </row>
    <row r="71" spans="3:11" x14ac:dyDescent="0.3">
      <c r="C71" s="46" t="s">
        <v>69</v>
      </c>
      <c r="D71" s="53" t="s">
        <v>118</v>
      </c>
      <c r="E71" s="53" t="s">
        <v>31</v>
      </c>
      <c r="F71" s="53" t="s">
        <v>82</v>
      </c>
      <c r="G71" s="53" t="s">
        <v>84</v>
      </c>
      <c r="H71" s="53" t="s">
        <v>86</v>
      </c>
      <c r="I71" s="53" t="s">
        <v>89</v>
      </c>
      <c r="J71" s="53" t="s">
        <v>90</v>
      </c>
    </row>
    <row r="72" spans="3:11" ht="15.6" x14ac:dyDescent="0.35">
      <c r="C72" s="51" t="s">
        <v>117</v>
      </c>
      <c r="D72" s="50">
        <f>+D69+D70</f>
        <v>16692.920648868123</v>
      </c>
      <c r="E72" s="49">
        <f>+E69+E70</f>
        <v>9073.6288866417526</v>
      </c>
      <c r="F72" s="49">
        <f>+F69+F70</f>
        <v>6411.7757930328471</v>
      </c>
      <c r="G72" s="49">
        <f>+G69+G70</f>
        <v>4977.80094417487</v>
      </c>
      <c r="H72" s="49">
        <f>+H69+H70</f>
        <v>4107.8851918661248</v>
      </c>
      <c r="I72" s="49">
        <f>+I69+I70</f>
        <v>3200.8266496911288</v>
      </c>
      <c r="J72" s="49">
        <f>+J69+J70</f>
        <v>2683.0296053236079</v>
      </c>
    </row>
    <row r="73" spans="3:11" x14ac:dyDescent="0.3">
      <c r="C73" s="46" t="s">
        <v>116</v>
      </c>
      <c r="D73" s="52">
        <v>1000</v>
      </c>
      <c r="E73" s="52">
        <v>1000</v>
      </c>
      <c r="F73" s="52">
        <v>1000</v>
      </c>
      <c r="G73" s="52">
        <v>1000</v>
      </c>
      <c r="H73" s="52">
        <v>1000</v>
      </c>
      <c r="I73" s="52">
        <v>1000</v>
      </c>
      <c r="J73" s="52">
        <v>1000</v>
      </c>
      <c r="K73" t="s">
        <v>57</v>
      </c>
    </row>
    <row r="74" spans="3:11" x14ac:dyDescent="0.3">
      <c r="C74" s="46" t="s">
        <v>115</v>
      </c>
      <c r="D74" s="52">
        <v>1500</v>
      </c>
      <c r="E74" s="52">
        <v>1500</v>
      </c>
      <c r="F74" s="52">
        <v>1500</v>
      </c>
      <c r="G74" s="52">
        <v>1500</v>
      </c>
      <c r="H74" s="52">
        <v>1500</v>
      </c>
      <c r="I74" s="52">
        <v>1500</v>
      </c>
      <c r="J74" s="52">
        <v>1500</v>
      </c>
      <c r="K74" t="s">
        <v>57</v>
      </c>
    </row>
    <row r="75" spans="3:11" ht="15.6" x14ac:dyDescent="0.35">
      <c r="C75" s="51" t="s">
        <v>114</v>
      </c>
      <c r="D75" s="50">
        <f>+D72+D73+D74</f>
        <v>19192.920648868123</v>
      </c>
      <c r="E75" s="49">
        <f>+E72+E73+E74</f>
        <v>11573.628886641753</v>
      </c>
      <c r="F75" s="49">
        <f>+F72+F73+F74</f>
        <v>8911.775793032848</v>
      </c>
      <c r="G75" s="49">
        <f>+G72+G73+G74</f>
        <v>7477.80094417487</v>
      </c>
      <c r="H75" s="49">
        <f>+H72+H73+H74</f>
        <v>6607.8851918661248</v>
      </c>
      <c r="I75" s="49">
        <f>+I72+I73+I74</f>
        <v>5700.8266496911292</v>
      </c>
      <c r="J75" s="49">
        <f>+J72+J73+J74</f>
        <v>5183.0296053236079</v>
      </c>
      <c r="K75" t="s">
        <v>57</v>
      </c>
    </row>
    <row r="76" spans="3:11" x14ac:dyDescent="0.3">
      <c r="C76" s="46" t="s">
        <v>113</v>
      </c>
      <c r="D76" s="48">
        <f>+D47*D42*1.2</f>
        <v>5.4701756384075519E-2</v>
      </c>
      <c r="E76" s="48">
        <f>+E47*E42*1.2</f>
        <v>0.13119667976484406</v>
      </c>
      <c r="F76" s="48">
        <f>+F47*F42*1.2</f>
        <v>0.23170619938024684</v>
      </c>
      <c r="G76" s="48">
        <f>+G47*G42*1.2</f>
        <v>0.36818749208633206</v>
      </c>
      <c r="H76" s="48">
        <f>+H47*H42*1.2</f>
        <v>0.54346381895511764</v>
      </c>
      <c r="I76" s="48">
        <f>+I47*I42*1.2</f>
        <v>0.96637109350513284</v>
      </c>
      <c r="J76" s="48">
        <f>+J47*J42*1.2</f>
        <v>1.5570269688335772</v>
      </c>
      <c r="K76" t="s">
        <v>59</v>
      </c>
    </row>
    <row r="77" spans="3:11" x14ac:dyDescent="0.3">
      <c r="C77" s="46" t="s">
        <v>113</v>
      </c>
      <c r="D77" s="48">
        <f>+D76*3600</f>
        <v>196.92632298267188</v>
      </c>
      <c r="E77" s="48">
        <f>+E76*3600</f>
        <v>472.30804715343862</v>
      </c>
      <c r="F77" s="48">
        <f>+F76*3600</f>
        <v>834.14231776888857</v>
      </c>
      <c r="G77" s="48">
        <f>+G76*3600</f>
        <v>1325.4749715107955</v>
      </c>
      <c r="H77" s="48">
        <f>+H76*3600</f>
        <v>1956.4697482384236</v>
      </c>
      <c r="I77" s="48">
        <f>+I76*3600</f>
        <v>3478.9359366184781</v>
      </c>
      <c r="J77" s="48">
        <f>+J76*3600</f>
        <v>5605.2970878008782</v>
      </c>
      <c r="K77" t="s">
        <v>112</v>
      </c>
    </row>
    <row r="78" spans="3:11" x14ac:dyDescent="0.3">
      <c r="C78" s="46" t="s">
        <v>111</v>
      </c>
      <c r="D78" s="47">
        <f>+D76*D75/761.9/0.6</f>
        <v>2.2966410063290827</v>
      </c>
      <c r="E78" s="47">
        <f>+E76*E75/761.9/0.6</f>
        <v>3.32156819083407</v>
      </c>
      <c r="F78" s="47">
        <f>+F76*F75/761.9/0.6</f>
        <v>4.5170269473958227</v>
      </c>
      <c r="G78" s="47">
        <f>+G76*G75/761.9/0.6</f>
        <v>6.0227343394945789</v>
      </c>
      <c r="H78" s="47">
        <f>+H76*H75/761.9/0.6</f>
        <v>7.8556821139881317</v>
      </c>
      <c r="I78" s="47">
        <f>+I76*I75/761.9/0.6</f>
        <v>12.051262377707529</v>
      </c>
      <c r="J78" s="47">
        <f>+J76*J75/761.9/0.6</f>
        <v>17.653491000025614</v>
      </c>
      <c r="K78" t="s">
        <v>109</v>
      </c>
    </row>
    <row r="79" spans="3:11" x14ac:dyDescent="0.3">
      <c r="C79" s="46" t="s">
        <v>110</v>
      </c>
      <c r="D79" s="45">
        <f>INDEX('[1]Motor&amp; Pipe'!$B$3:$B$31,MATCH('PCS Simulation '!D78,'[1]Motor&amp; Pipe'!$A$3:$A$31)+1)</f>
        <v>3</v>
      </c>
      <c r="E79" s="45">
        <f>INDEX('[1]Motor&amp; Pipe'!$B$3:$B$31,MATCH('PCS Simulation '!E78,'[1]Motor&amp; Pipe'!$A$3:$A$31)+1)</f>
        <v>3.7</v>
      </c>
      <c r="F79" s="45">
        <f>INDEX('[1]Motor&amp; Pipe'!$B$3:$B$31,MATCH('PCS Simulation '!F78,'[1]Motor&amp; Pipe'!$A$3:$A$31)+1)</f>
        <v>5</v>
      </c>
      <c r="G79" s="45">
        <f>INDEX('[1]Motor&amp; Pipe'!$B$3:$B$31,MATCH('PCS Simulation '!G78,'[1]Motor&amp; Pipe'!$A$3:$A$31)+1)</f>
        <v>7.5</v>
      </c>
      <c r="H79" s="45">
        <f>INDEX('[1]Motor&amp; Pipe'!$B$3:$B$31,MATCH('PCS Simulation '!H78,'[1]Motor&amp; Pipe'!$A$3:$A$31)+1)</f>
        <v>10</v>
      </c>
      <c r="I79" s="45">
        <f>INDEX('[1]Motor&amp; Pipe'!$B$3:$B$31,MATCH('PCS Simulation '!I78,'[1]Motor&amp; Pipe'!$A$3:$A$31)+1)</f>
        <v>15</v>
      </c>
      <c r="J79" s="45">
        <f>INDEX('[1]Motor&amp; Pipe'!$B$3:$B$31,MATCH('PCS Simulation '!J78,'[1]Motor&amp; Pipe'!$A$3:$A$31)+1)</f>
        <v>18</v>
      </c>
      <c r="K79" t="s">
        <v>109</v>
      </c>
    </row>
  </sheetData>
  <mergeCells count="17">
    <mergeCell ref="K4:M4"/>
    <mergeCell ref="A2:O2"/>
    <mergeCell ref="A3:O3"/>
    <mergeCell ref="C4:J4"/>
    <mergeCell ref="B4:B10"/>
    <mergeCell ref="D8:E8"/>
    <mergeCell ref="C7:E7"/>
    <mergeCell ref="C39:J39"/>
    <mergeCell ref="G5:G6"/>
    <mergeCell ref="K10:L10"/>
    <mergeCell ref="I5:J6"/>
    <mergeCell ref="W2:AA2"/>
    <mergeCell ref="I7:J7"/>
    <mergeCell ref="F8:G8"/>
    <mergeCell ref="F9:G9"/>
    <mergeCell ref="F10:G10"/>
    <mergeCell ref="F7:H7"/>
  </mergeCells>
  <dataValidations count="1">
    <dataValidation type="list" allowBlank="1" showInputMessage="1" showErrorMessage="1" sqref="C8" xr:uid="{F14335A6-4B2F-4473-BD02-35512AF658CB}">
      <formula1>$AE$4:$AE$7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ACB4-8955-4F77-BCB8-7E728B6F7F68}">
  <sheetPr>
    <tabColor theme="9" tint="0.79998168889431442"/>
  </sheetPr>
  <dimension ref="A1:Y93"/>
  <sheetViews>
    <sheetView zoomScale="80" workbookViewId="0">
      <selection activeCell="K23" sqref="K23"/>
    </sheetView>
  </sheetViews>
  <sheetFormatPr defaultRowHeight="14.4" x14ac:dyDescent="0.3"/>
  <cols>
    <col min="1" max="1" width="10.6640625" customWidth="1"/>
    <col min="3" max="3" width="32" customWidth="1"/>
    <col min="5" max="5" width="11.44140625" customWidth="1"/>
    <col min="6" max="6" width="10.5546875" customWidth="1"/>
    <col min="7" max="7" width="10.77734375" customWidth="1"/>
    <col min="8" max="8" width="10.33203125" customWidth="1"/>
    <col min="11" max="12" width="8.88671875" customWidth="1"/>
    <col min="15" max="15" width="12" bestFit="1" customWidth="1"/>
  </cols>
  <sheetData>
    <row r="1" spans="1:2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2.8" x14ac:dyDescent="0.4">
      <c r="A2" s="2"/>
      <c r="B2" s="2"/>
      <c r="C2" s="2"/>
      <c r="D2" s="2"/>
      <c r="E2" s="2"/>
      <c r="F2" s="2"/>
      <c r="G2" s="39" t="s">
        <v>108</v>
      </c>
      <c r="H2" s="3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22" customFormat="1" ht="17.399999999999999" x14ac:dyDescent="0.3">
      <c r="C4" s="37" t="s">
        <v>0</v>
      </c>
      <c r="E4" s="36" t="s">
        <v>13</v>
      </c>
      <c r="G4" s="36" t="s">
        <v>18</v>
      </c>
      <c r="H4" s="23"/>
      <c r="L4" s="36"/>
      <c r="Q4" s="36" t="s">
        <v>19</v>
      </c>
    </row>
    <row r="5" spans="1:25" x14ac:dyDescent="0.3">
      <c r="A5" s="2"/>
      <c r="B5" s="2"/>
      <c r="C5" s="2"/>
      <c r="D5" s="2"/>
      <c r="E5" s="2"/>
      <c r="F5" s="2"/>
      <c r="G5" s="2"/>
      <c r="H5" s="2"/>
      <c r="I5" s="2"/>
      <c r="J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43" t="s">
        <v>2</v>
      </c>
      <c r="B6" s="2"/>
      <c r="C6" s="26" t="s">
        <v>1</v>
      </c>
      <c r="D6" s="26"/>
      <c r="E6" s="26" t="s">
        <v>14</v>
      </c>
      <c r="F6" s="26"/>
      <c r="G6" s="26">
        <v>1.2</v>
      </c>
      <c r="H6" s="26"/>
      <c r="I6" s="26"/>
      <c r="J6" s="26"/>
      <c r="L6" s="2" t="s">
        <v>22</v>
      </c>
      <c r="M6" s="2"/>
      <c r="N6" s="2"/>
      <c r="O6" s="2">
        <f>((4*J13*(10^U6)*(9.81^(U7/2))*J22^(U7/2-2))/(3.14*G6))^(1/(U7+1))</f>
        <v>13.258024785332752</v>
      </c>
      <c r="P6" s="2"/>
      <c r="Q6" s="2"/>
      <c r="R6" s="2" t="s">
        <v>23</v>
      </c>
      <c r="S6" s="2"/>
      <c r="T6" s="2"/>
      <c r="U6" s="2">
        <f>(1440*J15)+1.96</f>
        <v>6.28</v>
      </c>
      <c r="V6" s="2"/>
      <c r="W6" s="2"/>
      <c r="X6" s="2"/>
      <c r="Y6" s="2"/>
    </row>
    <row r="7" spans="1:25" x14ac:dyDescent="0.3">
      <c r="A7" s="43"/>
      <c r="B7" s="2"/>
      <c r="C7" s="2" t="s">
        <v>29</v>
      </c>
      <c r="D7" s="21" t="s">
        <v>30</v>
      </c>
      <c r="E7" s="2" t="s">
        <v>28</v>
      </c>
      <c r="F7" s="2"/>
      <c r="G7" s="2">
        <v>1.8E-5</v>
      </c>
      <c r="H7" s="2"/>
      <c r="I7" s="2"/>
      <c r="J7" s="2"/>
      <c r="L7" s="2"/>
      <c r="M7" s="2"/>
      <c r="N7" s="2"/>
      <c r="O7" s="2"/>
      <c r="P7" s="2"/>
      <c r="Q7" s="2"/>
      <c r="R7" s="2" t="s">
        <v>24</v>
      </c>
      <c r="S7" s="2"/>
      <c r="T7" s="2"/>
      <c r="U7" s="2">
        <f>(1100*J15)+2.5</f>
        <v>5.8000000000000007</v>
      </c>
      <c r="V7" s="2"/>
      <c r="W7" s="2"/>
      <c r="X7" s="2"/>
      <c r="Y7" s="2"/>
    </row>
    <row r="8" spans="1:25" x14ac:dyDescent="0.3">
      <c r="A8" s="2"/>
      <c r="B8" s="2"/>
      <c r="C8" s="2"/>
      <c r="D8" s="2"/>
      <c r="E8" s="2"/>
      <c r="F8" s="2"/>
      <c r="G8" s="2"/>
      <c r="H8" s="2"/>
      <c r="I8" s="2"/>
      <c r="J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2"/>
      <c r="B9" s="2"/>
      <c r="C9" s="2"/>
      <c r="D9" s="2"/>
      <c r="E9" s="2"/>
      <c r="F9" s="2"/>
      <c r="G9" s="2"/>
      <c r="H9" s="2"/>
      <c r="I9" s="2"/>
      <c r="J9" s="2"/>
      <c r="L9" s="2" t="s">
        <v>21</v>
      </c>
      <c r="M9" s="2"/>
      <c r="N9" s="2"/>
      <c r="O9" s="2"/>
      <c r="P9" s="2">
        <f>J13*4/(G6*3.14*J22^2*P11)</f>
        <v>2.381894405620316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2"/>
      <c r="B10" s="2"/>
      <c r="C10" s="2"/>
      <c r="D10" s="21"/>
      <c r="E10" s="2"/>
      <c r="F10" s="2"/>
      <c r="G10" s="2"/>
      <c r="H10" s="2"/>
      <c r="I10" s="2"/>
      <c r="J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2"/>
      <c r="B11" s="2"/>
      <c r="C11" s="2"/>
      <c r="D11" s="21"/>
      <c r="E11" s="2"/>
      <c r="F11" s="2"/>
      <c r="G11" s="2"/>
      <c r="H11" s="2"/>
      <c r="I11" s="2"/>
      <c r="J11" s="2"/>
      <c r="L11" s="2" t="s">
        <v>3</v>
      </c>
      <c r="M11" s="2"/>
      <c r="N11" s="2" t="s">
        <v>15</v>
      </c>
      <c r="O11" s="2"/>
      <c r="P11" s="2">
        <f>1.5*O6</f>
        <v>19.88703717799913</v>
      </c>
      <c r="Q11" s="2"/>
      <c r="R11" s="2" t="s">
        <v>33</v>
      </c>
      <c r="S11" s="2"/>
      <c r="T11" s="2"/>
      <c r="U11" s="2"/>
      <c r="V11" s="2">
        <f>(J22*P15*G6)/G7</f>
        <v>105077.0143293319</v>
      </c>
      <c r="W11" s="2"/>
      <c r="X11" s="2"/>
      <c r="Y11" s="2"/>
    </row>
    <row r="12" spans="1:2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4" customHeight="1" x14ac:dyDescent="0.3">
      <c r="A13" s="41" t="s">
        <v>8</v>
      </c>
      <c r="B13" s="2"/>
      <c r="C13" s="31" t="s">
        <v>4</v>
      </c>
      <c r="D13" s="31"/>
      <c r="E13" s="31" t="s">
        <v>26</v>
      </c>
      <c r="F13" s="31"/>
      <c r="G13" s="31">
        <v>1</v>
      </c>
      <c r="H13" s="31"/>
      <c r="I13" s="31" t="s">
        <v>20</v>
      </c>
      <c r="J13" s="31">
        <f>G13*1000/3600</f>
        <v>0.27777777777777779</v>
      </c>
      <c r="L13" s="2" t="s">
        <v>7</v>
      </c>
      <c r="M13" s="2"/>
      <c r="N13" s="2" t="s">
        <v>15</v>
      </c>
      <c r="O13" s="2"/>
      <c r="P13" s="2">
        <f>P11*(1-0.0638*J15^0.3*G14^0.5)</f>
        <v>12.934550287837961</v>
      </c>
      <c r="Q13" s="2"/>
      <c r="R13" s="2" t="s">
        <v>32</v>
      </c>
      <c r="S13" s="2"/>
      <c r="T13" s="2"/>
      <c r="U13" s="2"/>
      <c r="V13" s="2">
        <f>(G6*(P15-P13)*J15)/G7</f>
        <v>1408.4136811902736</v>
      </c>
      <c r="W13" s="2"/>
      <c r="X13" s="2"/>
      <c r="Y13" s="2"/>
    </row>
    <row r="14" spans="1:25" ht="14.4" customHeight="1" x14ac:dyDescent="0.3">
      <c r="A14" s="41"/>
      <c r="B14" s="2"/>
      <c r="C14" s="2" t="s">
        <v>5</v>
      </c>
      <c r="D14" s="2"/>
      <c r="E14" s="2" t="s">
        <v>14</v>
      </c>
      <c r="F14" s="2"/>
      <c r="G14" s="2">
        <v>980</v>
      </c>
      <c r="H14" s="2"/>
      <c r="I14" s="2"/>
      <c r="J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"/>
      <c r="B15" s="2"/>
      <c r="C15" s="31" t="s">
        <v>6</v>
      </c>
      <c r="D15" s="31"/>
      <c r="E15" s="31" t="s">
        <v>16</v>
      </c>
      <c r="F15" s="31"/>
      <c r="G15" s="31">
        <v>3</v>
      </c>
      <c r="H15" s="31"/>
      <c r="I15" s="31" t="s">
        <v>17</v>
      </c>
      <c r="J15" s="31">
        <f>G15/1000</f>
        <v>3.0000000000000001E-3</v>
      </c>
      <c r="L15" s="2" t="s">
        <v>58</v>
      </c>
      <c r="M15" s="2"/>
      <c r="N15" s="2"/>
      <c r="O15" s="2"/>
      <c r="P15" s="2">
        <f>P11/V15</f>
        <v>19.97661869378933</v>
      </c>
      <c r="Q15" s="2"/>
      <c r="R15" s="2" t="s">
        <v>44</v>
      </c>
      <c r="S15" s="2"/>
      <c r="T15" s="2"/>
      <c r="U15" s="2"/>
      <c r="V15" s="2">
        <f>1-(4*J13/(P13*G14*3.14*(J22^2)))</f>
        <v>0.99551568174958205</v>
      </c>
      <c r="W15" s="2"/>
      <c r="X15" s="2"/>
      <c r="Y15" s="2"/>
    </row>
    <row r="16" spans="1:2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L17" s="2" t="s">
        <v>35</v>
      </c>
      <c r="M17" s="2"/>
      <c r="N17" s="2"/>
      <c r="O17" s="2"/>
      <c r="P17" s="2">
        <f>(3/8)*(G6/G14)*(J22/J15)*V17*(((P15-P13)/P13)^2)</f>
        <v>1.4417072791987815E-3</v>
      </c>
      <c r="Q17" s="2"/>
      <c r="R17" s="2" t="s">
        <v>34</v>
      </c>
      <c r="S17" s="2"/>
      <c r="T17" s="2"/>
      <c r="U17" s="2"/>
      <c r="V17" s="2">
        <f>(24/V13)*(1+0.15*(V13^0.687))+0.42/(1+42300/V13)</f>
        <v>0.40275143179975453</v>
      </c>
      <c r="W17" s="2"/>
      <c r="X17" s="2"/>
      <c r="Y17" s="2"/>
    </row>
    <row r="18" spans="1:2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4" customHeight="1" x14ac:dyDescent="0.3">
      <c r="A19" s="40" t="s">
        <v>9</v>
      </c>
      <c r="B19" s="2"/>
      <c r="C19" s="27" t="s">
        <v>11</v>
      </c>
      <c r="D19" s="27"/>
      <c r="E19" s="27" t="s">
        <v>17</v>
      </c>
      <c r="F19" s="27"/>
      <c r="G19" s="27">
        <v>25</v>
      </c>
      <c r="H19" s="27"/>
      <c r="I19" s="27"/>
      <c r="J19" s="27"/>
      <c r="L19" s="2" t="s">
        <v>36</v>
      </c>
      <c r="M19" s="2"/>
      <c r="N19" s="2"/>
      <c r="O19" s="2"/>
      <c r="P19" s="2">
        <f>1/(1.14-2*LOG((G23*21.25)/(J22*(V11^0.9)),10))^2</f>
        <v>4.4646806810254777E-3</v>
      </c>
      <c r="Q19" s="2"/>
      <c r="R19" s="2"/>
      <c r="S19" s="2"/>
      <c r="T19" s="2"/>
      <c r="U19" s="2"/>
      <c r="V19" s="2"/>
      <c r="W19" s="2"/>
      <c r="X19" s="2"/>
      <c r="Y19" s="2"/>
    </row>
    <row r="20" spans="1:25" ht="14.4" customHeight="1" x14ac:dyDescent="0.3">
      <c r="A20" s="40"/>
      <c r="B20" s="2"/>
      <c r="C20" s="2" t="s">
        <v>10</v>
      </c>
      <c r="D20" s="2"/>
      <c r="E20" s="2" t="s">
        <v>17</v>
      </c>
      <c r="F20" s="2"/>
      <c r="G20" s="2">
        <v>15</v>
      </c>
      <c r="H20" s="2"/>
      <c r="I20" s="2"/>
      <c r="J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2"/>
      <c r="B21" s="2"/>
      <c r="C21" s="27" t="s">
        <v>12</v>
      </c>
      <c r="D21" s="27"/>
      <c r="E21" s="27"/>
      <c r="F21" s="27"/>
      <c r="G21" s="27">
        <v>5</v>
      </c>
      <c r="H21" s="27"/>
      <c r="I21" s="27"/>
      <c r="J21" s="27"/>
      <c r="L21" s="33" t="s">
        <v>41</v>
      </c>
      <c r="M21" s="33"/>
      <c r="N21" s="33"/>
      <c r="O21" s="33"/>
      <c r="P21" s="33">
        <f>W21+W23+W25+W27</f>
        <v>2626.5413508655956</v>
      </c>
      <c r="Q21" s="33" t="s">
        <v>57</v>
      </c>
      <c r="R21" s="33" t="s">
        <v>37</v>
      </c>
      <c r="S21" s="33"/>
      <c r="T21" s="33"/>
      <c r="U21" s="33"/>
      <c r="V21" s="33"/>
      <c r="W21" s="33">
        <f>0.5*G6*V15*(P15^2)</f>
        <v>238.3654551924605</v>
      </c>
      <c r="X21" s="33" t="s">
        <v>57</v>
      </c>
      <c r="Y21" s="33"/>
    </row>
    <row r="22" spans="1:25" x14ac:dyDescent="0.3">
      <c r="A22" s="2"/>
      <c r="B22" s="2"/>
      <c r="C22" s="2" t="s">
        <v>25</v>
      </c>
      <c r="D22" s="2" t="s">
        <v>31</v>
      </c>
      <c r="E22" s="2" t="s">
        <v>16</v>
      </c>
      <c r="F22" s="2"/>
      <c r="G22" s="2">
        <v>78.900000000000006</v>
      </c>
      <c r="H22" s="2"/>
      <c r="I22" s="2" t="s">
        <v>17</v>
      </c>
      <c r="J22" s="2">
        <f>G22/1000</f>
        <v>7.8900000000000012E-2</v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 x14ac:dyDescent="0.3">
      <c r="A23" s="2"/>
      <c r="B23" s="2"/>
      <c r="C23" s="27" t="s">
        <v>27</v>
      </c>
      <c r="D23" s="27"/>
      <c r="E23" s="27"/>
      <c r="F23" s="27"/>
      <c r="G23" s="28">
        <v>1.5E-5</v>
      </c>
      <c r="H23" s="27"/>
      <c r="I23" s="27"/>
      <c r="J23" s="27"/>
      <c r="L23" s="33"/>
      <c r="M23" s="33"/>
      <c r="N23" s="33"/>
      <c r="O23" s="33"/>
      <c r="P23" s="33"/>
      <c r="Q23" s="33"/>
      <c r="R23" s="33" t="s">
        <v>38</v>
      </c>
      <c r="S23" s="33"/>
      <c r="T23" s="33"/>
      <c r="U23" s="33"/>
      <c r="V23" s="33"/>
      <c r="W23" s="33">
        <f>0.5*G14*(P13^2)*(1-V15)</f>
        <v>367.61665078666107</v>
      </c>
      <c r="X23" s="33" t="s">
        <v>57</v>
      </c>
      <c r="Y23" s="33"/>
    </row>
    <row r="24" spans="1:25" ht="14.4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 ht="14.4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L25" s="33"/>
      <c r="M25" s="33"/>
      <c r="N25" s="33"/>
      <c r="O25" s="33"/>
      <c r="P25" s="33"/>
      <c r="Q25" s="33"/>
      <c r="R25" s="33" t="s">
        <v>39</v>
      </c>
      <c r="S25" s="33"/>
      <c r="T25" s="33"/>
      <c r="U25" s="33"/>
      <c r="V25" s="33"/>
      <c r="W25" s="33">
        <f>2*P19*G6*(P15^2)*G19*V15/J22</f>
        <v>1348.8284446408393</v>
      </c>
      <c r="X25" s="33" t="s">
        <v>57</v>
      </c>
      <c r="Y25" s="33"/>
    </row>
    <row r="26" spans="1:2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 spans="1:25" x14ac:dyDescent="0.3">
      <c r="A27" s="41" t="s">
        <v>53</v>
      </c>
      <c r="B27" s="2"/>
      <c r="C27" s="29" t="s">
        <v>54</v>
      </c>
      <c r="D27" s="29"/>
      <c r="E27" s="29"/>
      <c r="F27" s="29"/>
      <c r="G27" s="29">
        <v>1.2</v>
      </c>
      <c r="H27" s="29"/>
      <c r="I27" s="29"/>
      <c r="J27" s="29"/>
      <c r="L27" s="33"/>
      <c r="M27" s="33"/>
      <c r="N27" s="33"/>
      <c r="O27" s="33"/>
      <c r="P27" s="33"/>
      <c r="Q27" s="33"/>
      <c r="R27" s="33" t="s">
        <v>40</v>
      </c>
      <c r="S27" s="33"/>
      <c r="T27" s="33"/>
      <c r="U27" s="33"/>
      <c r="V27" s="33"/>
      <c r="W27" s="33">
        <f>P17*2*G14*(P13^2)*G19*(1-V15)/J22</f>
        <v>671.73080024563455</v>
      </c>
      <c r="X27" s="33" t="s">
        <v>57</v>
      </c>
      <c r="Y27" s="33"/>
    </row>
    <row r="28" spans="1:25" x14ac:dyDescent="0.3">
      <c r="A28" s="42"/>
      <c r="B28" s="2"/>
      <c r="C28" s="2" t="s">
        <v>55</v>
      </c>
      <c r="D28" s="2"/>
      <c r="E28" s="2" t="s">
        <v>56</v>
      </c>
      <c r="F28" s="2"/>
      <c r="G28" s="2">
        <v>60</v>
      </c>
      <c r="H28" s="2"/>
      <c r="I28" s="2"/>
      <c r="J28" s="2">
        <f>G28/100</f>
        <v>0.6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2"/>
      <c r="B29" s="2"/>
      <c r="C29" s="29" t="s">
        <v>64</v>
      </c>
      <c r="D29" s="29"/>
      <c r="E29" s="29" t="s">
        <v>57</v>
      </c>
      <c r="F29" s="29"/>
      <c r="G29" s="29">
        <v>2500</v>
      </c>
      <c r="H29" s="29"/>
      <c r="I29" s="29"/>
      <c r="J29" s="29"/>
      <c r="L29" s="2" t="s">
        <v>43</v>
      </c>
      <c r="M29" s="2"/>
      <c r="N29" s="2"/>
      <c r="O29" s="2">
        <f>(P11/U31)-O31</f>
        <v>11.463052020064712</v>
      </c>
      <c r="P29" s="2" t="s">
        <v>15</v>
      </c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4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L31" s="2" t="s">
        <v>42</v>
      </c>
      <c r="M31" s="2"/>
      <c r="N31" s="2"/>
      <c r="O31" s="2">
        <f>1.74*(J15*(G14-G6)*9.81/G6)^0.5</f>
        <v>8.525124628531831</v>
      </c>
      <c r="P31" s="2" t="s">
        <v>15</v>
      </c>
      <c r="Q31" s="2"/>
      <c r="R31" s="2" t="s">
        <v>45</v>
      </c>
      <c r="S31" s="2"/>
      <c r="T31" s="2"/>
      <c r="U31" s="2">
        <f>((Y31+P11+O31)-((Y31+P11+O31)^2-4*P11*O31)^0.5)/(2*O31)</f>
        <v>0.99494003518302332</v>
      </c>
      <c r="V31" s="2"/>
      <c r="W31" s="2"/>
      <c r="X31" s="2" t="s">
        <v>46</v>
      </c>
      <c r="Y31" s="2">
        <f>4*J13/(3.14*G14*J22^2)</f>
        <v>5.8002639916701244E-2</v>
      </c>
    </row>
    <row r="32" spans="1:2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L33" s="33" t="s">
        <v>47</v>
      </c>
      <c r="M33" s="33"/>
      <c r="N33" s="33"/>
      <c r="O33" s="33"/>
      <c r="P33" s="33">
        <f>W33+W35+W37+W39</f>
        <v>2071.3847907714339</v>
      </c>
      <c r="Q33" s="33" t="s">
        <v>57</v>
      </c>
      <c r="R33" s="33" t="s">
        <v>48</v>
      </c>
      <c r="S33" s="33"/>
      <c r="T33" s="33"/>
      <c r="U33" s="33"/>
      <c r="V33" s="33"/>
      <c r="W33" s="33">
        <f>G6*9.81*G20*U31</f>
        <v>175.68651141261827</v>
      </c>
      <c r="X33" s="33" t="s">
        <v>57</v>
      </c>
      <c r="Y33" s="33"/>
    </row>
    <row r="34" spans="1:2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spans="1:25" ht="21" x14ac:dyDescent="0.4">
      <c r="A35" s="32" t="s">
        <v>66</v>
      </c>
      <c r="B35" s="2"/>
      <c r="C35" s="30" t="s">
        <v>65</v>
      </c>
      <c r="D35" s="30"/>
      <c r="E35" s="30" t="s">
        <v>57</v>
      </c>
      <c r="F35" s="30"/>
      <c r="G35" s="30">
        <v>1500</v>
      </c>
      <c r="H35" s="30"/>
      <c r="I35" s="30"/>
      <c r="J35" s="30"/>
      <c r="L35" s="33"/>
      <c r="M35" s="33"/>
      <c r="N35" s="33"/>
      <c r="O35" s="33"/>
      <c r="P35" s="33"/>
      <c r="Q35" s="33"/>
      <c r="R35" s="33" t="s">
        <v>49</v>
      </c>
      <c r="S35" s="33"/>
      <c r="T35" s="33"/>
      <c r="U35" s="33"/>
      <c r="V35" s="33"/>
      <c r="W35" s="33">
        <f>G14*9.81*G20*(1-U31)</f>
        <v>729.68234636175634</v>
      </c>
      <c r="X35" s="33" t="s">
        <v>57</v>
      </c>
      <c r="Y35" s="33"/>
    </row>
    <row r="36" spans="1:2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1:2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L37" s="33"/>
      <c r="M37" s="33"/>
      <c r="N37" s="33"/>
      <c r="O37" s="33"/>
      <c r="P37" s="33"/>
      <c r="Q37" s="33"/>
      <c r="R37" s="33" t="s">
        <v>50</v>
      </c>
      <c r="S37" s="33"/>
      <c r="T37" s="33"/>
      <c r="U37" s="33"/>
      <c r="V37" s="33"/>
      <c r="W37" s="33">
        <f>2*P19*G6*P15^2*U31*G20/J22</f>
        <v>808.82909919106339</v>
      </c>
      <c r="X37" s="33" t="s">
        <v>57</v>
      </c>
      <c r="Y37" s="33"/>
    </row>
    <row r="38" spans="1:2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2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L39" s="33"/>
      <c r="M39" s="33"/>
      <c r="N39" s="33"/>
      <c r="O39" s="33"/>
      <c r="P39" s="33"/>
      <c r="Q39" s="33"/>
      <c r="R39" s="33" t="s">
        <v>51</v>
      </c>
      <c r="S39" s="33"/>
      <c r="T39" s="33"/>
      <c r="U39" s="33"/>
      <c r="V39" s="33"/>
      <c r="W39" s="33">
        <f>2*P17*G14*O29^2*(1-U31)*G20/J22</f>
        <v>357.18683380599583</v>
      </c>
      <c r="X39" s="33" t="s">
        <v>57</v>
      </c>
      <c r="Y39" s="33"/>
    </row>
    <row r="40" spans="1:2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L41" s="33" t="s">
        <v>63</v>
      </c>
      <c r="M41" s="33"/>
      <c r="N41" s="33"/>
      <c r="O41" s="33"/>
      <c r="P41" s="33">
        <f>(P33*7.5*G21)/G20</f>
        <v>5178.4619769285846</v>
      </c>
      <c r="Q41" s="33" t="s">
        <v>57</v>
      </c>
      <c r="R41" s="33"/>
      <c r="S41" s="33"/>
      <c r="T41" s="33"/>
      <c r="U41" s="33"/>
      <c r="V41" s="33"/>
      <c r="W41" s="33"/>
      <c r="X41" s="33"/>
      <c r="Y41" s="33"/>
    </row>
    <row r="42" spans="1:2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L44" s="2"/>
      <c r="M44" s="2"/>
      <c r="N44" s="2"/>
      <c r="O44" s="2"/>
      <c r="P44" s="20"/>
      <c r="Q44" s="20"/>
      <c r="R44" s="20"/>
      <c r="S44" s="20"/>
      <c r="T44" s="20"/>
      <c r="U44" s="20"/>
      <c r="V44" s="20"/>
      <c r="W44" s="20"/>
      <c r="X44" s="2"/>
      <c r="Y44" s="2"/>
    </row>
    <row r="45" spans="1:2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L45" s="2"/>
      <c r="M45" s="2"/>
      <c r="N45" s="2"/>
      <c r="O45" s="2"/>
      <c r="P45" s="20"/>
      <c r="Q45" s="20" t="s">
        <v>52</v>
      </c>
      <c r="R45" s="20"/>
      <c r="S45" s="20"/>
      <c r="T45" s="20"/>
      <c r="U45" s="20">
        <f>P41+P33+P21</f>
        <v>9876.3881185656137</v>
      </c>
      <c r="V45" s="20" t="s">
        <v>57</v>
      </c>
      <c r="W45" s="20"/>
      <c r="X45" s="2"/>
      <c r="Y45" s="2"/>
    </row>
    <row r="46" spans="1:2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L46" s="2"/>
      <c r="M46" s="2"/>
      <c r="N46" s="2"/>
      <c r="O46" s="2"/>
      <c r="P46" s="20"/>
      <c r="Q46" s="20"/>
      <c r="R46" s="20"/>
      <c r="S46" s="20"/>
      <c r="T46" s="20"/>
      <c r="U46" s="20"/>
      <c r="V46" s="20"/>
      <c r="W46" s="20"/>
      <c r="X46" s="2"/>
      <c r="Y46" s="2"/>
    </row>
    <row r="47" spans="1:2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L47" s="2"/>
      <c r="M47" s="2"/>
      <c r="N47" s="2"/>
      <c r="O47" s="2"/>
      <c r="P47" s="20"/>
      <c r="Q47" s="20" t="s">
        <v>67</v>
      </c>
      <c r="R47" s="20"/>
      <c r="S47" s="20"/>
      <c r="T47" s="20"/>
      <c r="U47" s="20">
        <f>P21+P33+P41+G29+G35</f>
        <v>13876.388118565614</v>
      </c>
      <c r="V47" s="20" t="s">
        <v>57</v>
      </c>
      <c r="W47" s="20"/>
      <c r="X47" s="2"/>
      <c r="Y47" s="2" t="s">
        <v>97</v>
      </c>
    </row>
    <row r="48" spans="1:2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L48" s="2"/>
      <c r="M48" s="2"/>
      <c r="N48" s="2"/>
      <c r="O48" s="2"/>
      <c r="P48" s="20"/>
      <c r="Q48" s="20"/>
      <c r="R48" s="20"/>
      <c r="S48" s="20"/>
      <c r="T48" s="20"/>
      <c r="U48" s="20"/>
      <c r="V48" s="20"/>
      <c r="W48" s="20"/>
      <c r="X48" s="2"/>
      <c r="Y48" s="2"/>
    </row>
    <row r="49" spans="1:2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L49" s="2"/>
      <c r="M49" s="2"/>
      <c r="N49" s="2"/>
      <c r="O49" s="2"/>
      <c r="P49" s="20"/>
      <c r="Q49" s="20" t="s">
        <v>62</v>
      </c>
      <c r="R49" s="20"/>
      <c r="S49" s="20"/>
      <c r="T49" s="20"/>
      <c r="U49" s="20">
        <f>G27*3.14*J22^2*P15/4</f>
        <v>0.11714584496415598</v>
      </c>
      <c r="V49" s="20" t="s">
        <v>59</v>
      </c>
      <c r="W49" s="20"/>
      <c r="X49" s="2"/>
      <c r="Y49" s="2"/>
    </row>
    <row r="50" spans="1:2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L50" s="2"/>
      <c r="M50" s="2"/>
      <c r="N50" s="2"/>
      <c r="O50" s="2"/>
      <c r="P50" s="20"/>
      <c r="Q50" s="20"/>
      <c r="R50" s="20"/>
      <c r="S50" s="20"/>
      <c r="T50" s="20"/>
      <c r="U50" s="20"/>
      <c r="V50" s="20"/>
      <c r="W50" s="20"/>
      <c r="X50" s="2"/>
      <c r="Y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L51" s="2"/>
      <c r="M51" s="2"/>
      <c r="N51" s="2"/>
      <c r="O51" s="2"/>
      <c r="P51" s="20"/>
      <c r="Q51" s="20" t="s">
        <v>61</v>
      </c>
      <c r="R51" s="20"/>
      <c r="S51" s="20"/>
      <c r="T51" s="20"/>
      <c r="U51" s="20">
        <f>U49*U47/(761.9*J28)</f>
        <v>3.5559373741084648</v>
      </c>
      <c r="V51" s="20" t="s">
        <v>60</v>
      </c>
      <c r="W51" s="20"/>
      <c r="X51" s="2"/>
      <c r="Y51" s="2"/>
    </row>
    <row r="52" spans="1:2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L52" s="2"/>
      <c r="M52" s="2"/>
      <c r="N52" s="2"/>
      <c r="O52" s="2"/>
      <c r="P52" s="20"/>
      <c r="Q52" s="20"/>
      <c r="R52" s="20"/>
      <c r="S52" s="20"/>
      <c r="T52" s="20"/>
      <c r="U52" s="20"/>
      <c r="V52" s="20"/>
      <c r="W52" s="20"/>
      <c r="X52" s="2"/>
      <c r="Y52" s="2"/>
    </row>
    <row r="53" spans="1:2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s="20" customFormat="1" ht="17.399999999999999" x14ac:dyDescent="0.3">
      <c r="L58" s="24"/>
      <c r="M58" s="25"/>
    </row>
    <row r="62" spans="1:25" x14ac:dyDescent="0.3">
      <c r="N62" s="3"/>
    </row>
    <row r="66" spans="5:7" x14ac:dyDescent="0.3">
      <c r="E66" s="1"/>
      <c r="F66" s="1"/>
      <c r="G66" s="1"/>
    </row>
    <row r="93" spans="5:7" x14ac:dyDescent="0.3">
      <c r="E93" s="1"/>
      <c r="F93" s="1"/>
      <c r="G93" s="1"/>
    </row>
  </sheetData>
  <mergeCells count="4">
    <mergeCell ref="A19:A20"/>
    <mergeCell ref="A27:A28"/>
    <mergeCell ref="A6:A7"/>
    <mergeCell ref="A13:A14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A9FF-441A-448B-A18F-209FD621F328}">
  <sheetPr>
    <tabColor theme="4" tint="0.79998168889431442"/>
  </sheetPr>
  <dimension ref="B2:X73"/>
  <sheetViews>
    <sheetView zoomScale="85" zoomScaleNormal="85" workbookViewId="0">
      <selection activeCell="AC20" sqref="AC20"/>
    </sheetView>
  </sheetViews>
  <sheetFormatPr defaultRowHeight="14.4" x14ac:dyDescent="0.3"/>
  <sheetData>
    <row r="2" spans="2:24" s="2" customFormat="1" ht="21" x14ac:dyDescent="0.4">
      <c r="I2" s="18" t="s">
        <v>101</v>
      </c>
      <c r="L2" s="18"/>
      <c r="M2" s="19"/>
      <c r="O2" s="34"/>
    </row>
    <row r="3" spans="2:24" x14ac:dyDescent="0.3">
      <c r="D3" s="35"/>
    </row>
    <row r="4" spans="2:24" x14ac:dyDescent="0.3">
      <c r="D4" s="35" t="s">
        <v>102</v>
      </c>
      <c r="L4" s="35" t="s">
        <v>103</v>
      </c>
      <c r="T4" s="35" t="s">
        <v>104</v>
      </c>
    </row>
    <row r="6" spans="2:24" x14ac:dyDescent="0.3">
      <c r="B6" s="44" t="s">
        <v>68</v>
      </c>
      <c r="C6" s="44"/>
      <c r="D6" s="44"/>
      <c r="E6" s="44"/>
      <c r="F6" s="16" t="s">
        <v>69</v>
      </c>
      <c r="G6" s="17" t="s">
        <v>70</v>
      </c>
      <c r="H6" s="17" t="s">
        <v>71</v>
      </c>
      <c r="J6" s="44" t="s">
        <v>91</v>
      </c>
      <c r="K6" s="44"/>
      <c r="L6" s="44"/>
      <c r="M6" s="44"/>
      <c r="N6" s="16" t="s">
        <v>92</v>
      </c>
      <c r="O6" s="17" t="s">
        <v>70</v>
      </c>
      <c r="P6" s="17" t="s">
        <v>71</v>
      </c>
      <c r="R6" s="16" t="s">
        <v>93</v>
      </c>
      <c r="S6" s="16"/>
      <c r="T6" s="16"/>
      <c r="U6" s="16"/>
      <c r="V6" s="17" t="s">
        <v>94</v>
      </c>
      <c r="W6" s="17" t="s">
        <v>70</v>
      </c>
      <c r="X6" s="17" t="s">
        <v>71</v>
      </c>
    </row>
    <row r="7" spans="2:24" x14ac:dyDescent="0.3">
      <c r="B7" s="6" t="s">
        <v>72</v>
      </c>
      <c r="C7" s="6">
        <v>1000</v>
      </c>
      <c r="D7" s="6" t="s">
        <v>73</v>
      </c>
      <c r="E7" s="6" t="s">
        <v>74</v>
      </c>
      <c r="F7" s="13" t="s">
        <v>75</v>
      </c>
      <c r="G7" s="11">
        <v>16177.38</v>
      </c>
      <c r="H7" s="9">
        <v>4.24E-2</v>
      </c>
      <c r="J7" s="6" t="s">
        <v>72</v>
      </c>
      <c r="K7" s="8"/>
      <c r="L7" s="6" t="s">
        <v>73</v>
      </c>
      <c r="M7" s="6" t="s">
        <v>88</v>
      </c>
      <c r="N7" s="13">
        <v>500</v>
      </c>
      <c r="O7" s="11">
        <v>3970.6610000000001</v>
      </c>
      <c r="P7" s="9">
        <v>0.18079999999999999</v>
      </c>
      <c r="R7" s="6" t="s">
        <v>72</v>
      </c>
      <c r="S7" s="6">
        <v>1000</v>
      </c>
      <c r="T7" s="6" t="s">
        <v>73</v>
      </c>
      <c r="U7" s="6" t="s">
        <v>88</v>
      </c>
      <c r="V7" s="14">
        <v>200</v>
      </c>
      <c r="W7" s="11">
        <v>5494.9880000000003</v>
      </c>
      <c r="X7" s="9">
        <v>0.2019</v>
      </c>
    </row>
    <row r="8" spans="2:24" x14ac:dyDescent="0.3">
      <c r="B8" s="6" t="s">
        <v>76</v>
      </c>
      <c r="C8" s="6">
        <v>960</v>
      </c>
      <c r="D8" s="6" t="s">
        <v>77</v>
      </c>
      <c r="E8" s="6" t="s">
        <v>74</v>
      </c>
      <c r="F8" s="13" t="s">
        <v>78</v>
      </c>
      <c r="G8" s="11">
        <v>10415.879999999999</v>
      </c>
      <c r="H8" s="9">
        <v>7.6600000000000001E-2</v>
      </c>
      <c r="J8" s="6" t="s">
        <v>76</v>
      </c>
      <c r="K8" s="6">
        <v>960</v>
      </c>
      <c r="L8" s="6" t="s">
        <v>77</v>
      </c>
      <c r="M8" s="6" t="s">
        <v>74</v>
      </c>
      <c r="N8" s="13">
        <v>1000</v>
      </c>
      <c r="O8" s="11">
        <v>5563.7539999999999</v>
      </c>
      <c r="P8" s="9">
        <v>0.20039999999999999</v>
      </c>
      <c r="R8" s="6" t="s">
        <v>76</v>
      </c>
      <c r="S8" s="8"/>
      <c r="T8" s="6" t="s">
        <v>77</v>
      </c>
      <c r="U8" s="6" t="s">
        <v>88</v>
      </c>
      <c r="V8" s="14">
        <v>400</v>
      </c>
      <c r="W8" s="11">
        <v>5427.3860000000004</v>
      </c>
      <c r="X8" s="9">
        <v>0.20100000000000001</v>
      </c>
    </row>
    <row r="9" spans="2:24" x14ac:dyDescent="0.3">
      <c r="B9" s="6" t="s">
        <v>79</v>
      </c>
      <c r="C9" s="6">
        <v>3</v>
      </c>
      <c r="D9" s="6" t="s">
        <v>16</v>
      </c>
      <c r="E9" s="6" t="s">
        <v>74</v>
      </c>
      <c r="F9" s="13" t="s">
        <v>31</v>
      </c>
      <c r="G9" s="11">
        <v>7669.8</v>
      </c>
      <c r="H9" s="9">
        <v>0.12</v>
      </c>
      <c r="J9" s="6" t="s">
        <v>79</v>
      </c>
      <c r="K9" s="6">
        <v>3</v>
      </c>
      <c r="L9" s="6" t="s">
        <v>16</v>
      </c>
      <c r="M9" s="6" t="s">
        <v>74</v>
      </c>
      <c r="N9" s="13">
        <v>1500</v>
      </c>
      <c r="O9" s="11">
        <v>7011.116</v>
      </c>
      <c r="P9" s="9">
        <v>0.21299999999999999</v>
      </c>
      <c r="R9" s="6" t="s">
        <v>79</v>
      </c>
      <c r="S9" s="6">
        <v>3</v>
      </c>
      <c r="T9" s="6" t="s">
        <v>16</v>
      </c>
      <c r="U9" s="6" t="s">
        <v>74</v>
      </c>
      <c r="V9" s="14">
        <v>600</v>
      </c>
      <c r="W9" s="11">
        <v>5455.3609999999999</v>
      </c>
      <c r="X9" s="9">
        <v>0.20069999999999999</v>
      </c>
    </row>
    <row r="10" spans="2:24" x14ac:dyDescent="0.3">
      <c r="B10" s="6" t="s">
        <v>80</v>
      </c>
      <c r="C10" s="6">
        <v>25</v>
      </c>
      <c r="D10" s="6" t="s">
        <v>81</v>
      </c>
      <c r="E10" s="6" t="s">
        <v>74</v>
      </c>
      <c r="F10" s="13" t="s">
        <v>82</v>
      </c>
      <c r="G10" s="11">
        <v>5563.7539999999999</v>
      </c>
      <c r="H10" s="9">
        <v>0.2</v>
      </c>
      <c r="J10" s="6" t="s">
        <v>80</v>
      </c>
      <c r="K10" s="6">
        <v>25</v>
      </c>
      <c r="L10" s="6" t="s">
        <v>81</v>
      </c>
      <c r="M10" s="6" t="s">
        <v>74</v>
      </c>
      <c r="N10" s="13">
        <v>2000</v>
      </c>
      <c r="O10" s="11">
        <v>8401.0290000000005</v>
      </c>
      <c r="P10" s="9">
        <v>0.22239999999999999</v>
      </c>
      <c r="R10" s="6" t="s">
        <v>80</v>
      </c>
      <c r="S10" s="6">
        <v>25</v>
      </c>
      <c r="T10" s="6" t="s">
        <v>81</v>
      </c>
      <c r="U10" s="6" t="s">
        <v>74</v>
      </c>
      <c r="V10" s="14">
        <v>900</v>
      </c>
      <c r="W10" s="11">
        <v>5542.6509999999998</v>
      </c>
      <c r="X10" s="9">
        <v>0.20050000000000001</v>
      </c>
    </row>
    <row r="11" spans="2:24" x14ac:dyDescent="0.3">
      <c r="B11" s="6" t="s">
        <v>83</v>
      </c>
      <c r="C11" s="6">
        <v>15</v>
      </c>
      <c r="D11" s="6" t="s">
        <v>81</v>
      </c>
      <c r="E11" s="6" t="s">
        <v>74</v>
      </c>
      <c r="F11" s="13" t="s">
        <v>84</v>
      </c>
      <c r="G11" s="11">
        <v>4294.1459999999997</v>
      </c>
      <c r="H11" s="9">
        <v>0.316</v>
      </c>
      <c r="J11" s="6" t="s">
        <v>83</v>
      </c>
      <c r="K11" s="6">
        <v>15</v>
      </c>
      <c r="L11" s="6" t="s">
        <v>81</v>
      </c>
      <c r="M11" s="6" t="s">
        <v>74</v>
      </c>
      <c r="N11" s="13">
        <v>2500</v>
      </c>
      <c r="O11" s="11">
        <v>9763.625</v>
      </c>
      <c r="P11" s="9">
        <v>0.23</v>
      </c>
      <c r="R11" s="6" t="s">
        <v>83</v>
      </c>
      <c r="S11" s="6">
        <v>15</v>
      </c>
      <c r="T11" s="6" t="s">
        <v>81</v>
      </c>
      <c r="U11" s="6" t="s">
        <v>74</v>
      </c>
      <c r="V11" s="14">
        <v>1000</v>
      </c>
      <c r="W11" s="11">
        <v>5578.36</v>
      </c>
      <c r="X11" s="9">
        <v>0.20047000000000001</v>
      </c>
    </row>
    <row r="12" spans="2:24" x14ac:dyDescent="0.3">
      <c r="B12" s="6" t="s">
        <v>85</v>
      </c>
      <c r="C12" s="6">
        <v>3</v>
      </c>
      <c r="D12" s="6"/>
      <c r="E12" s="6" t="s">
        <v>74</v>
      </c>
      <c r="F12" s="13" t="s">
        <v>86</v>
      </c>
      <c r="G12" s="11">
        <v>3510.04</v>
      </c>
      <c r="H12" s="9">
        <v>0.46989999999999998</v>
      </c>
      <c r="J12" s="6" t="s">
        <v>85</v>
      </c>
      <c r="K12" s="6">
        <v>3</v>
      </c>
      <c r="L12" s="6"/>
      <c r="M12" s="6" t="s">
        <v>74</v>
      </c>
      <c r="N12" s="13">
        <v>3000</v>
      </c>
      <c r="O12" s="11">
        <v>11112.92</v>
      </c>
      <c r="P12" s="9">
        <v>0.2366</v>
      </c>
      <c r="R12" s="6" t="s">
        <v>85</v>
      </c>
      <c r="S12" s="6">
        <v>3</v>
      </c>
      <c r="T12" s="6"/>
      <c r="U12" s="6" t="s">
        <v>74</v>
      </c>
      <c r="V12" s="14">
        <v>1200</v>
      </c>
      <c r="W12" s="11">
        <v>5657.3490000000002</v>
      </c>
      <c r="X12" s="9">
        <v>0.20041400000000001</v>
      </c>
    </row>
    <row r="13" spans="2:24" x14ac:dyDescent="0.3">
      <c r="B13" s="6" t="s">
        <v>69</v>
      </c>
      <c r="C13" s="7"/>
      <c r="D13" s="6" t="s">
        <v>87</v>
      </c>
      <c r="E13" s="6" t="s">
        <v>88</v>
      </c>
      <c r="F13" s="13" t="s">
        <v>89</v>
      </c>
      <c r="G13" s="11">
        <v>2666.1219999999998</v>
      </c>
      <c r="H13" s="9">
        <v>0.86799999999999999</v>
      </c>
      <c r="J13" s="6" t="s">
        <v>69</v>
      </c>
      <c r="K13" s="6">
        <v>100</v>
      </c>
      <c r="L13" s="6" t="s">
        <v>87</v>
      </c>
      <c r="M13" s="6" t="s">
        <v>74</v>
      </c>
      <c r="N13" s="13">
        <v>3500</v>
      </c>
      <c r="O13" s="11">
        <v>12456.57</v>
      </c>
      <c r="P13" s="9">
        <v>0.2422</v>
      </c>
      <c r="R13" s="6" t="s">
        <v>69</v>
      </c>
      <c r="S13" s="6">
        <v>100</v>
      </c>
      <c r="T13" s="6" t="s">
        <v>87</v>
      </c>
      <c r="U13" s="6" t="s">
        <v>74</v>
      </c>
      <c r="V13" s="14">
        <v>1600</v>
      </c>
      <c r="W13" s="11">
        <v>5843.4939999999997</v>
      </c>
      <c r="X13" s="9">
        <v>0.20033000000000001</v>
      </c>
    </row>
    <row r="14" spans="2:24" x14ac:dyDescent="0.3">
      <c r="B14" s="3"/>
      <c r="C14" s="3"/>
      <c r="D14" s="3"/>
      <c r="E14" s="3"/>
      <c r="F14" s="13" t="s">
        <v>90</v>
      </c>
      <c r="G14" s="11">
        <v>2218.1350000000002</v>
      </c>
      <c r="H14" s="9">
        <v>1.409</v>
      </c>
      <c r="J14" s="3"/>
      <c r="K14" s="3"/>
      <c r="L14" s="3"/>
      <c r="M14" s="3"/>
      <c r="N14" s="13">
        <v>4000</v>
      </c>
      <c r="O14" s="11">
        <v>13799.19</v>
      </c>
      <c r="P14" s="9">
        <v>0.24729999999999999</v>
      </c>
      <c r="R14" s="6"/>
      <c r="S14" s="6"/>
      <c r="T14" s="6"/>
      <c r="U14" s="6"/>
      <c r="V14" s="14">
        <v>2000</v>
      </c>
      <c r="W14" s="11">
        <v>6069.9049999999997</v>
      </c>
      <c r="X14" s="9">
        <v>0.200293</v>
      </c>
    </row>
    <row r="15" spans="2:24" x14ac:dyDescent="0.3">
      <c r="F15" s="4"/>
    </row>
    <row r="51" spans="2:24" s="2" customFormat="1" x14ac:dyDescent="0.3"/>
    <row r="53" spans="2:24" x14ac:dyDescent="0.3">
      <c r="D53" s="35" t="s">
        <v>105</v>
      </c>
      <c r="L53" s="35" t="s">
        <v>106</v>
      </c>
      <c r="T53" s="35" t="s">
        <v>107</v>
      </c>
    </row>
    <row r="55" spans="2:24" x14ac:dyDescent="0.3">
      <c r="B55" s="16" t="s">
        <v>98</v>
      </c>
      <c r="C55" s="16"/>
      <c r="D55" s="16"/>
      <c r="E55" s="16"/>
      <c r="F55" s="16" t="s">
        <v>96</v>
      </c>
      <c r="G55" s="17" t="s">
        <v>70</v>
      </c>
      <c r="H55" s="17" t="s">
        <v>71</v>
      </c>
      <c r="J55" s="44" t="s">
        <v>95</v>
      </c>
      <c r="K55" s="44"/>
      <c r="L55" s="44"/>
      <c r="M55" s="44"/>
      <c r="N55" s="16" t="s">
        <v>99</v>
      </c>
      <c r="O55" s="17" t="s">
        <v>70</v>
      </c>
      <c r="P55" s="17" t="s">
        <v>71</v>
      </c>
      <c r="R55" s="44" t="s">
        <v>100</v>
      </c>
      <c r="S55" s="44"/>
      <c r="T55" s="44"/>
      <c r="U55" s="44"/>
      <c r="V55" s="16" t="s">
        <v>80</v>
      </c>
      <c r="W55" s="17" t="s">
        <v>70</v>
      </c>
      <c r="X55" s="17" t="s">
        <v>71</v>
      </c>
    </row>
    <row r="56" spans="2:24" x14ac:dyDescent="0.3">
      <c r="B56" s="6" t="s">
        <v>72</v>
      </c>
      <c r="C56" s="6">
        <v>1000</v>
      </c>
      <c r="D56" s="6" t="s">
        <v>73</v>
      </c>
      <c r="E56" s="6" t="s">
        <v>74</v>
      </c>
      <c r="F56" s="13">
        <v>5</v>
      </c>
      <c r="G56" s="11">
        <v>4600.0129999999999</v>
      </c>
      <c r="H56" s="9">
        <v>0.20039999999999999</v>
      </c>
      <c r="J56" s="6" t="s">
        <v>72</v>
      </c>
      <c r="K56" s="6">
        <v>1000</v>
      </c>
      <c r="L56" s="6" t="s">
        <v>73</v>
      </c>
      <c r="M56" s="6" t="s">
        <v>74</v>
      </c>
      <c r="N56" s="13">
        <v>0.1</v>
      </c>
      <c r="O56" s="11">
        <v>22817.85</v>
      </c>
      <c r="P56" s="9">
        <v>0.14149</v>
      </c>
      <c r="R56" s="6" t="s">
        <v>72</v>
      </c>
      <c r="S56" s="6">
        <v>1000</v>
      </c>
      <c r="T56" s="6" t="s">
        <v>73</v>
      </c>
      <c r="U56" s="6" t="s">
        <v>74</v>
      </c>
      <c r="V56" s="13">
        <v>10</v>
      </c>
      <c r="W56" s="11">
        <v>4684.8609999999999</v>
      </c>
      <c r="X56" s="9">
        <v>0.20039999999999999</v>
      </c>
    </row>
    <row r="57" spans="2:24" x14ac:dyDescent="0.3">
      <c r="B57" s="6" t="s">
        <v>76</v>
      </c>
      <c r="C57" s="6">
        <v>960</v>
      </c>
      <c r="D57" s="6" t="s">
        <v>77</v>
      </c>
      <c r="E57" s="6" t="s">
        <v>74</v>
      </c>
      <c r="F57" s="13">
        <v>10</v>
      </c>
      <c r="G57" s="11">
        <v>5081.8829999999998</v>
      </c>
      <c r="H57" s="9">
        <v>0.20039999999999999</v>
      </c>
      <c r="J57" s="6" t="s">
        <v>76</v>
      </c>
      <c r="K57" s="6">
        <v>960</v>
      </c>
      <c r="L57" s="6" t="s">
        <v>77</v>
      </c>
      <c r="M57" s="6" t="s">
        <v>74</v>
      </c>
      <c r="N57" s="13">
        <v>0.3</v>
      </c>
      <c r="O57" s="11">
        <v>8942.5580000000009</v>
      </c>
      <c r="P57" s="9">
        <v>0.14760000000000001</v>
      </c>
      <c r="R57" s="6" t="s">
        <v>76</v>
      </c>
      <c r="S57" s="6">
        <v>960</v>
      </c>
      <c r="T57" s="6" t="s">
        <v>77</v>
      </c>
      <c r="U57" s="6" t="s">
        <v>74</v>
      </c>
      <c r="V57" s="13">
        <v>20</v>
      </c>
      <c r="W57" s="11">
        <v>5270.79</v>
      </c>
      <c r="X57" s="9">
        <v>0.20039999999999999</v>
      </c>
    </row>
    <row r="58" spans="2:24" x14ac:dyDescent="0.3">
      <c r="B58" s="6" t="s">
        <v>79</v>
      </c>
      <c r="C58" s="6">
        <v>3</v>
      </c>
      <c r="D58" s="6" t="s">
        <v>16</v>
      </c>
      <c r="E58" s="6" t="s">
        <v>74</v>
      </c>
      <c r="F58" s="13">
        <v>15</v>
      </c>
      <c r="G58" s="11">
        <v>5563.7539999999999</v>
      </c>
      <c r="H58" s="9">
        <v>0.20039999999999999</v>
      </c>
      <c r="J58" s="6" t="s">
        <v>79</v>
      </c>
      <c r="K58" s="8"/>
      <c r="L58" s="6" t="s">
        <v>16</v>
      </c>
      <c r="M58" s="6" t="s">
        <v>88</v>
      </c>
      <c r="N58" s="13">
        <v>0.6</v>
      </c>
      <c r="O58" s="11">
        <v>6442.0730000000003</v>
      </c>
      <c r="P58" s="9">
        <v>0.15611</v>
      </c>
      <c r="R58" s="6" t="s">
        <v>79</v>
      </c>
      <c r="S58" s="6">
        <v>3</v>
      </c>
      <c r="T58" s="6" t="s">
        <v>16</v>
      </c>
      <c r="U58" s="6" t="s">
        <v>74</v>
      </c>
      <c r="V58" s="13">
        <v>30</v>
      </c>
      <c r="W58" s="11">
        <v>5856.7179999999998</v>
      </c>
      <c r="X58" s="9">
        <v>0.20039999999999999</v>
      </c>
    </row>
    <row r="59" spans="2:24" x14ac:dyDescent="0.3">
      <c r="B59" s="6" t="s">
        <v>80</v>
      </c>
      <c r="C59" s="6">
        <v>25</v>
      </c>
      <c r="D59" s="6" t="s">
        <v>81</v>
      </c>
      <c r="E59" s="6" t="s">
        <v>74</v>
      </c>
      <c r="F59" s="13">
        <v>20</v>
      </c>
      <c r="G59" s="11">
        <v>6045.6239999999998</v>
      </c>
      <c r="H59" s="9">
        <v>0.20039999999999999</v>
      </c>
      <c r="J59" s="6" t="s">
        <v>80</v>
      </c>
      <c r="K59" s="6">
        <v>25</v>
      </c>
      <c r="L59" s="6" t="s">
        <v>81</v>
      </c>
      <c r="M59" s="6" t="s">
        <v>74</v>
      </c>
      <c r="N59" s="13">
        <v>1</v>
      </c>
      <c r="O59" s="11">
        <v>5673.4480000000003</v>
      </c>
      <c r="P59" s="9">
        <v>0.16603000000000001</v>
      </c>
      <c r="R59" s="6" t="s">
        <v>80</v>
      </c>
      <c r="S59" s="8"/>
      <c r="T59" s="6" t="s">
        <v>81</v>
      </c>
      <c r="U59" s="6" t="s">
        <v>88</v>
      </c>
      <c r="V59" s="13">
        <v>40</v>
      </c>
      <c r="W59" s="11">
        <v>6442.6459999999997</v>
      </c>
      <c r="X59" s="9">
        <v>0.20039999999999999</v>
      </c>
    </row>
    <row r="60" spans="2:24" x14ac:dyDescent="0.3">
      <c r="B60" s="6" t="s">
        <v>83</v>
      </c>
      <c r="C60" s="8"/>
      <c r="D60" s="6" t="s">
        <v>81</v>
      </c>
      <c r="E60" s="6" t="s">
        <v>88</v>
      </c>
      <c r="F60" s="13">
        <v>25</v>
      </c>
      <c r="G60" s="11">
        <v>6527.4939999999997</v>
      </c>
      <c r="H60" s="9">
        <v>0.20039999999999999</v>
      </c>
      <c r="J60" s="6" t="s">
        <v>83</v>
      </c>
      <c r="K60" s="6">
        <v>15</v>
      </c>
      <c r="L60" s="6" t="s">
        <v>81</v>
      </c>
      <c r="M60" s="6" t="s">
        <v>74</v>
      </c>
      <c r="N60" s="13">
        <v>2</v>
      </c>
      <c r="O60" s="11">
        <v>5419.4740000000002</v>
      </c>
      <c r="P60" s="9">
        <v>0.18579999999999999</v>
      </c>
      <c r="R60" s="6" t="s">
        <v>83</v>
      </c>
      <c r="S60" s="6">
        <v>15</v>
      </c>
      <c r="T60" s="6" t="s">
        <v>81</v>
      </c>
      <c r="U60" s="6" t="s">
        <v>74</v>
      </c>
      <c r="V60" s="13">
        <v>50</v>
      </c>
      <c r="W60" s="11">
        <v>7028.5739999999996</v>
      </c>
      <c r="X60" s="9">
        <v>0.20039999999999999</v>
      </c>
    </row>
    <row r="61" spans="2:24" x14ac:dyDescent="0.3">
      <c r="B61" s="6" t="s">
        <v>85</v>
      </c>
      <c r="C61" s="6">
        <v>3</v>
      </c>
      <c r="D61" s="6"/>
      <c r="E61" s="6" t="s">
        <v>74</v>
      </c>
      <c r="F61" s="13">
        <v>30</v>
      </c>
      <c r="G61" s="11">
        <v>7009.3649999999998</v>
      </c>
      <c r="H61" s="9">
        <v>0.20039999999999999</v>
      </c>
      <c r="J61" s="6" t="s">
        <v>85</v>
      </c>
      <c r="K61" s="6">
        <v>3</v>
      </c>
      <c r="L61" s="6"/>
      <c r="M61" s="6" t="s">
        <v>74</v>
      </c>
      <c r="N61" s="13">
        <v>3</v>
      </c>
      <c r="O61" s="11">
        <v>5563.7539999999999</v>
      </c>
      <c r="P61" s="9">
        <v>0.20039999999999999</v>
      </c>
      <c r="R61" s="6" t="s">
        <v>85</v>
      </c>
      <c r="S61" s="6">
        <v>3</v>
      </c>
      <c r="T61" s="6"/>
      <c r="U61" s="6" t="s">
        <v>74</v>
      </c>
      <c r="V61" s="13">
        <v>60</v>
      </c>
      <c r="W61" s="11">
        <v>7614.5020000000004</v>
      </c>
      <c r="X61" s="9">
        <v>0.20039999999999999</v>
      </c>
    </row>
    <row r="62" spans="2:24" x14ac:dyDescent="0.3">
      <c r="B62" s="6" t="s">
        <v>69</v>
      </c>
      <c r="C62" s="6">
        <v>100</v>
      </c>
      <c r="D62" s="6" t="s">
        <v>87</v>
      </c>
      <c r="E62" s="6" t="s">
        <v>74</v>
      </c>
      <c r="F62" s="13">
        <v>35</v>
      </c>
      <c r="G62" s="11">
        <v>7491.2349999999997</v>
      </c>
      <c r="H62" s="9">
        <v>0.20039999999999999</v>
      </c>
      <c r="J62" s="6" t="s">
        <v>69</v>
      </c>
      <c r="K62" s="6">
        <v>100</v>
      </c>
      <c r="L62" s="6" t="s">
        <v>87</v>
      </c>
      <c r="M62" s="6" t="s">
        <v>74</v>
      </c>
      <c r="N62" s="13">
        <v>5</v>
      </c>
      <c r="O62" s="11">
        <v>5975.2079999999996</v>
      </c>
      <c r="P62" s="9">
        <v>0.22070000000000001</v>
      </c>
      <c r="R62" s="6" t="s">
        <v>69</v>
      </c>
      <c r="S62" s="6">
        <v>100</v>
      </c>
      <c r="T62" s="6" t="s">
        <v>87</v>
      </c>
      <c r="U62" s="6" t="s">
        <v>74</v>
      </c>
      <c r="V62" s="13">
        <v>70</v>
      </c>
      <c r="W62" s="11">
        <v>8200.43</v>
      </c>
      <c r="X62" s="9">
        <v>0.20039999999999999</v>
      </c>
    </row>
    <row r="63" spans="2:24" x14ac:dyDescent="0.3">
      <c r="B63" s="6"/>
      <c r="C63" s="6"/>
      <c r="D63" s="6"/>
      <c r="E63" s="6"/>
      <c r="F63" s="13">
        <v>40</v>
      </c>
      <c r="G63" s="11">
        <v>7973.1049999999996</v>
      </c>
      <c r="H63" s="9">
        <v>0.20039999999999999</v>
      </c>
      <c r="I63" s="3"/>
      <c r="J63" s="6"/>
      <c r="K63" s="6"/>
      <c r="L63" s="6"/>
      <c r="M63" s="6"/>
      <c r="N63" s="13">
        <v>8</v>
      </c>
      <c r="O63" s="11">
        <v>6531.982</v>
      </c>
      <c r="P63" s="9">
        <v>0.23910000000000001</v>
      </c>
      <c r="R63" s="6"/>
      <c r="S63" s="6"/>
      <c r="T63" s="6"/>
      <c r="U63" s="6"/>
      <c r="V63" s="13">
        <v>80</v>
      </c>
      <c r="W63" s="11">
        <v>8786.3590000000004</v>
      </c>
      <c r="X63" s="9">
        <v>0.20039999999999999</v>
      </c>
    </row>
    <row r="64" spans="2:24" x14ac:dyDescent="0.3">
      <c r="B64" s="6"/>
      <c r="C64" s="6"/>
      <c r="D64" s="6"/>
      <c r="E64" s="6"/>
      <c r="F64" s="13">
        <v>45</v>
      </c>
      <c r="G64" s="11">
        <v>8494.5759999999991</v>
      </c>
      <c r="H64" s="9">
        <v>0.20039999999999999</v>
      </c>
      <c r="I64" s="3"/>
      <c r="J64" s="6"/>
      <c r="K64" s="6"/>
      <c r="L64" s="6"/>
      <c r="M64" s="6"/>
      <c r="N64" s="13">
        <v>10</v>
      </c>
      <c r="O64" s="11">
        <v>6852.6750000000002</v>
      </c>
      <c r="P64" s="9">
        <v>0.24726000000000001</v>
      </c>
      <c r="R64" s="6"/>
      <c r="S64" s="6"/>
      <c r="T64" s="6"/>
      <c r="U64" s="6"/>
      <c r="V64" s="13">
        <v>90</v>
      </c>
      <c r="W64" s="11">
        <v>9372.2870000000003</v>
      </c>
      <c r="X64" s="9">
        <v>0.20039999999999999</v>
      </c>
    </row>
    <row r="65" spans="2:24" x14ac:dyDescent="0.3">
      <c r="B65" s="6"/>
      <c r="C65" s="6"/>
      <c r="D65" s="6"/>
      <c r="E65" s="6"/>
      <c r="F65" s="13">
        <v>50</v>
      </c>
      <c r="G65" s="11">
        <v>8936.8459999999995</v>
      </c>
      <c r="H65" s="9">
        <v>0.20039999999999999</v>
      </c>
      <c r="I65" s="3"/>
      <c r="J65" s="6"/>
      <c r="K65" s="6"/>
      <c r="L65" s="6"/>
      <c r="M65" s="6"/>
      <c r="N65" s="13">
        <v>12</v>
      </c>
      <c r="O65" s="11">
        <v>7149.8710000000001</v>
      </c>
      <c r="P65" s="9">
        <v>0.25337999999999999</v>
      </c>
      <c r="R65" s="6"/>
      <c r="S65" s="6"/>
      <c r="T65" s="6"/>
      <c r="U65" s="6"/>
      <c r="V65" s="13">
        <v>100</v>
      </c>
      <c r="W65" s="11">
        <v>9958.2150000000001</v>
      </c>
      <c r="X65" s="9">
        <v>0.20039999999999999</v>
      </c>
    </row>
    <row r="66" spans="2:24" x14ac:dyDescent="0.3">
      <c r="I66" s="3"/>
      <c r="J66" s="5"/>
      <c r="K66" s="5"/>
      <c r="L66" s="5"/>
      <c r="M66" s="5"/>
      <c r="N66" s="15">
        <v>15</v>
      </c>
      <c r="O66" s="12">
        <v>7582.3429999999998</v>
      </c>
      <c r="P66" s="10">
        <v>0.26019999999999999</v>
      </c>
      <c r="R66" s="6"/>
      <c r="S66" s="6"/>
      <c r="T66" s="6"/>
      <c r="U66" s="6"/>
      <c r="V66" s="13">
        <v>200</v>
      </c>
      <c r="W66" s="11">
        <v>15817.5</v>
      </c>
      <c r="X66" s="9">
        <v>0.20039999999999999</v>
      </c>
    </row>
    <row r="67" spans="2:24" x14ac:dyDescent="0.3">
      <c r="I67" s="3"/>
    </row>
    <row r="68" spans="2:24" x14ac:dyDescent="0.3">
      <c r="I68" s="3"/>
    </row>
    <row r="69" spans="2:24" x14ac:dyDescent="0.3">
      <c r="I69" s="3"/>
    </row>
    <row r="70" spans="2:24" x14ac:dyDescent="0.3">
      <c r="I70" s="3"/>
    </row>
    <row r="71" spans="2:24" x14ac:dyDescent="0.3">
      <c r="I71" s="3"/>
    </row>
    <row r="72" spans="2:24" x14ac:dyDescent="0.3">
      <c r="I72" s="3"/>
    </row>
    <row r="73" spans="2:24" x14ac:dyDescent="0.3">
      <c r="I73" s="3"/>
    </row>
  </sheetData>
  <mergeCells count="4">
    <mergeCell ref="B6:E6"/>
    <mergeCell ref="J6:M6"/>
    <mergeCell ref="J55:M55"/>
    <mergeCell ref="R55:U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PCS Simulation </vt:lpstr>
      <vt:lpstr>PCS Calculations</vt:lpstr>
      <vt:lpstr>Trend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</dc:creator>
  <cp:lastModifiedBy>Maheep Nigam</cp:lastModifiedBy>
  <dcterms:created xsi:type="dcterms:W3CDTF">2023-06-09T14:56:10Z</dcterms:created>
  <dcterms:modified xsi:type="dcterms:W3CDTF">2025-10-10T18:54:53Z</dcterms:modified>
</cp:coreProperties>
</file>