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drawings/drawing2.xml" ContentType="application/vnd.openxmlformats-officedocument.drawing+xml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embeddings/oleObject9.bin" ContentType="application/vnd.openxmlformats-officedocument.oleObject"/>
  <Override PartName="/xl/drawings/drawing3.xml" ContentType="application/vnd.openxmlformats-officedocument.drawing+xml"/>
  <Override PartName="/xl/embeddings/oleObject10.bin" ContentType="application/vnd.openxmlformats-officedocument.oleObject"/>
  <Override PartName="/xl/embeddings/oleObject11.bin" ContentType="application/vnd.openxmlformats-officedocument.oleObject"/>
  <Override PartName="/xl/embeddings/oleObject12.bin" ContentType="application/vnd.openxmlformats-officedocument.oleObject"/>
  <Override PartName="/xl/embeddings/oleObject13.bin" ContentType="application/vnd.openxmlformats-officedocument.oleObject"/>
  <Override PartName="/xl/embeddings/oleObject14.bin" ContentType="application/vnd.openxmlformats-officedocument.oleObject"/>
  <Override PartName="/xl/drawings/drawing4.xml" ContentType="application/vnd.openxmlformats-officedocument.drawing+xml"/>
  <Override PartName="/xl/embeddings/oleObject15.bin" ContentType="application/vnd.openxmlformats-officedocument.oleObject"/>
  <Override PartName="/xl/embeddings/oleObject16.bin" ContentType="application/vnd.openxmlformats-officedocument.oleObject"/>
  <Override PartName="/xl/embeddings/oleObject17.bin" ContentType="application/vnd.openxmlformats-officedocument.oleObject"/>
  <Override PartName="/xl/embeddings/oleObject18.bin" ContentType="application/vnd.openxmlformats-officedocument.oleObject"/>
  <Override PartName="/xl/embeddings/oleObject19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ihel\Desktop\nihel\2eme année\S2\procédés industriels\"/>
    </mc:Choice>
  </mc:AlternateContent>
  <bookViews>
    <workbookView minimized="1" xWindow="0" yWindow="0" windowWidth="24000" windowHeight="9735" activeTab="2"/>
  </bookViews>
  <sheets>
    <sheet name="Pression de bulle" sheetId="3" r:id="rId1"/>
    <sheet name="pression de Rosée" sheetId="4" r:id="rId2"/>
    <sheet name="Température de bulle" sheetId="5" r:id="rId3"/>
    <sheet name="tempértaure de Rosée" sheetId="6" r:id="rId4"/>
  </sheets>
  <definedNames>
    <definedName name="solver_adj" localSheetId="0" hidden="1">'Pression de bulle'!#REF!</definedName>
    <definedName name="solver_adj" localSheetId="1" hidden="1">'pression de Rosée'!#REF!</definedName>
    <definedName name="solver_adj" localSheetId="2" hidden="1">'Température de bulle'!#REF!</definedName>
    <definedName name="solver_adj" localSheetId="3" hidden="1">'tempértaure de Rosée'!#REF!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cvg" localSheetId="3" hidden="1">0.0001</definedName>
    <definedName name="solver_drv" localSheetId="0" hidden="1">1</definedName>
    <definedName name="solver_drv" localSheetId="1" hidden="1">1</definedName>
    <definedName name="solver_drv" localSheetId="2" hidden="1">1</definedName>
    <definedName name="solver_drv" localSheetId="3" hidden="1">1</definedName>
    <definedName name="solver_eng" localSheetId="0" hidden="1">1</definedName>
    <definedName name="solver_eng" localSheetId="1" hidden="1">1</definedName>
    <definedName name="solver_eng" localSheetId="2" hidden="1">1</definedName>
    <definedName name="solver_eng" localSheetId="3" hidden="1">1</definedName>
    <definedName name="solver_est" localSheetId="0" hidden="1">1</definedName>
    <definedName name="solver_est" localSheetId="1" hidden="1">1</definedName>
    <definedName name="solver_est" localSheetId="2" hidden="1">1</definedName>
    <definedName name="solver_est" localSheetId="3" hidden="1">1</definedName>
    <definedName name="solver_itr" localSheetId="0" hidden="1">2147483647</definedName>
    <definedName name="solver_itr" localSheetId="1" hidden="1">2147483647</definedName>
    <definedName name="solver_itr" localSheetId="2" hidden="1">2147483647</definedName>
    <definedName name="solver_itr" localSheetId="3" hidden="1">2147483647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ip" localSheetId="3" hidden="1">2147483647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ni" localSheetId="3" hidden="1">30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rt" localSheetId="3" hidden="1">0.075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msl" localSheetId="3" hidden="1">2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eg" localSheetId="3" hidden="1">1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od" localSheetId="3" hidden="1">2147483647</definedName>
    <definedName name="solver_num" localSheetId="0" hidden="1">0</definedName>
    <definedName name="solver_num" localSheetId="1" hidden="1">0</definedName>
    <definedName name="solver_num" localSheetId="2" hidden="1">0</definedName>
    <definedName name="solver_num" localSheetId="3" hidden="1">0</definedName>
    <definedName name="solver_nwt" localSheetId="0" hidden="1">1</definedName>
    <definedName name="solver_nwt" localSheetId="1" hidden="1">1</definedName>
    <definedName name="solver_nwt" localSheetId="2" hidden="1">1</definedName>
    <definedName name="solver_nwt" localSheetId="3" hidden="1">1</definedName>
    <definedName name="solver_opt" localSheetId="0" hidden="1">'Pression de bulle'!#REF!</definedName>
    <definedName name="solver_opt" localSheetId="1" hidden="1">'pression de Rosée'!#REF!</definedName>
    <definedName name="solver_opt" localSheetId="2" hidden="1">'Température de bulle'!#REF!</definedName>
    <definedName name="solver_opt" localSheetId="3" hidden="1">'tempértaure de Rosée'!#REF!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pre" localSheetId="3" hidden="1">0.000001</definedName>
    <definedName name="solver_rbv" localSheetId="0" hidden="1">1</definedName>
    <definedName name="solver_rbv" localSheetId="1" hidden="1">1</definedName>
    <definedName name="solver_rbv" localSheetId="2" hidden="1">1</definedName>
    <definedName name="solver_rbv" localSheetId="3" hidden="1">1</definedName>
    <definedName name="solver_rlx" localSheetId="0" hidden="1">2</definedName>
    <definedName name="solver_rlx" localSheetId="1" hidden="1">2</definedName>
    <definedName name="solver_rlx" localSheetId="2" hidden="1">2</definedName>
    <definedName name="solver_rlx" localSheetId="3" hidden="1">2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rsd" localSheetId="3" hidden="1">0</definedName>
    <definedName name="solver_scl" localSheetId="0" hidden="1">1</definedName>
    <definedName name="solver_scl" localSheetId="1" hidden="1">1</definedName>
    <definedName name="solver_scl" localSheetId="2" hidden="1">1</definedName>
    <definedName name="solver_scl" localSheetId="3" hidden="1">1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ssz" localSheetId="3" hidden="1">100</definedName>
    <definedName name="solver_tim" localSheetId="0" hidden="1">2147483647</definedName>
    <definedName name="solver_tim" localSheetId="1" hidden="1">2147483647</definedName>
    <definedName name="solver_tim" localSheetId="2" hidden="1">2147483647</definedName>
    <definedName name="solver_tim" localSheetId="3" hidden="1">2147483647</definedName>
    <definedName name="solver_tol" localSheetId="0" hidden="1">0.01</definedName>
    <definedName name="solver_tol" localSheetId="1" hidden="1">0.01</definedName>
    <definedName name="solver_tol" localSheetId="2" hidden="1">0.01</definedName>
    <definedName name="solver_tol" localSheetId="3" hidden="1">0.01</definedName>
    <definedName name="solver_typ" localSheetId="0" hidden="1">3</definedName>
    <definedName name="solver_typ" localSheetId="1" hidden="1">3</definedName>
    <definedName name="solver_typ" localSheetId="2" hidden="1">3</definedName>
    <definedName name="solver_typ" localSheetId="3" hidden="1">3</definedName>
    <definedName name="solver_val" localSheetId="0" hidden="1">1</definedName>
    <definedName name="solver_val" localSheetId="1" hidden="1">1</definedName>
    <definedName name="solver_val" localSheetId="2" hidden="1">1</definedName>
    <definedName name="solver_val" localSheetId="3" hidden="1">1</definedName>
    <definedName name="solver_ver" localSheetId="0" hidden="1">3</definedName>
    <definedName name="solver_ver" localSheetId="1" hidden="1">3</definedName>
    <definedName name="solver_ver" localSheetId="2" hidden="1">3</definedName>
    <definedName name="solver_ver" localSheetId="3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6" l="1"/>
  <c r="E14" i="6" l="1"/>
  <c r="M16" i="6" l="1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K16" i="6"/>
  <c r="J16" i="6"/>
  <c r="I16" i="6"/>
  <c r="H16" i="6"/>
  <c r="G16" i="6"/>
  <c r="E17" i="6"/>
  <c r="L15" i="6"/>
  <c r="L16" i="6"/>
  <c r="D16" i="6"/>
  <c r="D17" i="6"/>
  <c r="C17" i="6"/>
  <c r="H17" i="6" s="1"/>
  <c r="A17" i="6"/>
  <c r="B17" i="6" s="1"/>
  <c r="J17" i="6" s="1"/>
  <c r="D18" i="6" s="1"/>
  <c r="L14" i="6"/>
  <c r="K14" i="6"/>
  <c r="F14" i="6"/>
  <c r="D15" i="6"/>
  <c r="C15" i="6"/>
  <c r="J14" i="6"/>
  <c r="I14" i="6"/>
  <c r="H14" i="6"/>
  <c r="G14" i="6"/>
  <c r="B14" i="6"/>
  <c r="A14" i="6"/>
  <c r="E11" i="6"/>
  <c r="K15" i="5"/>
  <c r="L16" i="5"/>
  <c r="L17" i="5"/>
  <c r="L18" i="5"/>
  <c r="L19" i="5"/>
  <c r="L20" i="5"/>
  <c r="L21" i="5"/>
  <c r="L22" i="5"/>
  <c r="L23" i="5"/>
  <c r="L24" i="5"/>
  <c r="L25" i="5"/>
  <c r="L26" i="5"/>
  <c r="L27" i="5"/>
  <c r="K16" i="5"/>
  <c r="K17" i="5"/>
  <c r="K18" i="5"/>
  <c r="K19" i="5"/>
  <c r="K20" i="5"/>
  <c r="K21" i="5"/>
  <c r="K22" i="5"/>
  <c r="K23" i="5"/>
  <c r="K24" i="5"/>
  <c r="K25" i="5"/>
  <c r="K26" i="5"/>
  <c r="K27" i="5"/>
  <c r="J16" i="5"/>
  <c r="J17" i="5"/>
  <c r="J18" i="5"/>
  <c r="J19" i="5"/>
  <c r="J20" i="5"/>
  <c r="J21" i="5"/>
  <c r="J22" i="5"/>
  <c r="J23" i="5"/>
  <c r="J24" i="5"/>
  <c r="J25" i="5"/>
  <c r="J26" i="5"/>
  <c r="J27" i="5"/>
  <c r="I16" i="5"/>
  <c r="I17" i="5"/>
  <c r="I18" i="5"/>
  <c r="I19" i="5"/>
  <c r="I20" i="5"/>
  <c r="I21" i="5"/>
  <c r="I22" i="5"/>
  <c r="I23" i="5"/>
  <c r="I24" i="5"/>
  <c r="I25" i="5"/>
  <c r="I26" i="5"/>
  <c r="I27" i="5"/>
  <c r="H16" i="5"/>
  <c r="G16" i="5"/>
  <c r="F16" i="5"/>
  <c r="F17" i="5"/>
  <c r="G17" i="5" s="1"/>
  <c r="E16" i="5"/>
  <c r="E17" i="5"/>
  <c r="D16" i="5"/>
  <c r="C16" i="5"/>
  <c r="B16" i="5"/>
  <c r="B17" i="5"/>
  <c r="D17" i="5" s="1"/>
  <c r="A17" i="5"/>
  <c r="A16" i="5"/>
  <c r="J15" i="5"/>
  <c r="L15" i="5"/>
  <c r="I15" i="5"/>
  <c r="H15" i="5"/>
  <c r="G15" i="5"/>
  <c r="F15" i="5"/>
  <c r="E15" i="5"/>
  <c r="D15" i="5"/>
  <c r="C15" i="5"/>
  <c r="B15" i="5"/>
  <c r="A15" i="5"/>
  <c r="A14" i="5"/>
  <c r="E14" i="5"/>
  <c r="D14" i="5"/>
  <c r="C14" i="5"/>
  <c r="L14" i="5"/>
  <c r="H14" i="5"/>
  <c r="I14" i="5" s="1"/>
  <c r="G14" i="5"/>
  <c r="F14" i="5"/>
  <c r="B14" i="5"/>
  <c r="E11" i="5"/>
  <c r="E10" i="5"/>
  <c r="H34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18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F19" i="4"/>
  <c r="F20" i="4"/>
  <c r="F21" i="4" s="1"/>
  <c r="F22" i="4" s="1"/>
  <c r="F23" i="4" s="1"/>
  <c r="F24" i="4" s="1"/>
  <c r="F25" i="4" s="1"/>
  <c r="F26" i="4" s="1"/>
  <c r="F27" i="4" s="1"/>
  <c r="F28" i="4" s="1"/>
  <c r="F29" i="4" s="1"/>
  <c r="F30" i="4" s="1"/>
  <c r="F31" i="4" s="1"/>
  <c r="F32" i="4" s="1"/>
  <c r="F33" i="4" s="1"/>
  <c r="F34" i="4" s="1"/>
  <c r="F18" i="4"/>
  <c r="E18" i="4"/>
  <c r="D18" i="4"/>
  <c r="C18" i="4"/>
  <c r="B18" i="4"/>
  <c r="B19" i="4"/>
  <c r="A18" i="4"/>
  <c r="A19" i="4"/>
  <c r="G17" i="4"/>
  <c r="E17" i="4"/>
  <c r="C17" i="4"/>
  <c r="D17" i="4" s="1"/>
  <c r="B17" i="4"/>
  <c r="A17" i="4"/>
  <c r="E16" i="4"/>
  <c r="D16" i="4"/>
  <c r="C16" i="4"/>
  <c r="E12" i="4"/>
  <c r="E14" i="3"/>
  <c r="D12" i="4"/>
  <c r="D14" i="3"/>
  <c r="C12" i="4"/>
  <c r="C14" i="3"/>
  <c r="J14" i="3"/>
  <c r="I14" i="3"/>
  <c r="H14" i="3"/>
  <c r="G14" i="3"/>
  <c r="F14" i="3"/>
  <c r="F17" i="6" l="1"/>
  <c r="G17" i="6" s="1"/>
  <c r="I17" i="6"/>
  <c r="E15" i="6"/>
  <c r="H15" i="6" s="1"/>
  <c r="A15" i="6"/>
  <c r="F15" i="6" s="1"/>
  <c r="C17" i="5"/>
  <c r="H17" i="5" s="1"/>
  <c r="A18" i="5" s="1"/>
  <c r="K14" i="5"/>
  <c r="C19" i="4"/>
  <c r="C18" i="6" l="1"/>
  <c r="K17" i="6"/>
  <c r="G15" i="6"/>
  <c r="B15" i="6"/>
  <c r="F18" i="5"/>
  <c r="B18" i="5"/>
  <c r="E18" i="5"/>
  <c r="D19" i="4"/>
  <c r="B20" i="4" s="1"/>
  <c r="E19" i="4"/>
  <c r="A20" i="4" s="1"/>
  <c r="L17" i="6" l="1"/>
  <c r="A18" i="6" s="1"/>
  <c r="E18" i="6"/>
  <c r="H18" i="6"/>
  <c r="J15" i="6"/>
  <c r="I15" i="6"/>
  <c r="D18" i="5"/>
  <c r="C18" i="5"/>
  <c r="G18" i="5"/>
  <c r="C20" i="4"/>
  <c r="B18" i="6" l="1"/>
  <c r="J18" i="6" s="1"/>
  <c r="D19" i="6" s="1"/>
  <c r="F18" i="6"/>
  <c r="G18" i="6" s="1"/>
  <c r="C16" i="6"/>
  <c r="K15" i="6"/>
  <c r="H18" i="5"/>
  <c r="A19" i="5" s="1"/>
  <c r="D20" i="4"/>
  <c r="B21" i="4" s="1"/>
  <c r="E20" i="4"/>
  <c r="A21" i="4" s="1"/>
  <c r="I18" i="6" l="1"/>
  <c r="E16" i="6"/>
  <c r="M15" i="6"/>
  <c r="A16" i="6"/>
  <c r="F16" i="6" s="1"/>
  <c r="F19" i="5"/>
  <c r="B19" i="5"/>
  <c r="E19" i="5"/>
  <c r="C21" i="4"/>
  <c r="C19" i="6" l="1"/>
  <c r="K18" i="6"/>
  <c r="B16" i="6"/>
  <c r="C19" i="5"/>
  <c r="D19" i="5"/>
  <c r="G19" i="5"/>
  <c r="D21" i="4"/>
  <c r="B22" i="4" s="1"/>
  <c r="E21" i="4"/>
  <c r="A22" i="4" s="1"/>
  <c r="E19" i="6" l="1"/>
  <c r="L18" i="6"/>
  <c r="A19" i="6" s="1"/>
  <c r="H19" i="6"/>
  <c r="H19" i="5"/>
  <c r="A20" i="5" s="1"/>
  <c r="C22" i="4"/>
  <c r="B19" i="6" l="1"/>
  <c r="J19" i="6" s="1"/>
  <c r="D20" i="6" s="1"/>
  <c r="F19" i="6"/>
  <c r="G19" i="6" s="1"/>
  <c r="F20" i="5"/>
  <c r="E20" i="5"/>
  <c r="B20" i="5"/>
  <c r="D22" i="4"/>
  <c r="B23" i="4" s="1"/>
  <c r="C23" i="4" s="1"/>
  <c r="E22" i="4"/>
  <c r="A23" i="4" s="1"/>
  <c r="I19" i="6" l="1"/>
  <c r="D20" i="5"/>
  <c r="C20" i="5"/>
  <c r="G20" i="5"/>
  <c r="D23" i="4"/>
  <c r="B24" i="4" s="1"/>
  <c r="E23" i="4"/>
  <c r="A24" i="4" s="1"/>
  <c r="C20" i="6" l="1"/>
  <c r="K19" i="6"/>
  <c r="H20" i="5"/>
  <c r="A21" i="5" s="1"/>
  <c r="C24" i="4"/>
  <c r="E20" i="6" l="1"/>
  <c r="L19" i="6"/>
  <c r="A20" i="6" s="1"/>
  <c r="H20" i="6"/>
  <c r="F21" i="5"/>
  <c r="E21" i="5"/>
  <c r="B21" i="5"/>
  <c r="D24" i="4"/>
  <c r="B25" i="4" s="1"/>
  <c r="E24" i="4"/>
  <c r="A25" i="4" s="1"/>
  <c r="B20" i="6" l="1"/>
  <c r="J20" i="6" s="1"/>
  <c r="D21" i="6" s="1"/>
  <c r="F20" i="6"/>
  <c r="G20" i="6" s="1"/>
  <c r="D21" i="5"/>
  <c r="C21" i="5"/>
  <c r="G21" i="5"/>
  <c r="C25" i="4"/>
  <c r="I20" i="6" l="1"/>
  <c r="H21" i="5"/>
  <c r="A22" i="5" s="1"/>
  <c r="D25" i="4"/>
  <c r="B26" i="4" s="1"/>
  <c r="E25" i="4"/>
  <c r="A26" i="4" s="1"/>
  <c r="C21" i="6" l="1"/>
  <c r="K20" i="6"/>
  <c r="E22" i="5"/>
  <c r="F22" i="5"/>
  <c r="G22" i="5" s="1"/>
  <c r="B22" i="5"/>
  <c r="C26" i="4"/>
  <c r="L20" i="6" l="1"/>
  <c r="A21" i="6" s="1"/>
  <c r="E21" i="6"/>
  <c r="H21" i="6"/>
  <c r="D22" i="5"/>
  <c r="C22" i="5"/>
  <c r="H22" i="5" s="1"/>
  <c r="A23" i="5" s="1"/>
  <c r="D26" i="4"/>
  <c r="B27" i="4" s="1"/>
  <c r="E26" i="4"/>
  <c r="A27" i="4" s="1"/>
  <c r="B21" i="6" l="1"/>
  <c r="J21" i="6" s="1"/>
  <c r="D22" i="6" s="1"/>
  <c r="F21" i="6"/>
  <c r="G21" i="6" s="1"/>
  <c r="E23" i="5"/>
  <c r="B23" i="5"/>
  <c r="F23" i="5"/>
  <c r="G23" i="5" s="1"/>
  <c r="C27" i="4"/>
  <c r="I21" i="6" l="1"/>
  <c r="D23" i="5"/>
  <c r="C23" i="5"/>
  <c r="H23" i="5" s="1"/>
  <c r="A24" i="5" s="1"/>
  <c r="D27" i="4"/>
  <c r="B28" i="4" s="1"/>
  <c r="C28" i="4" s="1"/>
  <c r="E27" i="4"/>
  <c r="A28" i="4" s="1"/>
  <c r="C22" i="6" l="1"/>
  <c r="K21" i="6"/>
  <c r="F24" i="5"/>
  <c r="E24" i="5"/>
  <c r="B24" i="5"/>
  <c r="D28" i="4"/>
  <c r="B29" i="4" s="1"/>
  <c r="E28" i="4"/>
  <c r="A29" i="4" s="1"/>
  <c r="L21" i="6" l="1"/>
  <c r="A22" i="6" s="1"/>
  <c r="E22" i="6"/>
  <c r="H22" i="6"/>
  <c r="D24" i="5"/>
  <c r="C24" i="5"/>
  <c r="G24" i="5"/>
  <c r="C29" i="4"/>
  <c r="B22" i="6" l="1"/>
  <c r="J22" i="6" s="1"/>
  <c r="D23" i="6" s="1"/>
  <c r="F22" i="6"/>
  <c r="G22" i="6" s="1"/>
  <c r="H24" i="5"/>
  <c r="A25" i="5" s="1"/>
  <c r="D29" i="4"/>
  <c r="B30" i="4" s="1"/>
  <c r="E29" i="4"/>
  <c r="A30" i="4" s="1"/>
  <c r="I22" i="6" l="1"/>
  <c r="F25" i="5"/>
  <c r="E25" i="5"/>
  <c r="B25" i="5"/>
  <c r="C30" i="4"/>
  <c r="C23" i="6" l="1"/>
  <c r="K22" i="6"/>
  <c r="D25" i="5"/>
  <c r="C25" i="5"/>
  <c r="G25" i="5"/>
  <c r="D30" i="4"/>
  <c r="B31" i="4" s="1"/>
  <c r="E30" i="4"/>
  <c r="A31" i="4" s="1"/>
  <c r="E23" i="6" l="1"/>
  <c r="L22" i="6"/>
  <c r="A23" i="6" s="1"/>
  <c r="H23" i="6"/>
  <c r="H25" i="5"/>
  <c r="A26" i="5" s="1"/>
  <c r="C31" i="4"/>
  <c r="B23" i="6" l="1"/>
  <c r="J23" i="6" s="1"/>
  <c r="D24" i="6" s="1"/>
  <c r="F23" i="6"/>
  <c r="G23" i="6" s="1"/>
  <c r="F26" i="5"/>
  <c r="B26" i="5"/>
  <c r="E26" i="5"/>
  <c r="D31" i="4"/>
  <c r="B32" i="4" s="1"/>
  <c r="E31" i="4"/>
  <c r="A32" i="4" s="1"/>
  <c r="I23" i="6" l="1"/>
  <c r="D26" i="5"/>
  <c r="C26" i="5"/>
  <c r="G26" i="5"/>
  <c r="C32" i="4"/>
  <c r="C24" i="6" l="1"/>
  <c r="K23" i="6"/>
  <c r="H26" i="5"/>
  <c r="A27" i="5" s="1"/>
  <c r="D32" i="4"/>
  <c r="B33" i="4" s="1"/>
  <c r="E32" i="4"/>
  <c r="A33" i="4" s="1"/>
  <c r="E24" i="6" l="1"/>
  <c r="L23" i="6"/>
  <c r="A24" i="6" s="1"/>
  <c r="H24" i="6"/>
  <c r="F27" i="5"/>
  <c r="E27" i="5"/>
  <c r="B27" i="5"/>
  <c r="C33" i="4"/>
  <c r="B24" i="6" l="1"/>
  <c r="J24" i="6" s="1"/>
  <c r="D25" i="6" s="1"/>
  <c r="F24" i="6"/>
  <c r="G24" i="6" s="1"/>
  <c r="D27" i="5"/>
  <c r="C27" i="5"/>
  <c r="H27" i="5" s="1"/>
  <c r="G27" i="5"/>
  <c r="D33" i="4"/>
  <c r="B34" i="4" s="1"/>
  <c r="E33" i="4"/>
  <c r="A34" i="4" s="1"/>
  <c r="I24" i="6" l="1"/>
  <c r="C34" i="4"/>
  <c r="C25" i="6" l="1"/>
  <c r="K24" i="6"/>
  <c r="D34" i="4"/>
  <c r="E34" i="4"/>
  <c r="L24" i="6" l="1"/>
  <c r="A25" i="6" s="1"/>
  <c r="E25" i="6"/>
  <c r="H25" i="6"/>
  <c r="B25" i="6" l="1"/>
  <c r="J25" i="6" s="1"/>
  <c r="D26" i="6" s="1"/>
  <c r="F25" i="6"/>
  <c r="G25" i="6" s="1"/>
  <c r="I25" i="6" l="1"/>
  <c r="C26" i="6" l="1"/>
  <c r="K25" i="6"/>
  <c r="L25" i="6" l="1"/>
  <c r="A26" i="6" s="1"/>
  <c r="E26" i="6"/>
  <c r="H26" i="6"/>
  <c r="B26" i="6" l="1"/>
  <c r="J26" i="6" s="1"/>
  <c r="D27" i="6" s="1"/>
  <c r="F26" i="6"/>
  <c r="G26" i="6" s="1"/>
  <c r="I26" i="6" l="1"/>
  <c r="C27" i="6" l="1"/>
  <c r="K26" i="6"/>
  <c r="E27" i="6" l="1"/>
  <c r="L26" i="6"/>
  <c r="A27" i="6" s="1"/>
  <c r="H27" i="6"/>
  <c r="B27" i="6" l="1"/>
  <c r="J27" i="6" s="1"/>
  <c r="D28" i="6" s="1"/>
  <c r="F27" i="6"/>
  <c r="G27" i="6" s="1"/>
  <c r="I27" i="6" l="1"/>
  <c r="C28" i="6" l="1"/>
  <c r="K27" i="6"/>
  <c r="E28" i="6" l="1"/>
  <c r="L27" i="6"/>
  <c r="A28" i="6" s="1"/>
  <c r="H28" i="6"/>
  <c r="B28" i="6" l="1"/>
  <c r="J28" i="6" s="1"/>
  <c r="D29" i="6" s="1"/>
  <c r="F28" i="6"/>
  <c r="G28" i="6" s="1"/>
  <c r="I28" i="6" l="1"/>
  <c r="C29" i="6" l="1"/>
  <c r="K28" i="6"/>
  <c r="L28" i="6" l="1"/>
  <c r="A29" i="6" s="1"/>
  <c r="E29" i="6"/>
  <c r="H29" i="6"/>
  <c r="B29" i="6" l="1"/>
  <c r="J29" i="6" s="1"/>
  <c r="D30" i="6" s="1"/>
  <c r="F29" i="6"/>
  <c r="G29" i="6" s="1"/>
  <c r="I29" i="6" l="1"/>
  <c r="C30" i="6" l="1"/>
  <c r="K29" i="6"/>
  <c r="L29" i="6" l="1"/>
  <c r="A30" i="6" s="1"/>
  <c r="E30" i="6"/>
  <c r="H30" i="6"/>
  <c r="B30" i="6" l="1"/>
  <c r="J30" i="6" s="1"/>
  <c r="D31" i="6" s="1"/>
  <c r="F30" i="6"/>
  <c r="G30" i="6" s="1"/>
  <c r="I30" i="6" l="1"/>
  <c r="C31" i="6" l="1"/>
  <c r="K30" i="6"/>
  <c r="L30" i="6" l="1"/>
  <c r="A31" i="6" s="1"/>
  <c r="E31" i="6"/>
  <c r="H31" i="6" s="1"/>
  <c r="B31" i="6" l="1"/>
  <c r="J31" i="6" s="1"/>
  <c r="D32" i="6" s="1"/>
  <c r="F31" i="6"/>
  <c r="G31" i="6" s="1"/>
  <c r="I31" i="6" l="1"/>
  <c r="C32" i="6" l="1"/>
  <c r="K31" i="6"/>
  <c r="H32" i="6" l="1"/>
  <c r="E32" i="6"/>
  <c r="L31" i="6"/>
  <c r="A32" i="6" s="1"/>
  <c r="B32" i="6" l="1"/>
  <c r="J32" i="6" s="1"/>
  <c r="D33" i="6" s="1"/>
  <c r="F32" i="6"/>
  <c r="G32" i="6" s="1"/>
  <c r="I32" i="6" l="1"/>
  <c r="C33" i="6" l="1"/>
  <c r="K32" i="6"/>
  <c r="L32" i="6" l="1"/>
  <c r="A33" i="6" s="1"/>
  <c r="E33" i="6"/>
  <c r="H33" i="6"/>
  <c r="I33" i="6" l="1"/>
  <c r="B33" i="6"/>
  <c r="J33" i="6" s="1"/>
  <c r="D34" i="6" s="1"/>
  <c r="F33" i="6"/>
  <c r="G33" i="6" s="1"/>
  <c r="C34" i="6" l="1"/>
  <c r="K33" i="6"/>
  <c r="L33" i="6" l="1"/>
  <c r="A34" i="6" s="1"/>
  <c r="E34" i="6"/>
  <c r="H34" i="6"/>
  <c r="B34" i="6" l="1"/>
  <c r="J34" i="6" s="1"/>
  <c r="F34" i="6"/>
  <c r="G34" i="6" s="1"/>
  <c r="I34" i="6" l="1"/>
  <c r="K34" i="6" s="1"/>
  <c r="L34" i="6" s="1"/>
</calcChain>
</file>

<file path=xl/sharedStrings.xml><?xml version="1.0" encoding="utf-8"?>
<sst xmlns="http://schemas.openxmlformats.org/spreadsheetml/2006/main" count="107" uniqueCount="38">
  <si>
    <t>mathanol(1)-methylacetate(2)</t>
  </si>
  <si>
    <t>A</t>
  </si>
  <si>
    <t>T(K)</t>
  </si>
  <si>
    <t>Antoine</t>
  </si>
  <si>
    <t>B</t>
  </si>
  <si>
    <t>C</t>
  </si>
  <si>
    <t>methanol</t>
  </si>
  <si>
    <t>methylacetate</t>
  </si>
  <si>
    <t>x1</t>
  </si>
  <si>
    <t>p/kPa</t>
  </si>
  <si>
    <t>y1</t>
  </si>
  <si>
    <t>y2</t>
  </si>
  <si>
    <t>IN</t>
  </si>
  <si>
    <t>OUT</t>
  </si>
  <si>
    <t>x2</t>
  </si>
  <si>
    <t>Buble T calculation</t>
  </si>
  <si>
    <t>P</t>
  </si>
  <si>
    <t>kPa</t>
  </si>
  <si>
    <t>T init (K)</t>
  </si>
  <si>
    <t>itération</t>
  </si>
  <si>
    <t>Calcul de la pression de bulle</t>
  </si>
  <si>
    <t>Calcul de la pression de rosée</t>
  </si>
  <si>
    <t>Calcul de la température de bulle</t>
  </si>
  <si>
    <t>T</t>
  </si>
  <si>
    <r>
      <rPr>
        <sz val="12"/>
        <color theme="0"/>
        <rFont val="Symbol"/>
        <family val="1"/>
        <charset val="2"/>
      </rPr>
      <t>d</t>
    </r>
    <r>
      <rPr>
        <sz val="12"/>
        <color theme="0"/>
        <rFont val="Calibri"/>
        <family val="2"/>
        <scheme val="minor"/>
      </rPr>
      <t>T</t>
    </r>
  </si>
  <si>
    <t>Calcul de la température de Rosée</t>
  </si>
  <si>
    <t>normalisation x1</t>
  </si>
  <si>
    <r>
      <t>d</t>
    </r>
    <r>
      <rPr>
        <sz val="12"/>
        <color theme="0"/>
        <rFont val="Times New Roman"/>
        <family val="1"/>
      </rPr>
      <t>p</t>
    </r>
  </si>
  <si>
    <r>
      <rPr>
        <sz val="14"/>
        <color theme="0"/>
        <rFont val="Symbol"/>
        <family val="1"/>
        <charset val="2"/>
      </rPr>
      <t>g</t>
    </r>
    <r>
      <rPr>
        <sz val="14"/>
        <color theme="0"/>
        <rFont val="Times New Roman"/>
        <family val="1"/>
      </rPr>
      <t>1</t>
    </r>
  </si>
  <si>
    <r>
      <rPr>
        <sz val="14"/>
        <color theme="0"/>
        <rFont val="Symbol"/>
        <family val="1"/>
        <charset val="2"/>
      </rPr>
      <t>g</t>
    </r>
    <r>
      <rPr>
        <sz val="14"/>
        <color theme="0"/>
        <rFont val="Times New Roman"/>
        <family val="1"/>
      </rPr>
      <t>2</t>
    </r>
    <r>
      <rPr>
        <sz val="12"/>
        <color theme="1"/>
        <rFont val="Times New Roman"/>
        <family val="2"/>
      </rPr>
      <t/>
    </r>
  </si>
  <si>
    <r>
      <t>p</t>
    </r>
    <r>
      <rPr>
        <vertAlign val="superscript"/>
        <sz val="14"/>
        <color theme="0"/>
        <rFont val="Symbol"/>
        <family val="1"/>
        <charset val="2"/>
      </rPr>
      <t>s</t>
    </r>
    <r>
      <rPr>
        <sz val="14"/>
        <color theme="0"/>
        <rFont val="Times New Roman"/>
        <family val="1"/>
      </rPr>
      <t>1</t>
    </r>
  </si>
  <si>
    <r>
      <t>p</t>
    </r>
    <r>
      <rPr>
        <vertAlign val="superscript"/>
        <sz val="14"/>
        <color theme="0"/>
        <rFont val="Symbol"/>
        <family val="1"/>
        <charset val="2"/>
      </rPr>
      <t>s</t>
    </r>
    <r>
      <rPr>
        <sz val="14"/>
        <color theme="0"/>
        <rFont val="Times New Roman"/>
        <family val="1"/>
      </rPr>
      <t>2</t>
    </r>
    <r>
      <rPr>
        <sz val="12"/>
        <color theme="1"/>
        <rFont val="Times New Roman"/>
        <family val="2"/>
      </rPr>
      <t/>
    </r>
  </si>
  <si>
    <t>K</t>
  </si>
  <si>
    <t>Teb (K)</t>
  </si>
  <si>
    <t>Teb(K)</t>
  </si>
  <si>
    <t>Bubble p calculation</t>
  </si>
  <si>
    <r>
      <t>p</t>
    </r>
    <r>
      <rPr>
        <vertAlign val="superscript"/>
        <sz val="14"/>
        <color theme="0"/>
        <rFont val="Symbol"/>
        <family val="1"/>
        <charset val="2"/>
      </rPr>
      <t>s</t>
    </r>
    <r>
      <rPr>
        <sz val="14"/>
        <color theme="0"/>
        <rFont val="Times New Roman"/>
        <family val="1"/>
      </rPr>
      <t>2/p</t>
    </r>
    <r>
      <rPr>
        <vertAlign val="superscript"/>
        <sz val="14"/>
        <color theme="0"/>
        <rFont val="Symbol"/>
        <family val="1"/>
        <charset val="2"/>
      </rPr>
      <t>s</t>
    </r>
    <r>
      <rPr>
        <sz val="14"/>
        <color theme="0"/>
        <rFont val="Times New Roman"/>
        <family val="1"/>
      </rPr>
      <t>1</t>
    </r>
  </si>
  <si>
    <r>
      <t>p</t>
    </r>
    <r>
      <rPr>
        <vertAlign val="superscript"/>
        <sz val="14"/>
        <color theme="0"/>
        <rFont val="Symbol"/>
        <family val="1"/>
        <charset val="2"/>
      </rPr>
      <t>s</t>
    </r>
    <r>
      <rPr>
        <sz val="14"/>
        <color theme="0"/>
        <rFont val="Times New Roman"/>
        <family val="1"/>
      </rPr>
      <t>2/p</t>
    </r>
    <r>
      <rPr>
        <vertAlign val="superscript"/>
        <sz val="14"/>
        <color theme="0"/>
        <rFont val="Symbol"/>
        <family val="1"/>
        <charset val="2"/>
      </rPr>
      <t>s</t>
    </r>
    <r>
      <rPr>
        <sz val="14"/>
        <color theme="0"/>
        <rFont val="Symbol"/>
        <family val="1"/>
        <charset val="2"/>
      </rPr>
      <t>1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</si>
</sst>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000"/>
    <numFmt numFmtId="166" formatCode="0.00000"/>
  </numFmts>
  <fonts count="21">
    <font>
      <sz val="11"/>
      <color theme="1"/>
      <name val="Calibri"/>
      <family val="2"/>
      <scheme val="minor"/>
    </font>
    <font>
      <sz val="12"/>
      <color theme="1"/>
      <name val="Times New Roman"/>
      <family val="2"/>
    </font>
    <font>
      <sz val="12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0"/>
      <name val="Symbol"/>
      <family val="1"/>
      <charset val="2"/>
    </font>
    <font>
      <sz val="12"/>
      <color theme="0"/>
      <name val="Times New Roman"/>
      <family val="1"/>
    </font>
    <font>
      <b/>
      <sz val="14"/>
      <color theme="1"/>
      <name val="Arabolical"/>
    </font>
    <font>
      <b/>
      <sz val="13"/>
      <color rgb="FF2E74B5"/>
      <name val="Arabolical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sz val="14"/>
      <name val="Times New Roman"/>
      <family val="1"/>
    </font>
    <font>
      <b/>
      <sz val="14"/>
      <name val="Times New Roman"/>
      <family val="1"/>
    </font>
    <font>
      <sz val="14"/>
      <color theme="0"/>
      <name val="Times New Roman"/>
      <family val="1"/>
    </font>
    <font>
      <sz val="14"/>
      <color theme="1"/>
      <name val="Times New Roman"/>
      <family val="1"/>
    </font>
    <font>
      <sz val="14"/>
      <color theme="0"/>
      <name val="Symbol"/>
      <family val="1"/>
      <charset val="2"/>
    </font>
    <font>
      <vertAlign val="superscript"/>
      <sz val="14"/>
      <color theme="0"/>
      <name val="Symbol"/>
      <family val="1"/>
      <charset val="2"/>
    </font>
    <font>
      <sz val="14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4" fillId="0" borderId="0" xfId="0" applyFont="1" applyFill="1" applyBorder="1" applyAlignment="1">
      <alignment horizontal="left" vertical="center"/>
    </xf>
    <xf numFmtId="0" fontId="0" fillId="0" borderId="1" xfId="0" applyBorder="1"/>
    <xf numFmtId="0" fontId="3" fillId="0" borderId="0" xfId="0" applyFont="1"/>
    <xf numFmtId="0" fontId="0" fillId="0" borderId="1" xfId="0" applyBorder="1" applyAlignment="1">
      <alignment horizontal="left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1" fillId="0" borderId="0" xfId="0" applyFont="1" applyAlignment="1">
      <alignment vertical="center"/>
    </xf>
    <xf numFmtId="0" fontId="0" fillId="4" borderId="1" xfId="0" applyFill="1" applyBorder="1"/>
    <xf numFmtId="2" fontId="0" fillId="4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2" fillId="2" borderId="4" xfId="0" applyFont="1" applyFill="1" applyBorder="1" applyAlignment="1">
      <alignment horizontal="center" vertical="center"/>
    </xf>
    <xf numFmtId="11" fontId="0" fillId="0" borderId="1" xfId="0" applyNumberFormat="1" applyBorder="1" applyAlignment="1">
      <alignment horizontal="center"/>
    </xf>
    <xf numFmtId="0" fontId="6" fillId="3" borderId="1" xfId="0" applyFont="1" applyFill="1" applyBorder="1" applyAlignment="1">
      <alignment horizontal="center" vertical="center"/>
    </xf>
    <xf numFmtId="165" fontId="0" fillId="4" borderId="1" xfId="0" applyNumberFormat="1" applyFill="1" applyBorder="1" applyAlignment="1">
      <alignment horizontal="center" vertical="center"/>
    </xf>
    <xf numFmtId="166" fontId="0" fillId="0" borderId="1" xfId="0" applyNumberForma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165" fontId="0" fillId="0" borderId="1" xfId="0" applyNumberFormat="1" applyFill="1" applyBorder="1" applyAlignment="1">
      <alignment horizontal="center" vertical="center"/>
    </xf>
    <xf numFmtId="11" fontId="0" fillId="0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3" fillId="3" borderId="3" xfId="0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/>
    </xf>
    <xf numFmtId="0" fontId="0" fillId="0" borderId="0" xfId="0" applyFill="1" applyBorder="1"/>
    <xf numFmtId="165" fontId="0" fillId="0" borderId="0" xfId="0" applyNumberForma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/>
    </xf>
    <xf numFmtId="11" fontId="0" fillId="0" borderId="0" xfId="0" applyNumberFormat="1" applyFill="1"/>
    <xf numFmtId="0" fontId="0" fillId="0" borderId="0" xfId="0" applyFill="1"/>
    <xf numFmtId="0" fontId="0" fillId="4" borderId="1" xfId="0" applyFill="1" applyBorder="1" applyAlignment="1">
      <alignment horizontal="center"/>
    </xf>
    <xf numFmtId="2" fontId="0" fillId="6" borderId="1" xfId="0" applyNumberFormat="1" applyFill="1" applyBorder="1" applyAlignment="1">
      <alignment horizontal="center" vertical="center"/>
    </xf>
    <xf numFmtId="165" fontId="0" fillId="6" borderId="1" xfId="0" applyNumberFormat="1" applyFill="1" applyBorder="1" applyAlignment="1">
      <alignment horizontal="center" vertical="center"/>
    </xf>
    <xf numFmtId="0" fontId="0" fillId="6" borderId="1" xfId="0" applyFill="1" applyBorder="1" applyAlignment="1">
      <alignment vertical="center"/>
    </xf>
    <xf numFmtId="0" fontId="7" fillId="0" borderId="1" xfId="0" applyFont="1" applyBorder="1"/>
    <xf numFmtId="0" fontId="7" fillId="0" borderId="1" xfId="0" applyFont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/>
    </xf>
    <xf numFmtId="0" fontId="14" fillId="3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4" fillId="5" borderId="1" xfId="0" applyFont="1" applyFill="1" applyBorder="1" applyAlignment="1">
      <alignment horizontal="center" vertical="center"/>
    </xf>
    <xf numFmtId="0" fontId="15" fillId="5" borderId="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6" borderId="1" xfId="0" applyFont="1" applyFill="1" applyBorder="1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20" fillId="2" borderId="1" xfId="0" applyFont="1" applyFill="1" applyBorder="1" applyAlignment="1">
      <alignment horizontal="center"/>
    </xf>
    <xf numFmtId="0" fontId="16" fillId="2" borderId="5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166" fontId="13" fillId="6" borderId="1" xfId="0" applyNumberFormat="1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2" fontId="0" fillId="6" borderId="1" xfId="0" applyNumberFormat="1" applyFill="1" applyBorder="1" applyAlignment="1">
      <alignment horizontal="center"/>
    </xf>
    <xf numFmtId="2" fontId="0" fillId="7" borderId="1" xfId="0" applyNumberFormat="1" applyFill="1" applyBorder="1" applyAlignment="1">
      <alignment horizontal="center" vertical="center"/>
    </xf>
    <xf numFmtId="166" fontId="0" fillId="8" borderId="1" xfId="0" applyNumberFormat="1" applyFill="1" applyBorder="1" applyAlignment="1">
      <alignment horizontal="center" vertical="center"/>
    </xf>
    <xf numFmtId="165" fontId="0" fillId="8" borderId="1" xfId="0" applyNumberFormat="1" applyFill="1" applyBorder="1" applyAlignment="1">
      <alignment horizontal="center" vertical="center"/>
    </xf>
    <xf numFmtId="164" fontId="0" fillId="8" borderId="1" xfId="0" applyNumberForma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11" fontId="0" fillId="8" borderId="1" xfId="0" applyNumberFormat="1" applyFill="1" applyBorder="1" applyAlignment="1">
      <alignment horizontal="center" vertical="center"/>
    </xf>
    <xf numFmtId="0" fontId="0" fillId="9" borderId="1" xfId="0" applyFill="1" applyBorder="1"/>
    <xf numFmtId="165" fontId="0" fillId="9" borderId="1" xfId="0" applyNumberForma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2" fontId="0" fillId="9" borderId="1" xfId="0" applyNumberFormat="1" applyFill="1" applyBorder="1" applyAlignment="1">
      <alignment horizontal="center" vertical="center"/>
    </xf>
    <xf numFmtId="2" fontId="0" fillId="9" borderId="1" xfId="0" applyNumberFormat="1" applyFill="1" applyBorder="1" applyAlignment="1">
      <alignment horizontal="center"/>
    </xf>
    <xf numFmtId="0" fontId="0" fillId="8" borderId="1" xfId="0" applyFill="1" applyBorder="1"/>
    <xf numFmtId="2" fontId="0" fillId="8" borderId="1" xfId="0" applyNumberFormat="1" applyFill="1" applyBorder="1" applyAlignment="1">
      <alignment horizontal="center" vertical="center"/>
    </xf>
    <xf numFmtId="2" fontId="0" fillId="8" borderId="1" xfId="0" applyNumberFormat="1" applyFill="1" applyBorder="1" applyAlignment="1">
      <alignment horizontal="center"/>
    </xf>
    <xf numFmtId="11" fontId="0" fillId="8" borderId="1" xfId="0" applyNumberFormat="1" applyFill="1" applyBorder="1" applyAlignment="1">
      <alignment horizontal="center"/>
    </xf>
    <xf numFmtId="0" fontId="0" fillId="8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wmf"/><Relationship Id="rId2" Type="http://schemas.openxmlformats.org/officeDocument/2006/relationships/image" Target="../media/image2.wmf"/><Relationship Id="rId1" Type="http://schemas.openxmlformats.org/officeDocument/2006/relationships/image" Target="../media/image1.wmf"/><Relationship Id="rId4" Type="http://schemas.openxmlformats.org/officeDocument/2006/relationships/image" Target="../media/image4.wmf"/></Relationships>
</file>

<file path=xl/drawings/_rels/vmlDrawing2.vml.rels><?xml version="1.0" encoding="UTF-8" standalone="yes"?>
<Relationships xmlns="http://schemas.openxmlformats.org/package/2006/relationships"><Relationship Id="rId3" Type="http://schemas.openxmlformats.org/officeDocument/2006/relationships/image" Target="../media/image2.wmf"/><Relationship Id="rId2" Type="http://schemas.openxmlformats.org/officeDocument/2006/relationships/image" Target="../media/image4.wmf"/><Relationship Id="rId1" Type="http://schemas.openxmlformats.org/officeDocument/2006/relationships/image" Target="../media/image1.wmf"/><Relationship Id="rId5" Type="http://schemas.openxmlformats.org/officeDocument/2006/relationships/image" Target="../media/image5.emf"/><Relationship Id="rId4" Type="http://schemas.openxmlformats.org/officeDocument/2006/relationships/image" Target="../media/image3.wmf"/></Relationships>
</file>

<file path=xl/drawings/_rels/vmlDrawing3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wmf"/><Relationship Id="rId2" Type="http://schemas.openxmlformats.org/officeDocument/2006/relationships/image" Target="../media/image2.wmf"/><Relationship Id="rId1" Type="http://schemas.openxmlformats.org/officeDocument/2006/relationships/image" Target="../media/image1.wmf"/><Relationship Id="rId5" Type="http://schemas.openxmlformats.org/officeDocument/2006/relationships/image" Target="../media/image7.emf"/><Relationship Id="rId4" Type="http://schemas.openxmlformats.org/officeDocument/2006/relationships/image" Target="../media/image4.wmf"/></Relationships>
</file>

<file path=xl/drawings/_rels/vmlDrawing4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wmf"/><Relationship Id="rId2" Type="http://schemas.openxmlformats.org/officeDocument/2006/relationships/image" Target="../media/image2.wmf"/><Relationship Id="rId1" Type="http://schemas.openxmlformats.org/officeDocument/2006/relationships/image" Target="../media/image1.wmf"/><Relationship Id="rId5" Type="http://schemas.openxmlformats.org/officeDocument/2006/relationships/image" Target="../media/image9.emf"/><Relationship Id="rId4" Type="http://schemas.openxmlformats.org/officeDocument/2006/relationships/image" Target="../media/image4.w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790575</xdr:colOff>
          <xdr:row>0</xdr:row>
          <xdr:rowOff>104775</xdr:rowOff>
        </xdr:from>
        <xdr:to>
          <xdr:col>7</xdr:col>
          <xdr:colOff>666750</xdr:colOff>
          <xdr:row>5</xdr:row>
          <xdr:rowOff>85725</xdr:rowOff>
        </xdr:to>
        <xdr:sp macro="" textlink="">
          <xdr:nvSpPr>
            <xdr:cNvPr id="3073" name="Object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0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6</xdr:row>
          <xdr:rowOff>142875</xdr:rowOff>
        </xdr:from>
        <xdr:to>
          <xdr:col>6</xdr:col>
          <xdr:colOff>152400</xdr:colOff>
          <xdr:row>8</xdr:row>
          <xdr:rowOff>66675</xdr:rowOff>
        </xdr:to>
        <xdr:sp macro="" textlink="">
          <xdr:nvSpPr>
            <xdr:cNvPr id="3074" name="Object 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0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8</xdr:row>
          <xdr:rowOff>152400</xdr:rowOff>
        </xdr:from>
        <xdr:to>
          <xdr:col>6</xdr:col>
          <xdr:colOff>161925</xdr:colOff>
          <xdr:row>10</xdr:row>
          <xdr:rowOff>57150</xdr:rowOff>
        </xdr:to>
        <xdr:sp macro="" textlink="">
          <xdr:nvSpPr>
            <xdr:cNvPr id="3075" name="Object 3" hidden="1">
              <a:extLst>
                <a:ext uri="{63B3BB69-23CF-44E3-9099-C40C66FF867C}">
                  <a14:compatExt spid="_x0000_s3075"/>
                </a:ext>
                <a:ext uri="{FF2B5EF4-FFF2-40B4-BE49-F238E27FC236}">
                  <a16:creationId xmlns:a16="http://schemas.microsoft.com/office/drawing/2014/main" id="{00000000-0008-0000-0000-00000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0</xdr:colOff>
          <xdr:row>7</xdr:row>
          <xdr:rowOff>0</xdr:rowOff>
        </xdr:from>
        <xdr:to>
          <xdr:col>11</xdr:col>
          <xdr:colOff>381000</xdr:colOff>
          <xdr:row>8</xdr:row>
          <xdr:rowOff>28575</xdr:rowOff>
        </xdr:to>
        <xdr:sp macro="" textlink="">
          <xdr:nvSpPr>
            <xdr:cNvPr id="3076" name="Object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0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257174</xdr:colOff>
      <xdr:row>4</xdr:row>
      <xdr:rowOff>52321</xdr:rowOff>
    </xdr:from>
    <xdr:to>
      <xdr:col>14</xdr:col>
      <xdr:colOff>71312</xdr:colOff>
      <xdr:row>36</xdr:row>
      <xdr:rowOff>83344</xdr:rowOff>
    </xdr:to>
    <xdr:pic>
      <xdr:nvPicPr>
        <xdr:cNvPr id="12" name="Image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79455" y="861946"/>
          <a:ext cx="4790951" cy="631752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304800</xdr:colOff>
          <xdr:row>3</xdr:row>
          <xdr:rowOff>47625</xdr:rowOff>
        </xdr:from>
        <xdr:to>
          <xdr:col>7</xdr:col>
          <xdr:colOff>685800</xdr:colOff>
          <xdr:row>8</xdr:row>
          <xdr:rowOff>76200</xdr:rowOff>
        </xdr:to>
        <xdr:sp macro="" textlink="">
          <xdr:nvSpPr>
            <xdr:cNvPr id="4097" name="Object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1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809625</xdr:colOff>
          <xdr:row>11</xdr:row>
          <xdr:rowOff>85725</xdr:rowOff>
        </xdr:from>
        <xdr:to>
          <xdr:col>7</xdr:col>
          <xdr:colOff>495300</xdr:colOff>
          <xdr:row>12</xdr:row>
          <xdr:rowOff>114300</xdr:rowOff>
        </xdr:to>
        <xdr:sp macro="" textlink="">
          <xdr:nvSpPr>
            <xdr:cNvPr id="4098" name="Object 2" hidden="1">
              <a:extLst>
                <a:ext uri="{63B3BB69-23CF-44E3-9099-C40C66FF867C}">
                  <a14:compatExt spid="_x0000_s4098"/>
                </a:ext>
                <a:ext uri="{FF2B5EF4-FFF2-40B4-BE49-F238E27FC236}">
                  <a16:creationId xmlns:a16="http://schemas.microsoft.com/office/drawing/2014/main" id="{00000000-0008-0000-0100-00000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285750</xdr:colOff>
          <xdr:row>8</xdr:row>
          <xdr:rowOff>85725</xdr:rowOff>
        </xdr:from>
        <xdr:to>
          <xdr:col>6</xdr:col>
          <xdr:colOff>409575</xdr:colOff>
          <xdr:row>9</xdr:row>
          <xdr:rowOff>180975</xdr:rowOff>
        </xdr:to>
        <xdr:sp macro="" textlink="">
          <xdr:nvSpPr>
            <xdr:cNvPr id="4099" name="Object 3" hidden="1">
              <a:extLst>
                <a:ext uri="{63B3BB69-23CF-44E3-9099-C40C66FF867C}">
                  <a14:compatExt spid="_x0000_s4099"/>
                </a:ext>
                <a:ext uri="{FF2B5EF4-FFF2-40B4-BE49-F238E27FC236}">
                  <a16:creationId xmlns:a16="http://schemas.microsoft.com/office/drawing/2014/main" id="{00000000-0008-0000-0100-00000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285750</xdr:colOff>
          <xdr:row>9</xdr:row>
          <xdr:rowOff>171450</xdr:rowOff>
        </xdr:from>
        <xdr:to>
          <xdr:col>6</xdr:col>
          <xdr:colOff>419100</xdr:colOff>
          <xdr:row>11</xdr:row>
          <xdr:rowOff>28575</xdr:rowOff>
        </xdr:to>
        <xdr:sp macro="" textlink="">
          <xdr:nvSpPr>
            <xdr:cNvPr id="4100" name="Object 4" hidden="1">
              <a:extLst>
                <a:ext uri="{63B3BB69-23CF-44E3-9099-C40C66FF867C}">
                  <a14:compatExt spid="_x0000_s4100"/>
                </a:ext>
                <a:ext uri="{FF2B5EF4-FFF2-40B4-BE49-F238E27FC236}">
                  <a16:creationId xmlns:a16="http://schemas.microsoft.com/office/drawing/2014/main" id="{00000000-0008-0000-0100-00000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676275</xdr:colOff>
          <xdr:row>1</xdr:row>
          <xdr:rowOff>104775</xdr:rowOff>
        </xdr:from>
        <xdr:to>
          <xdr:col>11</xdr:col>
          <xdr:colOff>895350</xdr:colOff>
          <xdr:row>4</xdr:row>
          <xdr:rowOff>19050</xdr:rowOff>
        </xdr:to>
        <xdr:sp macro="" textlink="">
          <xdr:nvSpPr>
            <xdr:cNvPr id="4101" name="Object 5" hidden="1">
              <a:extLst>
                <a:ext uri="{63B3BB69-23CF-44E3-9099-C40C66FF867C}">
                  <a14:compatExt spid="_x0000_s4101"/>
                </a:ext>
                <a:ext uri="{FF2B5EF4-FFF2-40B4-BE49-F238E27FC236}">
                  <a16:creationId xmlns:a16="http://schemas.microsoft.com/office/drawing/2014/main" id="{00000000-0008-0000-0100-00000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326976</xdr:colOff>
      <xdr:row>3</xdr:row>
      <xdr:rowOff>133349</xdr:rowOff>
    </xdr:from>
    <xdr:to>
      <xdr:col>16</xdr:col>
      <xdr:colOff>752001</xdr:colOff>
      <xdr:row>31</xdr:row>
      <xdr:rowOff>19049</xdr:rowOff>
    </xdr:to>
    <xdr:pic>
      <xdr:nvPicPr>
        <xdr:cNvPr id="11" name="Image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347276" y="752474"/>
          <a:ext cx="3473025" cy="5400675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85725</xdr:colOff>
          <xdr:row>0</xdr:row>
          <xdr:rowOff>28575</xdr:rowOff>
        </xdr:from>
        <xdr:to>
          <xdr:col>9</xdr:col>
          <xdr:colOff>66675</xdr:colOff>
          <xdr:row>5</xdr:row>
          <xdr:rowOff>38100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00000000-0008-0000-0200-00000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</xdr:colOff>
          <xdr:row>5</xdr:row>
          <xdr:rowOff>57150</xdr:rowOff>
        </xdr:from>
        <xdr:to>
          <xdr:col>7</xdr:col>
          <xdr:colOff>190500</xdr:colOff>
          <xdr:row>6</xdr:row>
          <xdr:rowOff>95250</xdr:rowOff>
        </xdr:to>
        <xdr:sp macro="" textlink="">
          <xdr:nvSpPr>
            <xdr:cNvPr id="5122" name="Object 2" hidden="1">
              <a:extLst>
                <a:ext uri="{63B3BB69-23CF-44E3-9099-C40C66FF867C}">
                  <a14:compatExt spid="_x0000_s5122"/>
                </a:ext>
                <a:ext uri="{FF2B5EF4-FFF2-40B4-BE49-F238E27FC236}">
                  <a16:creationId xmlns:a16="http://schemas.microsoft.com/office/drawing/2014/main" id="{00000000-0008-0000-0200-00000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</xdr:colOff>
          <xdr:row>6</xdr:row>
          <xdr:rowOff>66675</xdr:rowOff>
        </xdr:from>
        <xdr:to>
          <xdr:col>7</xdr:col>
          <xdr:colOff>200025</xdr:colOff>
          <xdr:row>7</xdr:row>
          <xdr:rowOff>180975</xdr:rowOff>
        </xdr:to>
        <xdr:sp macro="" textlink="">
          <xdr:nvSpPr>
            <xdr:cNvPr id="5123" name="Object 3" hidden="1">
              <a:extLst>
                <a:ext uri="{63B3BB69-23CF-44E3-9099-C40C66FF867C}">
                  <a14:compatExt spid="_x0000_s5123"/>
                </a:ext>
                <a:ext uri="{FF2B5EF4-FFF2-40B4-BE49-F238E27FC236}">
                  <a16:creationId xmlns:a16="http://schemas.microsoft.com/office/drawing/2014/main" id="{00000000-0008-0000-0200-000003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609600</xdr:colOff>
          <xdr:row>8</xdr:row>
          <xdr:rowOff>95250</xdr:rowOff>
        </xdr:from>
        <xdr:to>
          <xdr:col>8</xdr:col>
          <xdr:colOff>657225</xdr:colOff>
          <xdr:row>9</xdr:row>
          <xdr:rowOff>123825</xdr:rowOff>
        </xdr:to>
        <xdr:sp macro="" textlink="">
          <xdr:nvSpPr>
            <xdr:cNvPr id="5124" name="Object 4" hidden="1">
              <a:extLst>
                <a:ext uri="{63B3BB69-23CF-44E3-9099-C40C66FF867C}">
                  <a14:compatExt spid="_x0000_s5124"/>
                </a:ext>
                <a:ext uri="{FF2B5EF4-FFF2-40B4-BE49-F238E27FC236}">
                  <a16:creationId xmlns:a16="http://schemas.microsoft.com/office/drawing/2014/main" id="{00000000-0008-0000-0200-000004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247650</xdr:colOff>
          <xdr:row>0</xdr:row>
          <xdr:rowOff>200025</xdr:rowOff>
        </xdr:from>
        <xdr:to>
          <xdr:col>15</xdr:col>
          <xdr:colOff>466725</xdr:colOff>
          <xdr:row>3</xdr:row>
          <xdr:rowOff>114300</xdr:rowOff>
        </xdr:to>
        <xdr:sp macro="" textlink="">
          <xdr:nvSpPr>
            <xdr:cNvPr id="5126" name="Object 6" hidden="1">
              <a:extLst>
                <a:ext uri="{63B3BB69-23CF-44E3-9099-C40C66FF867C}">
                  <a14:compatExt spid="_x0000_s5126"/>
                </a:ext>
                <a:ext uri="{FF2B5EF4-FFF2-40B4-BE49-F238E27FC236}">
                  <a16:creationId xmlns:a16="http://schemas.microsoft.com/office/drawing/2014/main" id="{00000000-0008-0000-0200-000006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190500</xdr:colOff>
      <xdr:row>9</xdr:row>
      <xdr:rowOff>28575</xdr:rowOff>
    </xdr:from>
    <xdr:to>
      <xdr:col>18</xdr:col>
      <xdr:colOff>466214</xdr:colOff>
      <xdr:row>34</xdr:row>
      <xdr:rowOff>113686</xdr:rowOff>
    </xdr:to>
    <xdr:pic>
      <xdr:nvPicPr>
        <xdr:cNvPr id="13" name="Image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829925" y="14716125"/>
          <a:ext cx="4085714" cy="4914286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285750</xdr:colOff>
          <xdr:row>0</xdr:row>
          <xdr:rowOff>66675</xdr:rowOff>
        </xdr:from>
        <xdr:to>
          <xdr:col>9</xdr:col>
          <xdr:colOff>266700</xdr:colOff>
          <xdr:row>5</xdr:row>
          <xdr:rowOff>76200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3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438150</xdr:colOff>
          <xdr:row>5</xdr:row>
          <xdr:rowOff>133350</xdr:rowOff>
        </xdr:from>
        <xdr:to>
          <xdr:col>7</xdr:col>
          <xdr:colOff>590550</xdr:colOff>
          <xdr:row>7</xdr:row>
          <xdr:rowOff>57150</xdr:rowOff>
        </xdr:to>
        <xdr:sp macro="" textlink="">
          <xdr:nvSpPr>
            <xdr:cNvPr id="6146" name="Object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3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409575</xdr:colOff>
          <xdr:row>7</xdr:row>
          <xdr:rowOff>57150</xdr:rowOff>
        </xdr:from>
        <xdr:to>
          <xdr:col>7</xdr:col>
          <xdr:colOff>571500</xdr:colOff>
          <xdr:row>8</xdr:row>
          <xdr:rowOff>171450</xdr:rowOff>
        </xdr:to>
        <xdr:sp macro="" textlink="">
          <xdr:nvSpPr>
            <xdr:cNvPr id="6147" name="Object 3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00000000-0008-0000-03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542925</xdr:colOff>
          <xdr:row>8</xdr:row>
          <xdr:rowOff>171450</xdr:rowOff>
        </xdr:from>
        <xdr:to>
          <xdr:col>8</xdr:col>
          <xdr:colOff>590550</xdr:colOff>
          <xdr:row>10</xdr:row>
          <xdr:rowOff>9525</xdr:rowOff>
        </xdr:to>
        <xdr:sp macro="" textlink="">
          <xdr:nvSpPr>
            <xdr:cNvPr id="6148" name="Object 4" hidden="1">
              <a:extLst>
                <a:ext uri="{63B3BB69-23CF-44E3-9099-C40C66FF867C}">
                  <a14:compatExt spid="_x0000_s6148"/>
                </a:ext>
                <a:ext uri="{FF2B5EF4-FFF2-40B4-BE49-F238E27FC236}">
                  <a16:creationId xmlns:a16="http://schemas.microsoft.com/office/drawing/2014/main" id="{00000000-0008-0000-0300-000004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561975</xdr:colOff>
          <xdr:row>6</xdr:row>
          <xdr:rowOff>57150</xdr:rowOff>
        </xdr:from>
        <xdr:to>
          <xdr:col>17</xdr:col>
          <xdr:colOff>19050</xdr:colOff>
          <xdr:row>9</xdr:row>
          <xdr:rowOff>19050</xdr:rowOff>
        </xdr:to>
        <xdr:sp macro="" textlink="">
          <xdr:nvSpPr>
            <xdr:cNvPr id="6149" name="Object 5" hidden="1">
              <a:extLst>
                <a:ext uri="{63B3BB69-23CF-44E3-9099-C40C66FF867C}">
                  <a14:compatExt spid="_x0000_s6149"/>
                </a:ext>
                <a:ext uri="{FF2B5EF4-FFF2-40B4-BE49-F238E27FC236}">
                  <a16:creationId xmlns:a16="http://schemas.microsoft.com/office/drawing/2014/main" id="{00000000-0008-0000-0300-000005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w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11" Type="http://schemas.openxmlformats.org/officeDocument/2006/relationships/image" Target="../media/image4.wmf"/><Relationship Id="rId5" Type="http://schemas.openxmlformats.org/officeDocument/2006/relationships/image" Target="../media/image1.wmf"/><Relationship Id="rId10" Type="http://schemas.openxmlformats.org/officeDocument/2006/relationships/oleObject" Target="../embeddings/oleObject4.bin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wmf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7.bin"/><Relationship Id="rId13" Type="http://schemas.openxmlformats.org/officeDocument/2006/relationships/image" Target="../media/image5.emf"/><Relationship Id="rId3" Type="http://schemas.openxmlformats.org/officeDocument/2006/relationships/vmlDrawing" Target="../drawings/vmlDrawing2.vml"/><Relationship Id="rId7" Type="http://schemas.openxmlformats.org/officeDocument/2006/relationships/image" Target="../media/image4.wmf"/><Relationship Id="rId12" Type="http://schemas.openxmlformats.org/officeDocument/2006/relationships/oleObject" Target="../embeddings/oleObject9.bin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oleObject6.bin"/><Relationship Id="rId11" Type="http://schemas.openxmlformats.org/officeDocument/2006/relationships/image" Target="../media/image3.wmf"/><Relationship Id="rId5" Type="http://schemas.openxmlformats.org/officeDocument/2006/relationships/image" Target="../media/image1.wmf"/><Relationship Id="rId10" Type="http://schemas.openxmlformats.org/officeDocument/2006/relationships/oleObject" Target="../embeddings/oleObject8.bin"/><Relationship Id="rId4" Type="http://schemas.openxmlformats.org/officeDocument/2006/relationships/oleObject" Target="../embeddings/oleObject5.bin"/><Relationship Id="rId9" Type="http://schemas.openxmlformats.org/officeDocument/2006/relationships/image" Target="../media/image2.wmf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12.bin"/><Relationship Id="rId13" Type="http://schemas.openxmlformats.org/officeDocument/2006/relationships/image" Target="../media/image7.emf"/><Relationship Id="rId3" Type="http://schemas.openxmlformats.org/officeDocument/2006/relationships/vmlDrawing" Target="../drawings/vmlDrawing3.vml"/><Relationship Id="rId7" Type="http://schemas.openxmlformats.org/officeDocument/2006/relationships/image" Target="../media/image2.wmf"/><Relationship Id="rId12" Type="http://schemas.openxmlformats.org/officeDocument/2006/relationships/oleObject" Target="../embeddings/oleObject14.bin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openxmlformats.org/officeDocument/2006/relationships/oleObject" Target="../embeddings/oleObject11.bin"/><Relationship Id="rId11" Type="http://schemas.openxmlformats.org/officeDocument/2006/relationships/image" Target="../media/image4.wmf"/><Relationship Id="rId5" Type="http://schemas.openxmlformats.org/officeDocument/2006/relationships/image" Target="../media/image1.wmf"/><Relationship Id="rId10" Type="http://schemas.openxmlformats.org/officeDocument/2006/relationships/oleObject" Target="../embeddings/oleObject13.bin"/><Relationship Id="rId4" Type="http://schemas.openxmlformats.org/officeDocument/2006/relationships/oleObject" Target="../embeddings/oleObject10.bin"/><Relationship Id="rId9" Type="http://schemas.openxmlformats.org/officeDocument/2006/relationships/image" Target="../media/image3.wmf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17.bin"/><Relationship Id="rId13" Type="http://schemas.openxmlformats.org/officeDocument/2006/relationships/image" Target="../media/image9.emf"/><Relationship Id="rId3" Type="http://schemas.openxmlformats.org/officeDocument/2006/relationships/vmlDrawing" Target="../drawings/vmlDrawing4.vml"/><Relationship Id="rId7" Type="http://schemas.openxmlformats.org/officeDocument/2006/relationships/image" Target="../media/image2.wmf"/><Relationship Id="rId12" Type="http://schemas.openxmlformats.org/officeDocument/2006/relationships/oleObject" Target="../embeddings/oleObject19.bin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6" Type="http://schemas.openxmlformats.org/officeDocument/2006/relationships/oleObject" Target="../embeddings/oleObject16.bin"/><Relationship Id="rId11" Type="http://schemas.openxmlformats.org/officeDocument/2006/relationships/image" Target="../media/image4.wmf"/><Relationship Id="rId5" Type="http://schemas.openxmlformats.org/officeDocument/2006/relationships/image" Target="../media/image1.wmf"/><Relationship Id="rId10" Type="http://schemas.openxmlformats.org/officeDocument/2006/relationships/oleObject" Target="../embeddings/oleObject18.bin"/><Relationship Id="rId4" Type="http://schemas.openxmlformats.org/officeDocument/2006/relationships/oleObject" Target="../embeddings/oleObject15.bin"/><Relationship Id="rId9" Type="http://schemas.openxmlformats.org/officeDocument/2006/relationships/image" Target="../media/image3.w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J14"/>
  <sheetViews>
    <sheetView zoomScale="80" zoomScaleNormal="80" workbookViewId="0">
      <selection activeCell="E15" sqref="E15"/>
    </sheetView>
  </sheetViews>
  <sheetFormatPr defaultColWidth="11.42578125" defaultRowHeight="15"/>
  <cols>
    <col min="1" max="1" width="14.5703125" customWidth="1"/>
    <col min="2" max="2" width="12" bestFit="1" customWidth="1"/>
    <col min="3" max="3" width="13.28515625" customWidth="1"/>
    <col min="4" max="4" width="13.42578125" customWidth="1"/>
    <col min="5" max="5" width="13" customWidth="1"/>
    <col min="6" max="6" width="16.42578125" customWidth="1"/>
  </cols>
  <sheetData>
    <row r="2" spans="1:10" ht="18.75">
      <c r="A2" s="7" t="s">
        <v>0</v>
      </c>
    </row>
    <row r="5" spans="1:10" ht="18">
      <c r="A5" s="13" t="s">
        <v>3</v>
      </c>
    </row>
    <row r="6" spans="1:10">
      <c r="A6" s="46"/>
      <c r="B6" s="57" t="s">
        <v>1</v>
      </c>
      <c r="C6" s="57" t="s">
        <v>4</v>
      </c>
      <c r="D6" s="57" t="s">
        <v>5</v>
      </c>
    </row>
    <row r="7" spans="1:10">
      <c r="A7" s="47" t="s">
        <v>6</v>
      </c>
      <c r="B7" s="47">
        <v>16.59158</v>
      </c>
      <c r="C7" s="47">
        <v>3643.31</v>
      </c>
      <c r="D7" s="47">
        <v>-33.423999999999999</v>
      </c>
    </row>
    <row r="8" spans="1:10">
      <c r="A8" s="47" t="s">
        <v>7</v>
      </c>
      <c r="B8" s="47">
        <v>14.253259999999999</v>
      </c>
      <c r="C8" s="47">
        <v>2665.54</v>
      </c>
      <c r="D8" s="47">
        <v>-53.423999999999999</v>
      </c>
    </row>
    <row r="10" spans="1:10" ht="16.5">
      <c r="A10" s="14" t="s">
        <v>20</v>
      </c>
    </row>
    <row r="11" spans="1:10" ht="21">
      <c r="A11" s="5" t="s">
        <v>35</v>
      </c>
    </row>
    <row r="12" spans="1:10">
      <c r="A12" s="29" t="s">
        <v>12</v>
      </c>
      <c r="B12" s="53" t="s">
        <v>12</v>
      </c>
      <c r="D12" s="57" t="s">
        <v>17</v>
      </c>
      <c r="E12" s="57" t="s">
        <v>17</v>
      </c>
      <c r="H12" s="18" t="s">
        <v>13</v>
      </c>
      <c r="I12" s="18" t="s">
        <v>13</v>
      </c>
      <c r="J12" s="18" t="s">
        <v>13</v>
      </c>
    </row>
    <row r="13" spans="1:10" ht="20.25">
      <c r="A13" s="54" t="s">
        <v>2</v>
      </c>
      <c r="B13" s="55" t="s">
        <v>8</v>
      </c>
      <c r="C13" s="49" t="s">
        <v>1</v>
      </c>
      <c r="D13" s="49" t="s">
        <v>30</v>
      </c>
      <c r="E13" s="49" t="s">
        <v>31</v>
      </c>
      <c r="F13" s="49" t="s">
        <v>28</v>
      </c>
      <c r="G13" s="49" t="s">
        <v>29</v>
      </c>
      <c r="H13" s="48" t="s">
        <v>9</v>
      </c>
      <c r="I13" s="48" t="s">
        <v>10</v>
      </c>
      <c r="J13" s="48" t="s">
        <v>11</v>
      </c>
    </row>
    <row r="14" spans="1:10" ht="18.75">
      <c r="A14" s="54">
        <v>318.14999999999998</v>
      </c>
      <c r="B14" s="55">
        <v>0.25</v>
      </c>
      <c r="C14" s="50">
        <f>2.771-0.00523*$A$14</f>
        <v>1.1070754999999999</v>
      </c>
      <c r="D14" s="50">
        <f>EXP(16.59158-3643.31/($A$14-33.424))</f>
        <v>44.510902949867884</v>
      </c>
      <c r="E14" s="50">
        <f>EXP(14.25326-2665.54/($A$14-53.424))</f>
        <v>65.641457486254865</v>
      </c>
      <c r="F14" s="51">
        <f>EXP($C$14*(1-B14)^2)</f>
        <v>1.864009790660736</v>
      </c>
      <c r="G14" s="51">
        <f>EXP($C$14*B14^2)</f>
        <v>1.07164217907218</v>
      </c>
      <c r="H14" s="52">
        <f>B14*F14*D14+(1-B14)*G14*E14</f>
        <v>73.500305625958902</v>
      </c>
      <c r="I14" s="52">
        <f>B14*F14*D14/H14</f>
        <v>0.28220548942996704</v>
      </c>
      <c r="J14" s="52">
        <f>(1-B14)*G14*E14/H14</f>
        <v>0.71779451057003307</v>
      </c>
    </row>
  </sheetData>
  <pageMargins left="0.7" right="0.7" top="0.75" bottom="0.75" header="0.3" footer="0.3"/>
  <pageSetup paperSize="9" orientation="portrait" horizontalDpi="1200" verticalDpi="1200" r:id="rId1"/>
  <drawing r:id="rId2"/>
  <legacyDrawing r:id="rId3"/>
  <oleObjects>
    <mc:AlternateContent xmlns:mc="http://schemas.openxmlformats.org/markup-compatibility/2006">
      <mc:Choice Requires="x14">
        <oleObject progId="Equation.DSMT4" shapeId="3073" r:id="rId4">
          <objectPr defaultSize="0" autoPict="0" r:id="rId5">
            <anchor moveWithCells="1" sizeWithCells="1">
              <from>
                <xdr:col>4</xdr:col>
                <xdr:colOff>790575</xdr:colOff>
                <xdr:row>0</xdr:row>
                <xdr:rowOff>104775</xdr:rowOff>
              </from>
              <to>
                <xdr:col>7</xdr:col>
                <xdr:colOff>666750</xdr:colOff>
                <xdr:row>5</xdr:row>
                <xdr:rowOff>85725</xdr:rowOff>
              </to>
            </anchor>
          </objectPr>
        </oleObject>
      </mc:Choice>
      <mc:Fallback>
        <oleObject progId="Equation.DSMT4" shapeId="3073" r:id="rId4"/>
      </mc:Fallback>
    </mc:AlternateContent>
    <mc:AlternateContent xmlns:mc="http://schemas.openxmlformats.org/markup-compatibility/2006">
      <mc:Choice Requires="x14">
        <oleObject progId="Equation.DSMT4" shapeId="3074" r:id="rId6">
          <objectPr defaultSize="0" autoPict="0" r:id="rId7">
            <anchor moveWithCells="1" sizeWithCells="1">
              <from>
                <xdr:col>5</xdr:col>
                <xdr:colOff>0</xdr:colOff>
                <xdr:row>6</xdr:row>
                <xdr:rowOff>142875</xdr:rowOff>
              </from>
              <to>
                <xdr:col>6</xdr:col>
                <xdr:colOff>152400</xdr:colOff>
                <xdr:row>8</xdr:row>
                <xdr:rowOff>66675</xdr:rowOff>
              </to>
            </anchor>
          </objectPr>
        </oleObject>
      </mc:Choice>
      <mc:Fallback>
        <oleObject progId="Equation.DSMT4" shapeId="3074" r:id="rId6"/>
      </mc:Fallback>
    </mc:AlternateContent>
    <mc:AlternateContent xmlns:mc="http://schemas.openxmlformats.org/markup-compatibility/2006">
      <mc:Choice Requires="x14">
        <oleObject progId="Equation.DSMT4" shapeId="3075" r:id="rId8">
          <objectPr defaultSize="0" autoPict="0" r:id="rId9">
            <anchor moveWithCells="1" sizeWithCells="1">
              <from>
                <xdr:col>5</xdr:col>
                <xdr:colOff>0</xdr:colOff>
                <xdr:row>8</xdr:row>
                <xdr:rowOff>152400</xdr:rowOff>
              </from>
              <to>
                <xdr:col>6</xdr:col>
                <xdr:colOff>161925</xdr:colOff>
                <xdr:row>10</xdr:row>
                <xdr:rowOff>57150</xdr:rowOff>
              </to>
            </anchor>
          </objectPr>
        </oleObject>
      </mc:Choice>
      <mc:Fallback>
        <oleObject progId="Equation.DSMT4" shapeId="3075" r:id="rId8"/>
      </mc:Fallback>
    </mc:AlternateContent>
    <mc:AlternateContent xmlns:mc="http://schemas.openxmlformats.org/markup-compatibility/2006">
      <mc:Choice Requires="x14">
        <oleObject progId="Equation.DSMT4" shapeId="3076" r:id="rId10">
          <objectPr defaultSize="0" autoPict="0" r:id="rId11">
            <anchor moveWithCells="1" sizeWithCells="1">
              <from>
                <xdr:col>9</xdr:col>
                <xdr:colOff>0</xdr:colOff>
                <xdr:row>7</xdr:row>
                <xdr:rowOff>0</xdr:rowOff>
              </from>
              <to>
                <xdr:col>11</xdr:col>
                <xdr:colOff>381000</xdr:colOff>
                <xdr:row>8</xdr:row>
                <xdr:rowOff>28575</xdr:rowOff>
              </to>
            </anchor>
          </objectPr>
        </oleObject>
      </mc:Choice>
      <mc:Fallback>
        <oleObject progId="Equation.DSMT4" shapeId="3076" r:id="rId10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H34"/>
  <sheetViews>
    <sheetView topLeftCell="B21" zoomScale="66" zoomScaleNormal="90" workbookViewId="0">
      <selection activeCell="C18" sqref="C18"/>
    </sheetView>
  </sheetViews>
  <sheetFormatPr defaultColWidth="11.42578125" defaultRowHeight="15"/>
  <cols>
    <col min="1" max="1" width="14.28515625" customWidth="1"/>
    <col min="2" max="2" width="12" bestFit="1" customWidth="1"/>
    <col min="6" max="6" width="16.85546875" customWidth="1"/>
    <col min="7" max="7" width="16.42578125" customWidth="1"/>
    <col min="12" max="12" width="17.5703125" customWidth="1"/>
  </cols>
  <sheetData>
    <row r="2" spans="1:8" ht="18.75">
      <c r="A2" s="7" t="s">
        <v>0</v>
      </c>
    </row>
    <row r="5" spans="1:8" ht="18">
      <c r="A5" s="13" t="s">
        <v>3</v>
      </c>
    </row>
    <row r="6" spans="1:8">
      <c r="B6" s="60" t="s">
        <v>1</v>
      </c>
      <c r="C6" s="60" t="s">
        <v>4</v>
      </c>
      <c r="D6" s="60" t="s">
        <v>5</v>
      </c>
    </row>
    <row r="7" spans="1:8">
      <c r="A7" s="61" t="s">
        <v>6</v>
      </c>
      <c r="B7" s="1">
        <v>16.59158</v>
      </c>
      <c r="C7" s="1">
        <v>3643.31</v>
      </c>
      <c r="D7" s="1">
        <v>-33.423999999999999</v>
      </c>
    </row>
    <row r="8" spans="1:8">
      <c r="A8" s="61" t="s">
        <v>7</v>
      </c>
      <c r="B8" s="1">
        <v>14.253259999999999</v>
      </c>
      <c r="C8" s="1">
        <v>2665.54</v>
      </c>
      <c r="D8" s="1">
        <v>-53.423999999999999</v>
      </c>
    </row>
    <row r="9" spans="1:8" ht="16.5">
      <c r="A9" s="14" t="s">
        <v>21</v>
      </c>
    </row>
    <row r="10" spans="1:8">
      <c r="D10" s="57" t="s">
        <v>17</v>
      </c>
      <c r="E10" s="57" t="s">
        <v>17</v>
      </c>
    </row>
    <row r="11" spans="1:8" ht="20.25">
      <c r="A11" s="30" t="s">
        <v>2</v>
      </c>
      <c r="B11" s="30" t="s">
        <v>10</v>
      </c>
      <c r="C11" s="31" t="s">
        <v>1</v>
      </c>
      <c r="D11" s="49" t="s">
        <v>30</v>
      </c>
      <c r="E11" s="49" t="s">
        <v>31</v>
      </c>
    </row>
    <row r="12" spans="1:8">
      <c r="A12" s="32">
        <v>318.14999999999998</v>
      </c>
      <c r="B12" s="34">
        <v>0.6</v>
      </c>
      <c r="C12" s="33">
        <f>2.771-0.00523*$A$12</f>
        <v>1.1070754999999999</v>
      </c>
      <c r="D12" s="33">
        <f>EXP(16.59158-3643.31/($A$12-33.424))</f>
        <v>44.510902949867884</v>
      </c>
      <c r="E12" s="33">
        <f>EXP(14.25326-2665.54/($A$12-53.424))</f>
        <v>65.641457486254865</v>
      </c>
    </row>
    <row r="15" spans="1:8" ht="18.75">
      <c r="A15" s="49" t="s">
        <v>28</v>
      </c>
      <c r="B15" s="49" t="s">
        <v>29</v>
      </c>
      <c r="C15" s="21" t="s">
        <v>9</v>
      </c>
      <c r="D15" s="21" t="s">
        <v>8</v>
      </c>
      <c r="E15" s="21" t="s">
        <v>14</v>
      </c>
      <c r="F15" s="12" t="s">
        <v>19</v>
      </c>
      <c r="G15" s="12" t="s">
        <v>26</v>
      </c>
      <c r="H15" s="56" t="s">
        <v>27</v>
      </c>
    </row>
    <row r="16" spans="1:8">
      <c r="A16" s="66">
        <v>1</v>
      </c>
      <c r="B16" s="66">
        <v>1</v>
      </c>
      <c r="C16" s="26">
        <f>1/(($B$12/(A16*$D$12))+((1-$B$12)/(B16*$E$12)))</f>
        <v>51.089344163142812</v>
      </c>
      <c r="D16" s="27">
        <f>($B$12*C16)/(A16*$D$12)</f>
        <v>0.68867635717052267</v>
      </c>
      <c r="E16" s="26">
        <f>((1-$B$12)*C16)/(B16*$E$12)</f>
        <v>0.31132364282947728</v>
      </c>
      <c r="F16" s="11">
        <v>0</v>
      </c>
      <c r="G16" s="67"/>
      <c r="H16" s="67"/>
    </row>
    <row r="17" spans="1:8">
      <c r="A17" s="25">
        <f>EXP($C$12*E16^2)</f>
        <v>1.1132686592722649</v>
      </c>
      <c r="B17" s="27">
        <f>EXP($C$12*D16^2)</f>
        <v>1.6905575251417053</v>
      </c>
      <c r="C17" s="26">
        <f>1/(($B$12/(A17*$D$12))+((1-$B$12)/(B17*$E$12)))</f>
        <v>63.641961513278112</v>
      </c>
      <c r="D17" s="27">
        <f>($B$12*C17)/(A17*$D$12)</f>
        <v>0.77059896169952569</v>
      </c>
      <c r="E17" s="26">
        <f>((1-$B$12)*C17)/(B17*$E$12)</f>
        <v>0.22940103830047426</v>
      </c>
      <c r="F17" s="11">
        <v>1</v>
      </c>
      <c r="G17" s="26">
        <f>D17/(D17+E17)</f>
        <v>0.77059896169952569</v>
      </c>
      <c r="H17" s="67"/>
    </row>
    <row r="18" spans="1:8">
      <c r="A18" s="25">
        <f t="shared" ref="A18:A34" si="0">EXP($C$12*E17^2)</f>
        <v>1.0599902044967007</v>
      </c>
      <c r="B18" s="27">
        <f t="shared" ref="B18:B34" si="1">EXP($C$12*D17^2)</f>
        <v>1.9297812001386974</v>
      </c>
      <c r="C18" s="26">
        <f t="shared" ref="C18:C34" si="2">1/(($B$12/(A18*$D$12))+((1-$B$12)/(B18*$E$12)))</f>
        <v>62.9934294346698</v>
      </c>
      <c r="D18" s="27">
        <f t="shared" ref="D18:D34" si="3">($B$12*C18)/(A18*$D$12)</f>
        <v>0.80108434821930097</v>
      </c>
      <c r="E18" s="26">
        <f t="shared" ref="E18:E34" si="4">((1-$B$12)*C18)/(B18*$E$12)</f>
        <v>0.19891565178069892</v>
      </c>
      <c r="F18" s="11">
        <f>F17+1</f>
        <v>2</v>
      </c>
      <c r="G18" s="26">
        <f t="shared" ref="G18:G34" si="5">D18/(D18+E18)</f>
        <v>0.80108434821930108</v>
      </c>
      <c r="H18" s="28">
        <f>C18-C17</f>
        <v>-0.64853207860831219</v>
      </c>
    </row>
    <row r="19" spans="1:8">
      <c r="A19" s="25">
        <f t="shared" si="0"/>
        <v>1.0447777042401298</v>
      </c>
      <c r="B19" s="27">
        <f t="shared" si="1"/>
        <v>2.0349074734462764</v>
      </c>
      <c r="C19" s="26">
        <f t="shared" si="2"/>
        <v>62.906120236853916</v>
      </c>
      <c r="D19" s="27">
        <f t="shared" si="3"/>
        <v>0.81162207456708135</v>
      </c>
      <c r="E19" s="26">
        <f t="shared" si="4"/>
        <v>0.18837792543291856</v>
      </c>
      <c r="F19" s="11">
        <f t="shared" ref="F19:F34" si="6">F18+1</f>
        <v>3</v>
      </c>
      <c r="G19" s="26">
        <f t="shared" si="5"/>
        <v>0.81162207456708146</v>
      </c>
      <c r="H19" s="28">
        <f t="shared" ref="H19:H34" si="7">C19-C18</f>
        <v>-8.7309197815883977E-2</v>
      </c>
    </row>
    <row r="20" spans="1:8">
      <c r="A20" s="25">
        <f t="shared" si="0"/>
        <v>1.0400678485132016</v>
      </c>
      <c r="B20" s="27">
        <f t="shared" si="1"/>
        <v>2.0735544866990741</v>
      </c>
      <c r="C20" s="26">
        <f t="shared" si="2"/>
        <v>62.895782569424711</v>
      </c>
      <c r="D20" s="27">
        <f t="shared" si="3"/>
        <v>0.81516345193348561</v>
      </c>
      <c r="E20" s="26">
        <f t="shared" si="4"/>
        <v>0.18483654806651456</v>
      </c>
      <c r="F20" s="11">
        <f t="shared" si="6"/>
        <v>4</v>
      </c>
      <c r="G20" s="26">
        <f t="shared" si="5"/>
        <v>0.81516345193348538</v>
      </c>
      <c r="H20" s="28">
        <f t="shared" si="7"/>
        <v>-1.0337667429205055E-2</v>
      </c>
    </row>
    <row r="21" spans="1:8">
      <c r="A21" s="25">
        <f t="shared" si="0"/>
        <v>1.0385471192545579</v>
      </c>
      <c r="B21" s="27">
        <f t="shared" si="1"/>
        <v>2.0868217358403918</v>
      </c>
      <c r="C21" s="26">
        <f t="shared" si="2"/>
        <v>62.894618472301609</v>
      </c>
      <c r="D21" s="27">
        <f t="shared" si="3"/>
        <v>0.81634197435423472</v>
      </c>
      <c r="E21" s="26">
        <f t="shared" si="4"/>
        <v>0.18365802564576519</v>
      </c>
      <c r="F21" s="11">
        <f t="shared" si="6"/>
        <v>5</v>
      </c>
      <c r="G21" s="26">
        <f t="shared" si="5"/>
        <v>0.81634197435423483</v>
      </c>
      <c r="H21" s="28">
        <f t="shared" si="7"/>
        <v>-1.1640971231017261E-3</v>
      </c>
    </row>
    <row r="22" spans="1:8">
      <c r="A22" s="25">
        <f t="shared" si="0"/>
        <v>1.0380479268191902</v>
      </c>
      <c r="B22" s="27">
        <f t="shared" si="1"/>
        <v>2.0912685734986929</v>
      </c>
      <c r="C22" s="26">
        <f t="shared" si="2"/>
        <v>62.894489677457734</v>
      </c>
      <c r="D22" s="27">
        <f t="shared" si="3"/>
        <v>0.81673287692574881</v>
      </c>
      <c r="E22" s="26">
        <f t="shared" si="4"/>
        <v>0.18326712307425108</v>
      </c>
      <c r="F22" s="11">
        <f t="shared" si="6"/>
        <v>6</v>
      </c>
      <c r="G22" s="26">
        <f t="shared" si="5"/>
        <v>0.81673287692574892</v>
      </c>
      <c r="H22" s="28">
        <f t="shared" si="7"/>
        <v>-1.2879484387440243E-4</v>
      </c>
    </row>
    <row r="23" spans="1:8">
      <c r="A23" s="25">
        <f t="shared" si="0"/>
        <v>1.0378831082380455</v>
      </c>
      <c r="B23" s="27">
        <f t="shared" si="1"/>
        <v>2.0927470524369416</v>
      </c>
      <c r="C23" s="26">
        <f t="shared" si="2"/>
        <v>62.894475512331439</v>
      </c>
      <c r="D23" s="27">
        <f t="shared" si="3"/>
        <v>0.81686239229139879</v>
      </c>
      <c r="E23" s="26">
        <f t="shared" si="4"/>
        <v>0.18313760770860116</v>
      </c>
      <c r="F23" s="11">
        <f t="shared" si="6"/>
        <v>7</v>
      </c>
      <c r="G23" s="26">
        <f t="shared" si="5"/>
        <v>0.81686239229139879</v>
      </c>
      <c r="H23" s="28">
        <f t="shared" si="7"/>
        <v>-1.4165126295040409E-5</v>
      </c>
    </row>
    <row r="24" spans="1:8">
      <c r="A24" s="25">
        <f t="shared" si="0"/>
        <v>1.037828583116315</v>
      </c>
      <c r="B24" s="27">
        <f t="shared" si="1"/>
        <v>2.0932372945383184</v>
      </c>
      <c r="C24" s="26">
        <f t="shared" si="2"/>
        <v>62.894473957512332</v>
      </c>
      <c r="D24" s="27">
        <f t="shared" si="3"/>
        <v>0.81690528816397634</v>
      </c>
      <c r="E24" s="26">
        <f t="shared" si="4"/>
        <v>0.18309471183602374</v>
      </c>
      <c r="F24" s="11">
        <f t="shared" si="6"/>
        <v>8</v>
      </c>
      <c r="G24" s="26">
        <f t="shared" si="5"/>
        <v>0.81690528816397634</v>
      </c>
      <c r="H24" s="28">
        <f t="shared" si="7"/>
        <v>-1.554819107241201E-6</v>
      </c>
    </row>
    <row r="25" spans="1:8">
      <c r="A25" s="25">
        <f t="shared" si="0"/>
        <v>1.0378105333632466</v>
      </c>
      <c r="B25" s="27">
        <f t="shared" si="1"/>
        <v>2.0933997066295289</v>
      </c>
      <c r="C25" s="26">
        <f t="shared" si="2"/>
        <v>62.894473786961804</v>
      </c>
      <c r="D25" s="27">
        <f t="shared" si="3"/>
        <v>0.81691949368537276</v>
      </c>
      <c r="E25" s="26">
        <f t="shared" si="4"/>
        <v>0.18308050631462708</v>
      </c>
      <c r="F25" s="11">
        <f t="shared" si="6"/>
        <v>9</v>
      </c>
      <c r="G25" s="26">
        <f t="shared" si="5"/>
        <v>0.81691949368537298</v>
      </c>
      <c r="H25" s="28">
        <f t="shared" si="7"/>
        <v>-1.7055052836667528E-7</v>
      </c>
    </row>
    <row r="26" spans="1:8">
      <c r="A26" s="25">
        <f t="shared" si="0"/>
        <v>1.0378045569558969</v>
      </c>
      <c r="B26" s="27">
        <f t="shared" si="1"/>
        <v>2.0934534961454658</v>
      </c>
      <c r="C26" s="26">
        <f t="shared" si="2"/>
        <v>62.894473768257939</v>
      </c>
      <c r="D26" s="27">
        <f t="shared" si="3"/>
        <v>0.81692419783848935</v>
      </c>
      <c r="E26" s="26">
        <f t="shared" si="4"/>
        <v>0.18307580216151059</v>
      </c>
      <c r="F26" s="11">
        <f t="shared" si="6"/>
        <v>10</v>
      </c>
      <c r="G26" s="26">
        <f t="shared" si="5"/>
        <v>0.81692419783848935</v>
      </c>
      <c r="H26" s="28">
        <f t="shared" si="7"/>
        <v>-1.8703865123370633E-8</v>
      </c>
    </row>
    <row r="27" spans="1:8">
      <c r="A27" s="25">
        <f t="shared" si="0"/>
        <v>1.0378025779806175</v>
      </c>
      <c r="B27" s="27">
        <f t="shared" si="1"/>
        <v>2.0934713090344084</v>
      </c>
      <c r="C27" s="26">
        <f t="shared" si="2"/>
        <v>62.894473766206879</v>
      </c>
      <c r="D27" s="27">
        <f t="shared" si="3"/>
        <v>0.81692575559637048</v>
      </c>
      <c r="E27" s="26">
        <f t="shared" si="4"/>
        <v>0.18307424440362946</v>
      </c>
      <c r="F27" s="11">
        <f t="shared" si="6"/>
        <v>11</v>
      </c>
      <c r="G27" s="26">
        <f t="shared" si="5"/>
        <v>0.81692575559637048</v>
      </c>
      <c r="H27" s="28">
        <f t="shared" si="7"/>
        <v>-2.0510597664724628E-9</v>
      </c>
    </row>
    <row r="28" spans="1:8">
      <c r="A28" s="25">
        <f t="shared" si="0"/>
        <v>1.0378019226644257</v>
      </c>
      <c r="B28" s="27">
        <f t="shared" si="1"/>
        <v>2.0934772077436854</v>
      </c>
      <c r="C28" s="26">
        <f t="shared" si="2"/>
        <v>62.894473765981971</v>
      </c>
      <c r="D28" s="27">
        <f t="shared" si="3"/>
        <v>0.81692627143820074</v>
      </c>
      <c r="E28" s="26">
        <f t="shared" si="4"/>
        <v>0.18307372856179924</v>
      </c>
      <c r="F28" s="11">
        <f t="shared" si="6"/>
        <v>12</v>
      </c>
      <c r="G28" s="26">
        <f t="shared" si="5"/>
        <v>0.81692627143820074</v>
      </c>
      <c r="H28" s="28">
        <f t="shared" si="7"/>
        <v>-2.2490809215014451E-10</v>
      </c>
    </row>
    <row r="29" spans="1:8">
      <c r="A29" s="25">
        <f t="shared" si="0"/>
        <v>1.0378017056618662</v>
      </c>
      <c r="B29" s="27">
        <f t="shared" si="1"/>
        <v>2.0934791610707038</v>
      </c>
      <c r="C29" s="26">
        <f t="shared" si="2"/>
        <v>62.894473765957308</v>
      </c>
      <c r="D29" s="27">
        <f t="shared" si="3"/>
        <v>0.81692644225576483</v>
      </c>
      <c r="E29" s="26">
        <f t="shared" si="4"/>
        <v>0.18307355774423525</v>
      </c>
      <c r="F29" s="11">
        <f t="shared" si="6"/>
        <v>13</v>
      </c>
      <c r="G29" s="26">
        <f t="shared" si="5"/>
        <v>0.81692644225576483</v>
      </c>
      <c r="H29" s="28">
        <f t="shared" si="7"/>
        <v>-2.4662938358233077E-11</v>
      </c>
    </row>
    <row r="30" spans="1:8">
      <c r="A30" s="25">
        <f t="shared" si="0"/>
        <v>1.0378016338030682</v>
      </c>
      <c r="B30" s="27">
        <f t="shared" si="1"/>
        <v>2.0934798079025252</v>
      </c>
      <c r="C30" s="26">
        <f t="shared" si="2"/>
        <v>62.894473765954601</v>
      </c>
      <c r="D30" s="27">
        <f t="shared" si="3"/>
        <v>0.81692649882082879</v>
      </c>
      <c r="E30" s="26">
        <f t="shared" si="4"/>
        <v>0.18307350117917121</v>
      </c>
      <c r="F30" s="11">
        <f t="shared" si="6"/>
        <v>14</v>
      </c>
      <c r="G30" s="26">
        <f t="shared" si="5"/>
        <v>0.81692649882082879</v>
      </c>
      <c r="H30" s="28">
        <f t="shared" si="7"/>
        <v>-2.7071678232459817E-12</v>
      </c>
    </row>
    <row r="31" spans="1:8">
      <c r="A31" s="25">
        <f t="shared" si="0"/>
        <v>1.0378016100075362</v>
      </c>
      <c r="B31" s="27">
        <f t="shared" si="1"/>
        <v>2.0934800220965175</v>
      </c>
      <c r="C31" s="26">
        <f t="shared" si="2"/>
        <v>62.894473765954302</v>
      </c>
      <c r="D31" s="27">
        <f t="shared" si="3"/>
        <v>0.81692651755195844</v>
      </c>
      <c r="E31" s="26">
        <f t="shared" si="4"/>
        <v>0.18307348244804145</v>
      </c>
      <c r="F31" s="11">
        <f t="shared" si="6"/>
        <v>15</v>
      </c>
      <c r="G31" s="26">
        <f t="shared" si="5"/>
        <v>0.81692651755195855</v>
      </c>
      <c r="H31" s="28">
        <f t="shared" si="7"/>
        <v>-2.9842794901924208E-13</v>
      </c>
    </row>
    <row r="32" spans="1:8">
      <c r="A32" s="25">
        <f t="shared" si="0"/>
        <v>1.0378016021278123</v>
      </c>
      <c r="B32" s="27">
        <f t="shared" si="1"/>
        <v>2.0934800930253847</v>
      </c>
      <c r="C32" s="26">
        <f t="shared" si="2"/>
        <v>62.894473765954288</v>
      </c>
      <c r="D32" s="27">
        <f t="shared" si="3"/>
        <v>0.81692652375464236</v>
      </c>
      <c r="E32" s="26">
        <f t="shared" si="4"/>
        <v>0.1830734762453578</v>
      </c>
      <c r="F32" s="11">
        <f t="shared" si="6"/>
        <v>16</v>
      </c>
      <c r="G32" s="26">
        <f t="shared" si="5"/>
        <v>0.81692652375464214</v>
      </c>
      <c r="H32" s="28">
        <f t="shared" si="7"/>
        <v>0</v>
      </c>
    </row>
    <row r="33" spans="1:8">
      <c r="A33" s="25">
        <f t="shared" si="0"/>
        <v>1.0378015995184964</v>
      </c>
      <c r="B33" s="27">
        <f t="shared" si="1"/>
        <v>2.0934801165129886</v>
      </c>
      <c r="C33" s="26">
        <f t="shared" si="2"/>
        <v>62.894473765954274</v>
      </c>
      <c r="D33" s="27">
        <f t="shared" si="3"/>
        <v>0.81692652580861802</v>
      </c>
      <c r="E33" s="26">
        <f t="shared" si="4"/>
        <v>0.18307347419138204</v>
      </c>
      <c r="F33" s="11">
        <f t="shared" si="6"/>
        <v>17</v>
      </c>
      <c r="G33" s="26">
        <f t="shared" si="5"/>
        <v>0.81692652580861802</v>
      </c>
      <c r="H33" s="28">
        <f t="shared" si="7"/>
        <v>0</v>
      </c>
    </row>
    <row r="34" spans="1:8">
      <c r="A34" s="70">
        <f t="shared" si="0"/>
        <v>1.0378015986544395</v>
      </c>
      <c r="B34" s="71">
        <f t="shared" si="1"/>
        <v>2.0934801242907453</v>
      </c>
      <c r="C34" s="72">
        <f t="shared" si="2"/>
        <v>62.894473765954274</v>
      </c>
      <c r="D34" s="71">
        <f t="shared" si="3"/>
        <v>0.81692652648877773</v>
      </c>
      <c r="E34" s="72">
        <f t="shared" si="4"/>
        <v>0.1830734735112223</v>
      </c>
      <c r="F34" s="73">
        <f t="shared" si="6"/>
        <v>18</v>
      </c>
      <c r="G34" s="72">
        <f t="shared" si="5"/>
        <v>0.81692652648877773</v>
      </c>
      <c r="H34" s="74">
        <f t="shared" si="7"/>
        <v>0</v>
      </c>
    </row>
  </sheetData>
  <pageMargins left="0.7" right="0.7" top="0.75" bottom="0.75" header="0.3" footer="0.3"/>
  <pageSetup paperSize="9" orientation="portrait" horizontalDpi="1200" verticalDpi="1200" r:id="rId1"/>
  <drawing r:id="rId2"/>
  <legacyDrawing r:id="rId3"/>
  <oleObjects>
    <mc:AlternateContent xmlns:mc="http://schemas.openxmlformats.org/markup-compatibility/2006">
      <mc:Choice Requires="x14">
        <oleObject progId="Equation.DSMT4" shapeId="4097" r:id="rId4">
          <objectPr defaultSize="0" autoPict="0" r:id="rId5">
            <anchor moveWithCells="1" sizeWithCells="1">
              <from>
                <xdr:col>5</xdr:col>
                <xdr:colOff>304800</xdr:colOff>
                <xdr:row>3</xdr:row>
                <xdr:rowOff>47625</xdr:rowOff>
              </from>
              <to>
                <xdr:col>7</xdr:col>
                <xdr:colOff>685800</xdr:colOff>
                <xdr:row>8</xdr:row>
                <xdr:rowOff>76200</xdr:rowOff>
              </to>
            </anchor>
          </objectPr>
        </oleObject>
      </mc:Choice>
      <mc:Fallback>
        <oleObject progId="Equation.DSMT4" shapeId="4097" r:id="rId4"/>
      </mc:Fallback>
    </mc:AlternateContent>
    <mc:AlternateContent xmlns:mc="http://schemas.openxmlformats.org/markup-compatibility/2006">
      <mc:Choice Requires="x14">
        <oleObject progId="Equation.DSMT4" shapeId="4098" r:id="rId6">
          <objectPr defaultSize="0" autoPict="0" r:id="rId7">
            <anchor moveWithCells="1" sizeWithCells="1">
              <from>
                <xdr:col>5</xdr:col>
                <xdr:colOff>809625</xdr:colOff>
                <xdr:row>11</xdr:row>
                <xdr:rowOff>85725</xdr:rowOff>
              </from>
              <to>
                <xdr:col>7</xdr:col>
                <xdr:colOff>495300</xdr:colOff>
                <xdr:row>12</xdr:row>
                <xdr:rowOff>114300</xdr:rowOff>
              </to>
            </anchor>
          </objectPr>
        </oleObject>
      </mc:Choice>
      <mc:Fallback>
        <oleObject progId="Equation.DSMT4" shapeId="4098" r:id="rId6"/>
      </mc:Fallback>
    </mc:AlternateContent>
    <mc:AlternateContent xmlns:mc="http://schemas.openxmlformats.org/markup-compatibility/2006">
      <mc:Choice Requires="x14">
        <oleObject progId="Equation.DSMT4" shapeId="4099" r:id="rId8">
          <objectPr defaultSize="0" autoPict="0" r:id="rId9">
            <anchor moveWithCells="1" sizeWithCells="1">
              <from>
                <xdr:col>5</xdr:col>
                <xdr:colOff>285750</xdr:colOff>
                <xdr:row>8</xdr:row>
                <xdr:rowOff>85725</xdr:rowOff>
              </from>
              <to>
                <xdr:col>6</xdr:col>
                <xdr:colOff>409575</xdr:colOff>
                <xdr:row>9</xdr:row>
                <xdr:rowOff>180975</xdr:rowOff>
              </to>
            </anchor>
          </objectPr>
        </oleObject>
      </mc:Choice>
      <mc:Fallback>
        <oleObject progId="Equation.DSMT4" shapeId="4099" r:id="rId8"/>
      </mc:Fallback>
    </mc:AlternateContent>
    <mc:AlternateContent xmlns:mc="http://schemas.openxmlformats.org/markup-compatibility/2006">
      <mc:Choice Requires="x14">
        <oleObject progId="Equation.DSMT4" shapeId="4100" r:id="rId10">
          <objectPr defaultSize="0" autoPict="0" r:id="rId11">
            <anchor moveWithCells="1" sizeWithCells="1">
              <from>
                <xdr:col>5</xdr:col>
                <xdr:colOff>285750</xdr:colOff>
                <xdr:row>9</xdr:row>
                <xdr:rowOff>171450</xdr:rowOff>
              </from>
              <to>
                <xdr:col>6</xdr:col>
                <xdr:colOff>419100</xdr:colOff>
                <xdr:row>11</xdr:row>
                <xdr:rowOff>28575</xdr:rowOff>
              </to>
            </anchor>
          </objectPr>
        </oleObject>
      </mc:Choice>
      <mc:Fallback>
        <oleObject progId="Equation.DSMT4" shapeId="4100" r:id="rId10"/>
      </mc:Fallback>
    </mc:AlternateContent>
    <mc:AlternateContent xmlns:mc="http://schemas.openxmlformats.org/markup-compatibility/2006">
      <mc:Choice Requires="x14">
        <oleObject progId="Equation.DSMT4" shapeId="4101" r:id="rId12">
          <objectPr defaultSize="0" r:id="rId13">
            <anchor moveWithCells="1">
              <from>
                <xdr:col>9</xdr:col>
                <xdr:colOff>676275</xdr:colOff>
                <xdr:row>1</xdr:row>
                <xdr:rowOff>104775</xdr:rowOff>
              </from>
              <to>
                <xdr:col>11</xdr:col>
                <xdr:colOff>895350</xdr:colOff>
                <xdr:row>4</xdr:row>
                <xdr:rowOff>19050</xdr:rowOff>
              </to>
            </anchor>
          </objectPr>
        </oleObject>
      </mc:Choice>
      <mc:Fallback>
        <oleObject progId="Equation.DSMT4" shapeId="4101" r:id="rId12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7"/>
  <sheetViews>
    <sheetView tabSelected="1" topLeftCell="A6" zoomScale="90" zoomScaleNormal="90" workbookViewId="0">
      <selection activeCell="H14" sqref="H14"/>
    </sheetView>
  </sheetViews>
  <sheetFormatPr defaultColWidth="11.42578125" defaultRowHeight="15"/>
  <cols>
    <col min="1" max="1" width="13.5703125" customWidth="1"/>
    <col min="2" max="2" width="12" bestFit="1" customWidth="1"/>
    <col min="6" max="6" width="16.85546875" customWidth="1"/>
    <col min="7" max="7" width="16.42578125" customWidth="1"/>
  </cols>
  <sheetData>
    <row r="1" spans="1:12" ht="18.75">
      <c r="A1" s="7" t="s">
        <v>0</v>
      </c>
    </row>
    <row r="5" spans="1:12" ht="16.5">
      <c r="A5" s="14" t="s">
        <v>22</v>
      </c>
    </row>
    <row r="6" spans="1:12" ht="21">
      <c r="A6" s="5" t="s">
        <v>15</v>
      </c>
    </row>
    <row r="7" spans="1:12">
      <c r="A7" s="23" t="s">
        <v>16</v>
      </c>
      <c r="B7" s="23">
        <v>101.33</v>
      </c>
      <c r="C7" t="s">
        <v>17</v>
      </c>
    </row>
    <row r="8" spans="1:12">
      <c r="A8" s="23" t="s">
        <v>8</v>
      </c>
      <c r="B8" s="23">
        <v>0.85</v>
      </c>
    </row>
    <row r="9" spans="1:12">
      <c r="A9" s="57" t="s">
        <v>3</v>
      </c>
      <c r="B9" s="57" t="s">
        <v>1</v>
      </c>
      <c r="C9" s="57" t="s">
        <v>4</v>
      </c>
      <c r="D9" s="57" t="s">
        <v>5</v>
      </c>
      <c r="E9" s="11" t="s">
        <v>33</v>
      </c>
    </row>
    <row r="10" spans="1:12">
      <c r="A10" s="47" t="s">
        <v>6</v>
      </c>
      <c r="B10" s="47">
        <v>16.59158</v>
      </c>
      <c r="C10" s="47">
        <v>3643.31</v>
      </c>
      <c r="D10" s="47">
        <v>-33.423999999999999</v>
      </c>
      <c r="E10" s="59">
        <f>($C$10/($B$10-LN('Température de bulle'!$B$7)))-'Température de bulle'!$D$10</f>
        <v>337.71280884266304</v>
      </c>
      <c r="F10" s="2"/>
    </row>
    <row r="11" spans="1:12" ht="15.75" thickBot="1">
      <c r="A11" s="47" t="s">
        <v>7</v>
      </c>
      <c r="B11" s="47">
        <v>14.253259999999999</v>
      </c>
      <c r="C11" s="47">
        <v>2665.54</v>
      </c>
      <c r="D11" s="47">
        <v>-53.423999999999999</v>
      </c>
      <c r="E11" s="59">
        <f>($C$11/($B$11-LN($B$7)))-$D$11</f>
        <v>330.07930826214078</v>
      </c>
      <c r="F11" s="2"/>
    </row>
    <row r="12" spans="1:12" ht="15.75" thickBot="1">
      <c r="E12" s="57" t="s">
        <v>17</v>
      </c>
      <c r="F12" s="57" t="s">
        <v>17</v>
      </c>
      <c r="H12" s="64" t="s">
        <v>17</v>
      </c>
      <c r="I12" s="65" t="s">
        <v>32</v>
      </c>
    </row>
    <row r="13" spans="1:12" ht="20.25">
      <c r="A13" s="9" t="s">
        <v>18</v>
      </c>
      <c r="B13" s="10" t="s">
        <v>1</v>
      </c>
      <c r="C13" s="49" t="s">
        <v>28</v>
      </c>
      <c r="D13" s="49" t="s">
        <v>29</v>
      </c>
      <c r="E13" s="49" t="s">
        <v>30</v>
      </c>
      <c r="F13" s="49" t="s">
        <v>31</v>
      </c>
      <c r="G13" s="49" t="s">
        <v>37</v>
      </c>
      <c r="H13" s="63" t="s">
        <v>30</v>
      </c>
      <c r="I13" s="12" t="s">
        <v>23</v>
      </c>
      <c r="J13" s="12" t="s">
        <v>24</v>
      </c>
      <c r="K13" s="21" t="s">
        <v>10</v>
      </c>
      <c r="L13" s="21" t="s">
        <v>11</v>
      </c>
    </row>
    <row r="14" spans="1:12">
      <c r="A14" s="69">
        <f>$B$8*$E$10+(1-$B$8)*$E$11</f>
        <v>336.56778375558468</v>
      </c>
      <c r="B14" s="15">
        <f>2.771-0.00523*A14</f>
        <v>1.0107504909582918</v>
      </c>
      <c r="C14" s="24">
        <f>EXP(B14*(1-$B$8)^2)</f>
        <v>1.0230024542587888</v>
      </c>
      <c r="D14" s="24">
        <f>EXP(B14*$B$8^2)</f>
        <v>2.0756352049775626</v>
      </c>
      <c r="E14" s="24">
        <f>EXP(16.59158-3643.31/(A14-33.424))</f>
        <v>96.849452387968427</v>
      </c>
      <c r="F14" s="17">
        <f>EXP($B$11-$C$11/(A14+$D$11))</f>
        <v>126.36490022258396</v>
      </c>
      <c r="G14" s="16">
        <f>F14/E14</f>
        <v>1.3047559599653682</v>
      </c>
      <c r="H14" s="20">
        <f>$B$7/($B$8*C14+(1-$B$8)*D14*G14)</f>
        <v>79.425814193488762</v>
      </c>
      <c r="I14" s="20">
        <f>($C$10/($B$10-LN(H14)))-$D$10</f>
        <v>331.64636200604667</v>
      </c>
      <c r="J14" s="68"/>
      <c r="K14" s="19">
        <f>$B$8*C14*H14/$B$7</f>
        <v>0.68158376022624401</v>
      </c>
      <c r="L14" s="19">
        <f>(1-$B$8)*D14*F14/$B$7</f>
        <v>0.38826719960841655</v>
      </c>
    </row>
    <row r="15" spans="1:12">
      <c r="A15" s="6">
        <f>($C$10/($B$10-LN(H14)))-$D$10</f>
        <v>331.64636200604667</v>
      </c>
      <c r="B15" s="75">
        <f>2.771-0.00523*A15</f>
        <v>1.0364895267083758</v>
      </c>
      <c r="C15" s="76">
        <f>EXP(B15*(1-$B$8)^2)</f>
        <v>1.0235950755208072</v>
      </c>
      <c r="D15" s="76">
        <f>EXP(B15*$B$8^2)</f>
        <v>2.1145957998387126</v>
      </c>
      <c r="E15" s="76">
        <f>EXP(16.59158-3643.31/(A15-33.424))</f>
        <v>79.425814193488776</v>
      </c>
      <c r="F15" s="77">
        <f>EXP($B$11-$C$11/(A15+$D$11))</f>
        <v>106.98084475940583</v>
      </c>
      <c r="G15" s="78">
        <f>F15/E15</f>
        <v>1.3469278954923949</v>
      </c>
      <c r="H15" s="20">
        <f>$B$7/($B$8*C15+(1-$B$8)*D15*G15)</f>
        <v>78.109160166940171</v>
      </c>
      <c r="I15" s="20">
        <f>($C$10/($B$10-LN(H15)))-$D$10</f>
        <v>331.23886422974709</v>
      </c>
      <c r="J15" s="22">
        <f>I15-I14</f>
        <v>-0.40749777629957862</v>
      </c>
      <c r="K15" s="79">
        <f>$B$8*C15*H15/$B$7</f>
        <v>0.67067333410593166</v>
      </c>
      <c r="L15" s="79">
        <f>(1-$B$8)*D15*F15/$B$7</f>
        <v>0.33487799021726578</v>
      </c>
    </row>
    <row r="16" spans="1:12">
      <c r="A16" s="6">
        <f>($C$10/($B$10-LN(H15)))-$D$10</f>
        <v>331.23886422974709</v>
      </c>
      <c r="B16" s="75">
        <f t="shared" ref="B16:B27" si="0">2.771-0.00523*A16</f>
        <v>1.0386207400784224</v>
      </c>
      <c r="C16" s="76">
        <f t="shared" ref="C16:C27" si="1">EXP(B16*(1-$B$8)^2)</f>
        <v>1.0236441604366504</v>
      </c>
      <c r="D16" s="76">
        <f t="shared" ref="D16:D27" si="2">EXP(B16*$B$8^2)</f>
        <v>2.1178543660902607</v>
      </c>
      <c r="E16" s="76">
        <f t="shared" ref="E16:E27" si="3">EXP(16.59158-3643.31/(A16-33.424))</f>
        <v>78.109160166940072</v>
      </c>
      <c r="F16" s="77">
        <f t="shared" ref="F16:F27" si="4">EXP($B$11-$C$11/(A16+$D$11))</f>
        <v>105.48797814925319</v>
      </c>
      <c r="G16" s="78">
        <f t="shared" ref="G16:G27" si="5">F16/E16</f>
        <v>1.3505199380430835</v>
      </c>
      <c r="H16" s="20">
        <f t="shared" ref="H16:H27" si="6">$B$7/($B$8*C16+(1-$B$8)*D16*G16)</f>
        <v>77.998459705472911</v>
      </c>
      <c r="I16" s="20">
        <f t="shared" ref="I16:I27" si="7">($C$10/($B$10-LN(H16)))-$D$10</f>
        <v>331.2043417752576</v>
      </c>
      <c r="J16" s="22">
        <f t="shared" ref="J16:J27" si="8">I16-I15</f>
        <v>-3.4522454489490428E-2</v>
      </c>
      <c r="K16" s="79">
        <f t="shared" ref="K16:K27" si="9">$B$8*C16*H16/$B$7</f>
        <v>0.66975493566048172</v>
      </c>
      <c r="L16" s="79">
        <f t="shared" ref="L16:L27" si="10">(1-$B$8)*D16*F16/$B$7</f>
        <v>0.33071376950571885</v>
      </c>
    </row>
    <row r="17" spans="1:12">
      <c r="A17" s="6">
        <f t="shared" ref="A17:A27" si="11">($C$10/($B$10-LN(H16)))-$D$10</f>
        <v>331.2043417752576</v>
      </c>
      <c r="B17" s="75">
        <f t="shared" si="0"/>
        <v>1.0388012925154027</v>
      </c>
      <c r="C17" s="76">
        <f t="shared" si="1"/>
        <v>1.0236483189276719</v>
      </c>
      <c r="D17" s="76">
        <f t="shared" si="2"/>
        <v>2.1181306563824172</v>
      </c>
      <c r="E17" s="76">
        <f t="shared" si="3"/>
        <v>77.998459705472698</v>
      </c>
      <c r="F17" s="77">
        <f t="shared" si="4"/>
        <v>105.36226695666375</v>
      </c>
      <c r="G17" s="78">
        <f t="shared" si="5"/>
        <v>1.3508249695509191</v>
      </c>
      <c r="H17" s="20">
        <f t="shared" si="6"/>
        <v>77.989069551338289</v>
      </c>
      <c r="I17" s="20">
        <f t="shared" si="7"/>
        <v>331.20141152652553</v>
      </c>
      <c r="J17" s="22">
        <f t="shared" si="8"/>
        <v>-2.930248732070595E-3</v>
      </c>
      <c r="K17" s="79">
        <f t="shared" si="9"/>
        <v>0.6696770250648042</v>
      </c>
      <c r="L17" s="79">
        <f t="shared" si="10"/>
        <v>0.33036274696564349</v>
      </c>
    </row>
    <row r="18" spans="1:12">
      <c r="A18" s="6">
        <f t="shared" si="11"/>
        <v>331.20141152652553</v>
      </c>
      <c r="B18" s="75">
        <f t="shared" si="0"/>
        <v>1.0388166177162712</v>
      </c>
      <c r="C18" s="76">
        <f t="shared" si="1"/>
        <v>1.0236486718990954</v>
      </c>
      <c r="D18" s="76">
        <f t="shared" si="2"/>
        <v>2.1181541094242009</v>
      </c>
      <c r="E18" s="76">
        <f t="shared" si="3"/>
        <v>77.989069551338204</v>
      </c>
      <c r="F18" s="77">
        <f t="shared" si="4"/>
        <v>105.35160211574339</v>
      </c>
      <c r="G18" s="78">
        <f t="shared" si="5"/>
        <v>1.3508508656638496</v>
      </c>
      <c r="H18" s="20">
        <f t="shared" si="6"/>
        <v>77.988272434748581</v>
      </c>
      <c r="I18" s="20">
        <f t="shared" si="7"/>
        <v>331.20116276836285</v>
      </c>
      <c r="J18" s="22">
        <f t="shared" si="8"/>
        <v>-2.4875816268377093E-4</v>
      </c>
      <c r="K18" s="79">
        <f t="shared" si="9"/>
        <v>0.66967041129285443</v>
      </c>
      <c r="L18" s="79">
        <f t="shared" si="10"/>
        <v>0.33033296499933662</v>
      </c>
    </row>
    <row r="19" spans="1:12">
      <c r="A19" s="6">
        <f t="shared" si="11"/>
        <v>331.20116276836285</v>
      </c>
      <c r="B19" s="75">
        <f t="shared" si="0"/>
        <v>1.0388179187214621</v>
      </c>
      <c r="C19" s="76">
        <f t="shared" si="1"/>
        <v>1.0236487018639711</v>
      </c>
      <c r="D19" s="76">
        <f t="shared" si="2"/>
        <v>2.1181561004396943</v>
      </c>
      <c r="E19" s="76">
        <f t="shared" si="3"/>
        <v>77.988272434748495</v>
      </c>
      <c r="F19" s="77">
        <f t="shared" si="4"/>
        <v>105.35069678272737</v>
      </c>
      <c r="G19" s="78">
        <f t="shared" si="5"/>
        <v>1.3508530641048955</v>
      </c>
      <c r="H19" s="20">
        <f t="shared" si="6"/>
        <v>77.988204764365989</v>
      </c>
      <c r="I19" s="20">
        <f t="shared" si="7"/>
        <v>331.20114165019982</v>
      </c>
      <c r="J19" s="22">
        <f t="shared" si="8"/>
        <v>-2.1118163033406745E-5</v>
      </c>
      <c r="K19" s="79">
        <f t="shared" si="9"/>
        <v>0.66966984982318256</v>
      </c>
      <c r="L19" s="79">
        <f t="shared" si="10"/>
        <v>0.33033043680436169</v>
      </c>
    </row>
    <row r="20" spans="1:12">
      <c r="A20" s="6">
        <f t="shared" si="11"/>
        <v>331.20114165019982</v>
      </c>
      <c r="B20" s="75">
        <f t="shared" si="0"/>
        <v>1.0388180291694549</v>
      </c>
      <c r="C20" s="76">
        <f t="shared" si="1"/>
        <v>1.0236487044078197</v>
      </c>
      <c r="D20" s="76">
        <f t="shared" si="2"/>
        <v>2.1181562694657505</v>
      </c>
      <c r="E20" s="76">
        <f t="shared" si="3"/>
        <v>77.988204764365989</v>
      </c>
      <c r="F20" s="77">
        <f t="shared" si="4"/>
        <v>105.35061992535124</v>
      </c>
      <c r="G20" s="78">
        <f t="shared" si="5"/>
        <v>1.3508532507403934</v>
      </c>
      <c r="H20" s="20">
        <f t="shared" si="6"/>
        <v>77.988199019528309</v>
      </c>
      <c r="I20" s="20">
        <f t="shared" si="7"/>
        <v>331.20113985738499</v>
      </c>
      <c r="J20" s="22">
        <f t="shared" si="8"/>
        <v>-1.7928148281498579E-6</v>
      </c>
      <c r="K20" s="79">
        <f t="shared" si="9"/>
        <v>0.66966980215753924</v>
      </c>
      <c r="L20" s="79">
        <f t="shared" si="10"/>
        <v>0.33033022217554453</v>
      </c>
    </row>
    <row r="21" spans="1:12">
      <c r="A21" s="6">
        <f t="shared" si="11"/>
        <v>331.20113985738499</v>
      </c>
      <c r="B21" s="75">
        <f t="shared" si="0"/>
        <v>1.0388180385458763</v>
      </c>
      <c r="C21" s="76">
        <f t="shared" si="1"/>
        <v>1.0236487046237783</v>
      </c>
      <c r="D21" s="76">
        <f t="shared" si="2"/>
        <v>2.1181562838151251</v>
      </c>
      <c r="E21" s="76">
        <f t="shared" si="3"/>
        <v>77.988199019528338</v>
      </c>
      <c r="F21" s="77">
        <f t="shared" si="4"/>
        <v>105.35061340058849</v>
      </c>
      <c r="G21" s="78">
        <f t="shared" si="5"/>
        <v>1.3508532665847119</v>
      </c>
      <c r="H21" s="20">
        <f t="shared" si="6"/>
        <v>77.988198531823471</v>
      </c>
      <c r="I21" s="20">
        <f t="shared" si="7"/>
        <v>331.20113970518491</v>
      </c>
      <c r="J21" s="22">
        <f t="shared" si="8"/>
        <v>-1.5220007298921701E-7</v>
      </c>
      <c r="K21" s="79">
        <f t="shared" si="9"/>
        <v>0.66966979811099059</v>
      </c>
      <c r="L21" s="79">
        <f t="shared" si="10"/>
        <v>0.33033020395475349</v>
      </c>
    </row>
    <row r="22" spans="1:12">
      <c r="A22" s="6">
        <f t="shared" si="11"/>
        <v>331.20113970518491</v>
      </c>
      <c r="B22" s="75">
        <f t="shared" si="0"/>
        <v>1.0388180393418827</v>
      </c>
      <c r="C22" s="76">
        <f t="shared" si="1"/>
        <v>1.0236487046421121</v>
      </c>
      <c r="D22" s="76">
        <f t="shared" si="2"/>
        <v>2.1181562850333076</v>
      </c>
      <c r="E22" s="76">
        <f t="shared" si="3"/>
        <v>77.9881985318234</v>
      </c>
      <c r="F22" s="77">
        <f t="shared" si="4"/>
        <v>105.35061284667235</v>
      </c>
      <c r="G22" s="78">
        <f t="shared" si="5"/>
        <v>1.3508532679298086</v>
      </c>
      <c r="H22" s="20">
        <f t="shared" si="6"/>
        <v>77.988198490419975</v>
      </c>
      <c r="I22" s="20">
        <f t="shared" si="7"/>
        <v>331.20113969226401</v>
      </c>
      <c r="J22" s="22">
        <f t="shared" si="8"/>
        <v>-1.2920907010993687E-8</v>
      </c>
      <c r="K22" s="79">
        <f t="shared" si="9"/>
        <v>0.66966979776746061</v>
      </c>
      <c r="L22" s="79">
        <f t="shared" si="10"/>
        <v>0.33033020240790945</v>
      </c>
    </row>
    <row r="23" spans="1:12">
      <c r="A23" s="6">
        <f t="shared" si="11"/>
        <v>331.20113969226401</v>
      </c>
      <c r="B23" s="75">
        <f t="shared" si="0"/>
        <v>1.038818039409459</v>
      </c>
      <c r="C23" s="76">
        <f t="shared" si="1"/>
        <v>1.0236487046436686</v>
      </c>
      <c r="D23" s="76">
        <f t="shared" si="2"/>
        <v>2.1181562851367244</v>
      </c>
      <c r="E23" s="76">
        <f t="shared" si="3"/>
        <v>77.988198490420032</v>
      </c>
      <c r="F23" s="77">
        <f t="shared" si="4"/>
        <v>105.35061279964792</v>
      </c>
      <c r="G23" s="78">
        <f t="shared" si="5"/>
        <v>1.3508532680439984</v>
      </c>
      <c r="H23" s="20">
        <f t="shared" si="6"/>
        <v>77.988198486905077</v>
      </c>
      <c r="I23" s="20">
        <f t="shared" si="7"/>
        <v>331.2011396911671</v>
      </c>
      <c r="J23" s="22">
        <f t="shared" si="8"/>
        <v>-1.0969074537570123E-9</v>
      </c>
      <c r="K23" s="79">
        <f t="shared" si="9"/>
        <v>0.66966979773829705</v>
      </c>
      <c r="L23" s="79">
        <f t="shared" si="10"/>
        <v>0.33033020227659088</v>
      </c>
    </row>
    <row r="24" spans="1:12">
      <c r="A24" s="6">
        <f t="shared" si="11"/>
        <v>331.2011396911671</v>
      </c>
      <c r="B24" s="75">
        <f t="shared" si="0"/>
        <v>1.0388180394151958</v>
      </c>
      <c r="C24" s="76">
        <f t="shared" si="1"/>
        <v>1.0236487046438008</v>
      </c>
      <c r="D24" s="76">
        <f t="shared" si="2"/>
        <v>2.1181562851455036</v>
      </c>
      <c r="E24" s="76">
        <f t="shared" si="3"/>
        <v>77.988198486905119</v>
      </c>
      <c r="F24" s="77">
        <f t="shared" si="4"/>
        <v>105.35061279565585</v>
      </c>
      <c r="G24" s="78">
        <f t="shared" si="5"/>
        <v>1.3508532680536929</v>
      </c>
      <c r="H24" s="20">
        <f t="shared" si="6"/>
        <v>77.988198486606677</v>
      </c>
      <c r="I24" s="20">
        <f t="shared" si="7"/>
        <v>331.20113969107399</v>
      </c>
      <c r="J24" s="22">
        <f t="shared" si="8"/>
        <v>-9.3109520094003528E-11</v>
      </c>
      <c r="K24" s="79">
        <f t="shared" si="9"/>
        <v>0.66966979773582125</v>
      </c>
      <c r="L24" s="79">
        <f t="shared" si="10"/>
        <v>0.33033020226544274</v>
      </c>
    </row>
    <row r="25" spans="1:12">
      <c r="A25" s="6">
        <f t="shared" si="11"/>
        <v>331.20113969107399</v>
      </c>
      <c r="B25" s="75">
        <f t="shared" si="0"/>
        <v>1.0388180394156827</v>
      </c>
      <c r="C25" s="76">
        <f t="shared" si="1"/>
        <v>1.0236487046438119</v>
      </c>
      <c r="D25" s="76">
        <f t="shared" si="2"/>
        <v>2.1181562851462488</v>
      </c>
      <c r="E25" s="76">
        <f t="shared" si="3"/>
        <v>77.988198486606862</v>
      </c>
      <c r="F25" s="77">
        <f t="shared" si="4"/>
        <v>105.35061279531712</v>
      </c>
      <c r="G25" s="78">
        <f t="shared" si="5"/>
        <v>1.3508532680545158</v>
      </c>
      <c r="H25" s="20">
        <f t="shared" si="6"/>
        <v>77.988198486581354</v>
      </c>
      <c r="I25" s="20">
        <f t="shared" si="7"/>
        <v>331.20113969106603</v>
      </c>
      <c r="J25" s="22">
        <f t="shared" si="8"/>
        <v>-7.9580786405131221E-12</v>
      </c>
      <c r="K25" s="79">
        <f t="shared" si="9"/>
        <v>0.66966979773561097</v>
      </c>
      <c r="L25" s="79">
        <f t="shared" si="10"/>
        <v>0.33033020226449694</v>
      </c>
    </row>
    <row r="26" spans="1:12">
      <c r="A26" s="6">
        <f t="shared" si="11"/>
        <v>331.20113969106603</v>
      </c>
      <c r="B26" s="75">
        <f t="shared" si="0"/>
        <v>1.0388180394157245</v>
      </c>
      <c r="C26" s="76">
        <f t="shared" si="1"/>
        <v>1.0236487046438127</v>
      </c>
      <c r="D26" s="76">
        <f t="shared" si="2"/>
        <v>2.1181562851463127</v>
      </c>
      <c r="E26" s="76">
        <f t="shared" si="3"/>
        <v>77.988198486581226</v>
      </c>
      <c r="F26" s="77">
        <f t="shared" si="4"/>
        <v>105.35061279528811</v>
      </c>
      <c r="G26" s="78">
        <f t="shared" si="5"/>
        <v>1.3508532680545879</v>
      </c>
      <c r="H26" s="20">
        <f t="shared" si="6"/>
        <v>77.988198486579165</v>
      </c>
      <c r="I26" s="20">
        <f t="shared" si="7"/>
        <v>331.20113969106535</v>
      </c>
      <c r="J26" s="22">
        <f t="shared" si="8"/>
        <v>-6.8212102632969618E-13</v>
      </c>
      <c r="K26" s="79">
        <f t="shared" si="9"/>
        <v>0.66966979773559288</v>
      </c>
      <c r="L26" s="79">
        <f t="shared" si="10"/>
        <v>0.33033020226441595</v>
      </c>
    </row>
    <row r="27" spans="1:12">
      <c r="A27" s="80">
        <f t="shared" si="11"/>
        <v>331.20113969106535</v>
      </c>
      <c r="B27" s="80">
        <f t="shared" si="0"/>
        <v>1.038818039415728</v>
      </c>
      <c r="C27" s="71">
        <f t="shared" si="1"/>
        <v>1.023648704643813</v>
      </c>
      <c r="D27" s="71">
        <f t="shared" si="2"/>
        <v>2.1181562851463185</v>
      </c>
      <c r="E27" s="71">
        <f t="shared" si="3"/>
        <v>77.988198486579151</v>
      </c>
      <c r="F27" s="73">
        <f t="shared" si="4"/>
        <v>105.35061279528568</v>
      </c>
      <c r="G27" s="81">
        <f t="shared" si="5"/>
        <v>1.3508532680545926</v>
      </c>
      <c r="H27" s="82">
        <f t="shared" si="6"/>
        <v>77.98819848657898</v>
      </c>
      <c r="I27" s="82">
        <f t="shared" si="7"/>
        <v>331.20113969106529</v>
      </c>
      <c r="J27" s="83">
        <f t="shared" si="8"/>
        <v>0</v>
      </c>
      <c r="K27" s="82">
        <f t="shared" si="9"/>
        <v>0.66966979773559132</v>
      </c>
      <c r="L27" s="82">
        <f t="shared" si="10"/>
        <v>0.33033020226440923</v>
      </c>
    </row>
  </sheetData>
  <pageMargins left="0.7" right="0.7" top="0.75" bottom="0.75" header="0.3" footer="0.3"/>
  <pageSetup paperSize="9" orientation="portrait" horizontalDpi="1200" verticalDpi="1200" r:id="rId1"/>
  <drawing r:id="rId2"/>
  <legacyDrawing r:id="rId3"/>
  <oleObjects>
    <mc:AlternateContent xmlns:mc="http://schemas.openxmlformats.org/markup-compatibility/2006">
      <mc:Choice Requires="x14">
        <oleObject progId="Equation.DSMT4" shapeId="5121" r:id="rId4">
          <objectPr defaultSize="0" autoPict="0" r:id="rId5">
            <anchor moveWithCells="1" sizeWithCells="1">
              <from>
                <xdr:col>6</xdr:col>
                <xdr:colOff>85725</xdr:colOff>
                <xdr:row>0</xdr:row>
                <xdr:rowOff>28575</xdr:rowOff>
              </from>
              <to>
                <xdr:col>9</xdr:col>
                <xdr:colOff>66675</xdr:colOff>
                <xdr:row>5</xdr:row>
                <xdr:rowOff>38100</xdr:rowOff>
              </to>
            </anchor>
          </objectPr>
        </oleObject>
      </mc:Choice>
      <mc:Fallback>
        <oleObject progId="Equation.DSMT4" shapeId="5121" r:id="rId4"/>
      </mc:Fallback>
    </mc:AlternateContent>
    <mc:AlternateContent xmlns:mc="http://schemas.openxmlformats.org/markup-compatibility/2006">
      <mc:Choice Requires="x14">
        <oleObject progId="Equation.DSMT4" shapeId="5122" r:id="rId6">
          <objectPr defaultSize="0" autoPict="0" r:id="rId7">
            <anchor moveWithCells="1" sizeWithCells="1">
              <from>
                <xdr:col>6</xdr:col>
                <xdr:colOff>38100</xdr:colOff>
                <xdr:row>5</xdr:row>
                <xdr:rowOff>57150</xdr:rowOff>
              </from>
              <to>
                <xdr:col>7</xdr:col>
                <xdr:colOff>190500</xdr:colOff>
                <xdr:row>6</xdr:row>
                <xdr:rowOff>95250</xdr:rowOff>
              </to>
            </anchor>
          </objectPr>
        </oleObject>
      </mc:Choice>
      <mc:Fallback>
        <oleObject progId="Equation.DSMT4" shapeId="5122" r:id="rId6"/>
      </mc:Fallback>
    </mc:AlternateContent>
    <mc:AlternateContent xmlns:mc="http://schemas.openxmlformats.org/markup-compatibility/2006">
      <mc:Choice Requires="x14">
        <oleObject progId="Equation.DSMT4" shapeId="5123" r:id="rId8">
          <objectPr defaultSize="0" autoPict="0" r:id="rId9">
            <anchor moveWithCells="1" sizeWithCells="1">
              <from>
                <xdr:col>6</xdr:col>
                <xdr:colOff>38100</xdr:colOff>
                <xdr:row>6</xdr:row>
                <xdr:rowOff>66675</xdr:rowOff>
              </from>
              <to>
                <xdr:col>7</xdr:col>
                <xdr:colOff>200025</xdr:colOff>
                <xdr:row>7</xdr:row>
                <xdr:rowOff>180975</xdr:rowOff>
              </to>
            </anchor>
          </objectPr>
        </oleObject>
      </mc:Choice>
      <mc:Fallback>
        <oleObject progId="Equation.DSMT4" shapeId="5123" r:id="rId8"/>
      </mc:Fallback>
    </mc:AlternateContent>
    <mc:AlternateContent xmlns:mc="http://schemas.openxmlformats.org/markup-compatibility/2006">
      <mc:Choice Requires="x14">
        <oleObject progId="Equation.DSMT4" shapeId="5124" r:id="rId10">
          <objectPr defaultSize="0" autoPict="0" r:id="rId11">
            <anchor moveWithCells="1" sizeWithCells="1">
              <from>
                <xdr:col>6</xdr:col>
                <xdr:colOff>609600</xdr:colOff>
                <xdr:row>8</xdr:row>
                <xdr:rowOff>95250</xdr:rowOff>
              </from>
              <to>
                <xdr:col>8</xdr:col>
                <xdr:colOff>657225</xdr:colOff>
                <xdr:row>9</xdr:row>
                <xdr:rowOff>123825</xdr:rowOff>
              </to>
            </anchor>
          </objectPr>
        </oleObject>
      </mc:Choice>
      <mc:Fallback>
        <oleObject progId="Equation.DSMT4" shapeId="5124" r:id="rId10"/>
      </mc:Fallback>
    </mc:AlternateContent>
    <mc:AlternateContent xmlns:mc="http://schemas.openxmlformats.org/markup-compatibility/2006">
      <mc:Choice Requires="x14">
        <oleObject progId="Equation.DSMT4" shapeId="5126" r:id="rId12">
          <objectPr defaultSize="0" r:id="rId13">
            <anchor moveWithCells="1">
              <from>
                <xdr:col>13</xdr:col>
                <xdr:colOff>247650</xdr:colOff>
                <xdr:row>0</xdr:row>
                <xdr:rowOff>200025</xdr:rowOff>
              </from>
              <to>
                <xdr:col>15</xdr:col>
                <xdr:colOff>466725</xdr:colOff>
                <xdr:row>3</xdr:row>
                <xdr:rowOff>114300</xdr:rowOff>
              </to>
            </anchor>
          </objectPr>
        </oleObject>
      </mc:Choice>
      <mc:Fallback>
        <oleObject progId="Equation.DSMT4" shapeId="5126" r:id="rId12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36"/>
  <sheetViews>
    <sheetView zoomScale="90" zoomScaleNormal="90" workbookViewId="0">
      <selection activeCell="B14" sqref="B14"/>
    </sheetView>
  </sheetViews>
  <sheetFormatPr defaultColWidth="11.42578125" defaultRowHeight="15"/>
  <cols>
    <col min="2" max="2" width="12" bestFit="1" customWidth="1"/>
    <col min="6" max="6" width="16.85546875" customWidth="1"/>
    <col min="7" max="7" width="16.42578125" customWidth="1"/>
  </cols>
  <sheetData>
    <row r="1" spans="1:13" ht="18.75">
      <c r="A1" s="7" t="s">
        <v>0</v>
      </c>
    </row>
    <row r="5" spans="1:13" ht="16.5">
      <c r="A5" s="14" t="s">
        <v>25</v>
      </c>
    </row>
    <row r="7" spans="1:13">
      <c r="A7" s="23" t="s">
        <v>16</v>
      </c>
      <c r="B7" s="23">
        <v>101.33</v>
      </c>
      <c r="C7" t="s">
        <v>17</v>
      </c>
    </row>
    <row r="8" spans="1:13">
      <c r="A8" s="23" t="s">
        <v>10</v>
      </c>
      <c r="B8" s="23">
        <v>0.4</v>
      </c>
    </row>
    <row r="9" spans="1:13">
      <c r="A9" s="57" t="s">
        <v>3</v>
      </c>
      <c r="B9" s="57" t="s">
        <v>1</v>
      </c>
      <c r="C9" s="57" t="s">
        <v>4</v>
      </c>
      <c r="D9" s="57" t="s">
        <v>5</v>
      </c>
      <c r="E9" s="11" t="s">
        <v>34</v>
      </c>
    </row>
    <row r="10" spans="1:13">
      <c r="A10" s="8" t="s">
        <v>6</v>
      </c>
      <c r="B10" s="1">
        <v>16.59158</v>
      </c>
      <c r="C10" s="1">
        <v>3643.31</v>
      </c>
      <c r="D10" s="1">
        <v>-33.423999999999999</v>
      </c>
      <c r="E10" s="45">
        <f>($C$10/($B$10-LN($B$7)))-$D$10</f>
        <v>337.71280884266304</v>
      </c>
    </row>
    <row r="11" spans="1:13">
      <c r="A11" s="8" t="s">
        <v>7</v>
      </c>
      <c r="B11" s="1">
        <v>14.253259999999999</v>
      </c>
      <c r="C11" s="1">
        <v>2665.54</v>
      </c>
      <c r="D11" s="1">
        <v>-53.423999999999999</v>
      </c>
      <c r="E11" s="45">
        <f>($C$11/($B$11-LN($B$7)))-$D$11</f>
        <v>330.07930826214078</v>
      </c>
    </row>
    <row r="12" spans="1:13">
      <c r="E12" s="57" t="s">
        <v>17</v>
      </c>
      <c r="F12" s="57" t="s">
        <v>17</v>
      </c>
      <c r="K12" s="57" t="s">
        <v>17</v>
      </c>
      <c r="L12" s="58" t="s">
        <v>32</v>
      </c>
    </row>
    <row r="13" spans="1:13" ht="20.25">
      <c r="A13" s="9" t="s">
        <v>18</v>
      </c>
      <c r="B13" s="62" t="s">
        <v>1</v>
      </c>
      <c r="C13" s="49" t="s">
        <v>28</v>
      </c>
      <c r="D13" s="49" t="s">
        <v>29</v>
      </c>
      <c r="E13" s="49" t="s">
        <v>30</v>
      </c>
      <c r="F13" s="49" t="s">
        <v>31</v>
      </c>
      <c r="G13" s="49" t="s">
        <v>36</v>
      </c>
      <c r="H13" s="3" t="s">
        <v>8</v>
      </c>
      <c r="I13" s="49" t="s">
        <v>28</v>
      </c>
      <c r="J13" s="49" t="s">
        <v>29</v>
      </c>
      <c r="K13" s="49" t="s">
        <v>30</v>
      </c>
      <c r="L13" s="3" t="s">
        <v>23</v>
      </c>
      <c r="M13" s="3" t="s">
        <v>24</v>
      </c>
    </row>
    <row r="14" spans="1:13">
      <c r="A14" s="43">
        <f>$B$8*$E$10+(1-$B$8)*$E$11</f>
        <v>333.13270849434969</v>
      </c>
      <c r="B14" s="42">
        <f>2.771-0.00523*A14</f>
        <v>1.0287159345745509</v>
      </c>
      <c r="C14" s="44">
        <v>1</v>
      </c>
      <c r="D14" s="44">
        <v>1</v>
      </c>
      <c r="E14" s="24">
        <f>EXP($B$10-$C$10/(A14+$D$10))</f>
        <v>84.386719429922209</v>
      </c>
      <c r="F14" s="17">
        <f>EXP($B$11-$C$11/(A14+$D$11))</f>
        <v>112.56831520899728</v>
      </c>
      <c r="G14" s="16">
        <f>F14/E14</f>
        <v>1.3339577124156139</v>
      </c>
      <c r="H14" s="19">
        <f>($B$8*$B$7)/(C14*E14)</f>
        <v>0.48031254531300088</v>
      </c>
      <c r="I14" s="24">
        <f>EXP(B14*(1-H14)^2)</f>
        <v>1.3202624043829398</v>
      </c>
      <c r="J14" s="24">
        <f>EXP(B14*H14^2)</f>
        <v>1.2678529906818756</v>
      </c>
      <c r="K14" s="20">
        <f>$B$7*(($B$8/I14)+((1-$B$8)/J14)*(1/G14))</f>
        <v>66.648255569436344</v>
      </c>
      <c r="L14" s="20">
        <f>($C$10/($B$10-LN(K14)))-$D$10</f>
        <v>327.42541773161776</v>
      </c>
      <c r="M14" s="22"/>
    </row>
    <row r="15" spans="1:13">
      <c r="A15" s="79">
        <f>L14</f>
        <v>327.42541773161776</v>
      </c>
      <c r="B15" s="42">
        <f>2.771-0.00523*A15</f>
        <v>1.0585650652636389</v>
      </c>
      <c r="C15" s="24">
        <f>I14</f>
        <v>1.3202624043829398</v>
      </c>
      <c r="D15" s="24">
        <f>J14</f>
        <v>1.2678529906818756</v>
      </c>
      <c r="E15" s="24">
        <f>K14</f>
        <v>66.648255569436344</v>
      </c>
      <c r="F15" s="17">
        <f t="shared" ref="F15:F34" si="0">EXP($B$11-$C$11/(A15+$D$11))</f>
        <v>92.301663166746579</v>
      </c>
      <c r="G15" s="16">
        <f>F15/E15</f>
        <v>1.3849074124765901</v>
      </c>
      <c r="H15" s="19">
        <f>($B$8*$B$7)/(C15*E15)</f>
        <v>0.46062657547975894</v>
      </c>
      <c r="I15" s="24">
        <f>EXP(B15*(1-H15)^2)</f>
        <v>1.3606488152642311</v>
      </c>
      <c r="J15" s="24">
        <f>EXP(B15*H15^2)</f>
        <v>1.2518256335352189</v>
      </c>
      <c r="K15" s="20">
        <f>$B$7*(($B$8/I15)+((1-$B$8)/J15)*(1/G15))</f>
        <v>64.857837334875612</v>
      </c>
      <c r="L15" s="20">
        <f t="shared" ref="L15:L34" si="1">($C$10/($B$10-LN(K15)))-$D$10</f>
        <v>326.78078125019493</v>
      </c>
      <c r="M15" s="22">
        <f>L15-L14</f>
        <v>-0.64463648142282182</v>
      </c>
    </row>
    <row r="16" spans="1:13">
      <c r="A16" s="79">
        <f>L15</f>
        <v>326.78078125019493</v>
      </c>
      <c r="B16" s="42">
        <f>2.771-0.00523*A16</f>
        <v>1.0619365140614803</v>
      </c>
      <c r="C16" s="24">
        <f>I15</f>
        <v>1.3606488152642311</v>
      </c>
      <c r="D16" s="24">
        <f t="shared" ref="D16:D34" si="2">J15</f>
        <v>1.2518256335352189</v>
      </c>
      <c r="E16" s="24">
        <f>K15</f>
        <v>64.857837334875612</v>
      </c>
      <c r="F16" s="17">
        <f t="shared" si="0"/>
        <v>90.208250542431358</v>
      </c>
      <c r="G16" s="16">
        <f t="shared" ref="G16:G34" si="3">F16/E16</f>
        <v>1.3908612166123557</v>
      </c>
      <c r="H16" s="19">
        <f t="shared" ref="H16:H34" si="4">($B$8*$B$7)/(C16*E16)</f>
        <v>0.45929267903122878</v>
      </c>
      <c r="I16" s="24">
        <f t="shared" ref="I16:I34" si="5">EXP(B16*(1-H16)^2)</f>
        <v>1.3640694017173332</v>
      </c>
      <c r="J16" s="24">
        <f t="shared" ref="J16:J34" si="6">EXP(B16*H16^2)</f>
        <v>1.2510901085389581</v>
      </c>
      <c r="K16" s="20">
        <f t="shared" ref="K16:K34" si="7">$B$7*(($B$8/I16)+((1-$B$8)/J16)*(1/G16))</f>
        <v>64.6535483091739</v>
      </c>
      <c r="L16" s="20">
        <f t="shared" si="1"/>
        <v>326.70628176432808</v>
      </c>
      <c r="M16" s="22">
        <f t="shared" ref="M16:M34" si="8">L16-L15</f>
        <v>-7.4499485866851956E-2</v>
      </c>
    </row>
    <row r="17" spans="1:13">
      <c r="A17" s="79">
        <f t="shared" ref="A17:A34" si="9">L16</f>
        <v>326.70628176432808</v>
      </c>
      <c r="B17" s="42">
        <f t="shared" ref="B17:B34" si="10">2.771-0.00523*A17</f>
        <v>1.062326146372564</v>
      </c>
      <c r="C17" s="24">
        <f t="shared" ref="C17:C34" si="11">I16</f>
        <v>1.3640694017173332</v>
      </c>
      <c r="D17" s="24">
        <f t="shared" si="2"/>
        <v>1.2510901085389581</v>
      </c>
      <c r="E17" s="24">
        <f t="shared" ref="E17:E34" si="12">K16</f>
        <v>64.6535483091739</v>
      </c>
      <c r="F17" s="17">
        <f t="shared" si="0"/>
        <v>89.968772164784824</v>
      </c>
      <c r="G17" s="16">
        <f t="shared" si="3"/>
        <v>1.3915519645503953</v>
      </c>
      <c r="H17" s="19">
        <f t="shared" si="4"/>
        <v>0.4595885518855381</v>
      </c>
      <c r="I17" s="24">
        <f t="shared" si="5"/>
        <v>1.3637612992813393</v>
      </c>
      <c r="J17" s="24">
        <f t="shared" si="6"/>
        <v>1.251554361085276</v>
      </c>
      <c r="K17" s="20">
        <f t="shared" si="7"/>
        <v>64.629963763760315</v>
      </c>
      <c r="L17" s="20">
        <f t="shared" si="1"/>
        <v>326.69766831425284</v>
      </c>
      <c r="M17" s="22">
        <f t="shared" si="8"/>
        <v>-8.6134500752450549E-3</v>
      </c>
    </row>
    <row r="18" spans="1:13">
      <c r="A18" s="79">
        <f t="shared" si="9"/>
        <v>326.69766831425284</v>
      </c>
      <c r="B18" s="42">
        <f t="shared" si="10"/>
        <v>1.0623711947164576</v>
      </c>
      <c r="C18" s="24">
        <f t="shared" si="11"/>
        <v>1.3637612992813393</v>
      </c>
      <c r="D18" s="24">
        <f t="shared" si="2"/>
        <v>1.251554361085276</v>
      </c>
      <c r="E18" s="24">
        <f t="shared" si="12"/>
        <v>64.629963763760315</v>
      </c>
      <c r="F18" s="17">
        <f t="shared" si="0"/>
        <v>89.941116880973325</v>
      </c>
      <c r="G18" s="16">
        <f t="shared" si="3"/>
        <v>1.3916318630431543</v>
      </c>
      <c r="H18" s="19">
        <f t="shared" si="4"/>
        <v>0.45986013200366938</v>
      </c>
      <c r="I18" s="24">
        <f t="shared" si="5"/>
        <v>1.3633541363837096</v>
      </c>
      <c r="J18" s="24">
        <f t="shared" si="6"/>
        <v>1.2518983273498152</v>
      </c>
      <c r="K18" s="20">
        <f t="shared" si="7"/>
        <v>64.627244582769094</v>
      </c>
      <c r="L18" s="20">
        <f t="shared" si="1"/>
        <v>326.69667505667849</v>
      </c>
      <c r="M18" s="22">
        <f t="shared" si="8"/>
        <v>-9.9325757435053674E-4</v>
      </c>
    </row>
    <row r="19" spans="1:13">
      <c r="A19" s="79">
        <f t="shared" si="9"/>
        <v>326.69667505667849</v>
      </c>
      <c r="B19" s="42">
        <f t="shared" si="10"/>
        <v>1.0623763894535714</v>
      </c>
      <c r="C19" s="24">
        <f t="shared" si="11"/>
        <v>1.3633541363837096</v>
      </c>
      <c r="D19" s="24">
        <f t="shared" si="2"/>
        <v>1.2518983273498152</v>
      </c>
      <c r="E19" s="24">
        <f t="shared" si="12"/>
        <v>64.627244582769094</v>
      </c>
      <c r="F19" s="17">
        <f t="shared" si="0"/>
        <v>89.937928254314741</v>
      </c>
      <c r="G19" s="16">
        <f t="shared" si="3"/>
        <v>1.3916410769939274</v>
      </c>
      <c r="H19" s="19">
        <f t="shared" si="4"/>
        <v>0.46001682260251386</v>
      </c>
      <c r="I19" s="24">
        <f t="shared" si="5"/>
        <v>1.3631110904721788</v>
      </c>
      <c r="J19" s="24">
        <f t="shared" si="6"/>
        <v>1.2520914166299013</v>
      </c>
      <c r="K19" s="20">
        <f t="shared" si="7"/>
        <v>64.626932743389318</v>
      </c>
      <c r="L19" s="20">
        <f t="shared" si="1"/>
        <v>326.69656114630595</v>
      </c>
      <c r="M19" s="22">
        <f t="shared" si="8"/>
        <v>-1.1391037253360992E-4</v>
      </c>
    </row>
    <row r="20" spans="1:13">
      <c r="A20" s="79">
        <f t="shared" si="9"/>
        <v>326.69656114630595</v>
      </c>
      <c r="B20" s="42">
        <f t="shared" si="10"/>
        <v>1.0623769852048197</v>
      </c>
      <c r="C20" s="24">
        <f t="shared" si="11"/>
        <v>1.3631110904721788</v>
      </c>
      <c r="D20" s="24">
        <f t="shared" si="2"/>
        <v>1.2520914166299013</v>
      </c>
      <c r="E20" s="24">
        <f t="shared" si="12"/>
        <v>64.626932743389318</v>
      </c>
      <c r="F20" s="17">
        <f t="shared" si="0"/>
        <v>89.937562576816305</v>
      </c>
      <c r="G20" s="16">
        <f t="shared" si="3"/>
        <v>1.391642133689472</v>
      </c>
      <c r="H20" s="19">
        <f t="shared" si="4"/>
        <v>0.46010106476294166</v>
      </c>
      <c r="I20" s="24">
        <f t="shared" si="5"/>
        <v>1.362979594181061</v>
      </c>
      <c r="J20" s="24">
        <f t="shared" si="6"/>
        <v>1.2521946856236232</v>
      </c>
      <c r="K20" s="20">
        <f t="shared" si="7"/>
        <v>64.626897431710773</v>
      </c>
      <c r="L20" s="20">
        <f t="shared" si="1"/>
        <v>326.69654824743623</v>
      </c>
      <c r="M20" s="22">
        <f t="shared" si="8"/>
        <v>-1.2898869726996054E-5</v>
      </c>
    </row>
    <row r="21" spans="1:13">
      <c r="A21" s="79">
        <f t="shared" si="9"/>
        <v>326.69654824743623</v>
      </c>
      <c r="B21" s="42">
        <f t="shared" si="10"/>
        <v>1.0623770526659084</v>
      </c>
      <c r="C21" s="24">
        <f t="shared" si="11"/>
        <v>1.362979594181061</v>
      </c>
      <c r="D21" s="24">
        <f t="shared" si="2"/>
        <v>1.2521946856236232</v>
      </c>
      <c r="E21" s="24">
        <f t="shared" si="12"/>
        <v>64.626897431710773</v>
      </c>
      <c r="F21" s="17">
        <f t="shared" si="0"/>
        <v>89.937521168665</v>
      </c>
      <c r="G21" s="16">
        <f t="shared" si="3"/>
        <v>1.3916422533465911</v>
      </c>
      <c r="H21" s="19">
        <f t="shared" si="4"/>
        <v>0.46014570539031135</v>
      </c>
      <c r="I21" s="24">
        <f t="shared" si="5"/>
        <v>1.3629098280057532</v>
      </c>
      <c r="J21" s="24">
        <f t="shared" si="6"/>
        <v>1.2522493540657158</v>
      </c>
      <c r="K21" s="20">
        <f t="shared" si="7"/>
        <v>64.626893557986605</v>
      </c>
      <c r="L21" s="20">
        <f t="shared" si="1"/>
        <v>326.69654683241782</v>
      </c>
      <c r="M21" s="22">
        <f t="shared" si="8"/>
        <v>-1.4150184028949297E-6</v>
      </c>
    </row>
    <row r="22" spans="1:13">
      <c r="A22" s="79">
        <f t="shared" si="9"/>
        <v>326.69654683241782</v>
      </c>
      <c r="B22" s="42">
        <f t="shared" si="10"/>
        <v>1.0623770600664546</v>
      </c>
      <c r="C22" s="24">
        <f t="shared" si="11"/>
        <v>1.3629098280057532</v>
      </c>
      <c r="D22" s="24">
        <f t="shared" si="2"/>
        <v>1.2522493540657158</v>
      </c>
      <c r="E22" s="24">
        <f t="shared" si="12"/>
        <v>64.626893557986605</v>
      </c>
      <c r="F22" s="17">
        <f t="shared" si="0"/>
        <v>89.937516626151961</v>
      </c>
      <c r="G22" s="16">
        <f t="shared" si="3"/>
        <v>1.3916422664730952</v>
      </c>
      <c r="H22" s="19">
        <f t="shared" si="4"/>
        <v>0.46016928743344898</v>
      </c>
      <c r="I22" s="24">
        <f t="shared" si="5"/>
        <v>1.3628729655890772</v>
      </c>
      <c r="J22" s="24">
        <f t="shared" si="6"/>
        <v>1.252278229062755</v>
      </c>
      <c r="K22" s="20">
        <f t="shared" si="7"/>
        <v>64.626893168445491</v>
      </c>
      <c r="L22" s="20">
        <f t="shared" si="1"/>
        <v>326.69654669012374</v>
      </c>
      <c r="M22" s="22">
        <f t="shared" si="8"/>
        <v>-1.4229408407118171E-7</v>
      </c>
    </row>
    <row r="23" spans="1:13">
      <c r="A23" s="79">
        <f t="shared" si="9"/>
        <v>326.69654669012374</v>
      </c>
      <c r="B23" s="42">
        <f t="shared" si="10"/>
        <v>1.0623770608106526</v>
      </c>
      <c r="C23" s="24">
        <f t="shared" si="11"/>
        <v>1.3628729655890772</v>
      </c>
      <c r="D23" s="24">
        <f t="shared" si="2"/>
        <v>1.252278229062755</v>
      </c>
      <c r="E23" s="24">
        <f t="shared" si="12"/>
        <v>64.626893168445491</v>
      </c>
      <c r="F23" s="17">
        <f t="shared" si="0"/>
        <v>89.937516169357366</v>
      </c>
      <c r="G23" s="16">
        <f t="shared" si="3"/>
        <v>1.391642267793092</v>
      </c>
      <c r="H23" s="19">
        <f t="shared" si="4"/>
        <v>0.46018173667320228</v>
      </c>
      <c r="I23" s="24">
        <f t="shared" si="5"/>
        <v>1.3628535052782467</v>
      </c>
      <c r="J23" s="24">
        <f t="shared" si="6"/>
        <v>1.2522934725422754</v>
      </c>
      <c r="K23" s="20">
        <f t="shared" si="7"/>
        <v>64.626893139664972</v>
      </c>
      <c r="L23" s="20">
        <f t="shared" si="1"/>
        <v>326.69654667961061</v>
      </c>
      <c r="M23" s="22">
        <f t="shared" si="8"/>
        <v>-1.0513133474887582E-8</v>
      </c>
    </row>
    <row r="24" spans="1:13">
      <c r="A24" s="79">
        <f t="shared" si="9"/>
        <v>326.69654667961061</v>
      </c>
      <c r="B24" s="42">
        <f t="shared" si="10"/>
        <v>1.0623770608656364</v>
      </c>
      <c r="C24" s="24">
        <f t="shared" si="11"/>
        <v>1.3628535052782467</v>
      </c>
      <c r="D24" s="24">
        <f t="shared" si="2"/>
        <v>1.2522934725422754</v>
      </c>
      <c r="E24" s="24">
        <f t="shared" si="12"/>
        <v>64.626893139664972</v>
      </c>
      <c r="F24" s="17">
        <f t="shared" si="0"/>
        <v>89.937516135607979</v>
      </c>
      <c r="G24" s="16">
        <f t="shared" si="3"/>
        <v>1.391642267890618</v>
      </c>
      <c r="H24" s="19">
        <f t="shared" si="4"/>
        <v>0.46018830785557735</v>
      </c>
      <c r="I24" s="24">
        <f t="shared" si="5"/>
        <v>1.3628432335446536</v>
      </c>
      <c r="J24" s="24">
        <f t="shared" si="6"/>
        <v>1.2523015187822248</v>
      </c>
      <c r="K24" s="20">
        <f t="shared" si="7"/>
        <v>64.62689314086694</v>
      </c>
      <c r="L24" s="20">
        <f t="shared" si="1"/>
        <v>326.69654668004966</v>
      </c>
      <c r="M24" s="22">
        <f t="shared" si="8"/>
        <v>4.3905856728088111E-10</v>
      </c>
    </row>
    <row r="25" spans="1:13">
      <c r="A25" s="79">
        <f t="shared" si="9"/>
        <v>326.69654668004966</v>
      </c>
      <c r="B25" s="42">
        <f t="shared" si="10"/>
        <v>1.0623770608633401</v>
      </c>
      <c r="C25" s="24">
        <f t="shared" si="11"/>
        <v>1.3628432335446536</v>
      </c>
      <c r="D25" s="24">
        <f t="shared" si="2"/>
        <v>1.2523015187822248</v>
      </c>
      <c r="E25" s="24">
        <f t="shared" si="12"/>
        <v>64.62689314086694</v>
      </c>
      <c r="F25" s="17">
        <f t="shared" si="0"/>
        <v>89.937516137017397</v>
      </c>
      <c r="G25" s="16">
        <f t="shared" si="3"/>
        <v>1.3916422678865439</v>
      </c>
      <c r="H25" s="19">
        <f t="shared" si="4"/>
        <v>0.46019177628093999</v>
      </c>
      <c r="I25" s="24">
        <f t="shared" si="5"/>
        <v>1.3628378119500926</v>
      </c>
      <c r="J25" s="24">
        <f t="shared" si="6"/>
        <v>1.2523057658367045</v>
      </c>
      <c r="K25" s="20">
        <f t="shared" si="7"/>
        <v>64.626893142267861</v>
      </c>
      <c r="L25" s="20">
        <f t="shared" si="1"/>
        <v>326.69654668056143</v>
      </c>
      <c r="M25" s="22">
        <f t="shared" si="8"/>
        <v>5.1176130000385456E-10</v>
      </c>
    </row>
    <row r="26" spans="1:13">
      <c r="A26" s="79">
        <f t="shared" si="9"/>
        <v>326.69654668056143</v>
      </c>
      <c r="B26" s="42">
        <f t="shared" si="10"/>
        <v>1.0623770608606635</v>
      </c>
      <c r="C26" s="24">
        <f t="shared" si="11"/>
        <v>1.3628378119500926</v>
      </c>
      <c r="D26" s="24">
        <f t="shared" si="2"/>
        <v>1.2523057658367045</v>
      </c>
      <c r="E26" s="24">
        <f t="shared" si="12"/>
        <v>64.626893142267861</v>
      </c>
      <c r="F26" s="17">
        <f t="shared" si="0"/>
        <v>89.937516138660385</v>
      </c>
      <c r="G26" s="16">
        <f t="shared" si="3"/>
        <v>1.3916422678817999</v>
      </c>
      <c r="H26" s="19">
        <f t="shared" si="4"/>
        <v>0.46019360699007811</v>
      </c>
      <c r="I26" s="24">
        <f t="shared" si="5"/>
        <v>1.3628349503386104</v>
      </c>
      <c r="J26" s="24">
        <f t="shared" si="6"/>
        <v>1.2523080075412807</v>
      </c>
      <c r="K26" s="20">
        <f t="shared" si="7"/>
        <v>64.626893142781313</v>
      </c>
      <c r="L26" s="20">
        <f t="shared" si="1"/>
        <v>326.69654668074895</v>
      </c>
      <c r="M26" s="22">
        <f t="shared" si="8"/>
        <v>1.8752643882180564E-10</v>
      </c>
    </row>
    <row r="27" spans="1:13">
      <c r="A27" s="79">
        <f t="shared" si="9"/>
        <v>326.69654668074895</v>
      </c>
      <c r="B27" s="42">
        <f t="shared" si="10"/>
        <v>1.0623770608596828</v>
      </c>
      <c r="C27" s="24">
        <f t="shared" si="11"/>
        <v>1.3628349503386104</v>
      </c>
      <c r="D27" s="24">
        <f t="shared" si="2"/>
        <v>1.2523080075412807</v>
      </c>
      <c r="E27" s="24">
        <f t="shared" si="12"/>
        <v>64.626893142781313</v>
      </c>
      <c r="F27" s="17">
        <f t="shared" si="0"/>
        <v>89.937516139262357</v>
      </c>
      <c r="G27" s="16">
        <f t="shared" si="3"/>
        <v>1.391642267880058</v>
      </c>
      <c r="H27" s="19">
        <f t="shared" si="4"/>
        <v>0.46019457327754137</v>
      </c>
      <c r="I27" s="24">
        <f t="shared" si="5"/>
        <v>1.3628334399253341</v>
      </c>
      <c r="J27" s="24">
        <f t="shared" si="6"/>
        <v>1.2523091907662605</v>
      </c>
      <c r="K27" s="20">
        <f t="shared" si="7"/>
        <v>64.62689314293867</v>
      </c>
      <c r="L27" s="20">
        <f t="shared" si="1"/>
        <v>326.69654668080642</v>
      </c>
      <c r="M27" s="22">
        <f t="shared" si="8"/>
        <v>5.7468696468276903E-11</v>
      </c>
    </row>
    <row r="28" spans="1:13">
      <c r="A28" s="79">
        <f t="shared" si="9"/>
        <v>326.69654668080642</v>
      </c>
      <c r="B28" s="42">
        <f t="shared" si="10"/>
        <v>1.0623770608593823</v>
      </c>
      <c r="C28" s="24">
        <f t="shared" si="11"/>
        <v>1.3628334399253341</v>
      </c>
      <c r="D28" s="24">
        <f t="shared" si="2"/>
        <v>1.2523091907662605</v>
      </c>
      <c r="E28" s="24">
        <f t="shared" si="12"/>
        <v>64.62689314293867</v>
      </c>
      <c r="F28" s="17">
        <f t="shared" si="0"/>
        <v>89.937516139446885</v>
      </c>
      <c r="G28" s="16">
        <f t="shared" si="3"/>
        <v>1.3916422678795248</v>
      </c>
      <c r="H28" s="19">
        <f t="shared" si="4"/>
        <v>0.46019508330499281</v>
      </c>
      <c r="I28" s="24">
        <f t="shared" si="5"/>
        <v>1.362832642698345</v>
      </c>
      <c r="J28" s="24">
        <f t="shared" si="6"/>
        <v>1.2523098152995418</v>
      </c>
      <c r="K28" s="20">
        <f t="shared" si="7"/>
        <v>64.62689314298413</v>
      </c>
      <c r="L28" s="20">
        <f t="shared" si="1"/>
        <v>326.69654668082302</v>
      </c>
      <c r="M28" s="22">
        <f t="shared" si="8"/>
        <v>1.659827830735594E-11</v>
      </c>
    </row>
    <row r="29" spans="1:13">
      <c r="A29" s="79">
        <f t="shared" si="9"/>
        <v>326.69654668082302</v>
      </c>
      <c r="B29" s="42">
        <f t="shared" si="10"/>
        <v>1.0623770608592955</v>
      </c>
      <c r="C29" s="24">
        <f t="shared" si="11"/>
        <v>1.362832642698345</v>
      </c>
      <c r="D29" s="24">
        <f t="shared" si="2"/>
        <v>1.2523098152995418</v>
      </c>
      <c r="E29" s="24">
        <f t="shared" si="12"/>
        <v>64.62689314298413</v>
      </c>
      <c r="F29" s="17">
        <f t="shared" si="0"/>
        <v>89.93751613950009</v>
      </c>
      <c r="G29" s="16">
        <f t="shared" si="3"/>
        <v>1.3916422678793692</v>
      </c>
      <c r="H29" s="19">
        <f t="shared" si="4"/>
        <v>0.46019535250862648</v>
      </c>
      <c r="I29" s="24">
        <f t="shared" si="5"/>
        <v>1.3628322219050402</v>
      </c>
      <c r="J29" s="24">
        <f t="shared" si="6"/>
        <v>1.2523101449422782</v>
      </c>
      <c r="K29" s="20">
        <f t="shared" si="7"/>
        <v>64.626893142997048</v>
      </c>
      <c r="L29" s="20">
        <f t="shared" si="1"/>
        <v>326.69654668082779</v>
      </c>
      <c r="M29" s="22">
        <f t="shared" si="8"/>
        <v>4.7748471843078732E-12</v>
      </c>
    </row>
    <row r="30" spans="1:13">
      <c r="A30" s="79">
        <f t="shared" si="9"/>
        <v>326.69654668082779</v>
      </c>
      <c r="B30" s="42">
        <f t="shared" si="10"/>
        <v>1.0623770608592704</v>
      </c>
      <c r="C30" s="24">
        <f t="shared" si="11"/>
        <v>1.3628322219050402</v>
      </c>
      <c r="D30" s="24">
        <f t="shared" si="2"/>
        <v>1.2523101449422782</v>
      </c>
      <c r="E30" s="24">
        <f t="shared" si="12"/>
        <v>64.626893142997048</v>
      </c>
      <c r="F30" s="17">
        <f t="shared" si="0"/>
        <v>89.937516139515424</v>
      </c>
      <c r="G30" s="16">
        <f t="shared" si="3"/>
        <v>1.3916422678793283</v>
      </c>
      <c r="H30" s="19">
        <f t="shared" si="4"/>
        <v>0.46019549460021686</v>
      </c>
      <c r="I30" s="24">
        <f t="shared" si="5"/>
        <v>1.362831999801237</v>
      </c>
      <c r="J30" s="24">
        <f t="shared" si="6"/>
        <v>1.2523103189350728</v>
      </c>
      <c r="K30" s="20">
        <f t="shared" si="7"/>
        <v>64.626893143000586</v>
      </c>
      <c r="L30" s="20">
        <f t="shared" si="1"/>
        <v>326.6965466808291</v>
      </c>
      <c r="M30" s="22">
        <f t="shared" si="8"/>
        <v>1.3073986337985843E-12</v>
      </c>
    </row>
    <row r="31" spans="1:13">
      <c r="A31" s="79">
        <f t="shared" si="9"/>
        <v>326.6965466808291</v>
      </c>
      <c r="B31" s="42">
        <f t="shared" si="10"/>
        <v>1.0623770608592635</v>
      </c>
      <c r="C31" s="24">
        <f t="shared" si="11"/>
        <v>1.362831999801237</v>
      </c>
      <c r="D31" s="24">
        <f t="shared" si="2"/>
        <v>1.2523103189350728</v>
      </c>
      <c r="E31" s="24">
        <f t="shared" si="12"/>
        <v>64.626893143000586</v>
      </c>
      <c r="F31" s="17">
        <f t="shared" si="0"/>
        <v>89.937516139519573</v>
      </c>
      <c r="G31" s="16">
        <f t="shared" si="3"/>
        <v>1.3916422678793163</v>
      </c>
      <c r="H31" s="19">
        <f t="shared" si="4"/>
        <v>0.46019556959928887</v>
      </c>
      <c r="I31" s="24">
        <f t="shared" si="5"/>
        <v>1.362831882569997</v>
      </c>
      <c r="J31" s="24">
        <f t="shared" si="6"/>
        <v>1.2523104107723364</v>
      </c>
      <c r="K31" s="20">
        <f t="shared" si="7"/>
        <v>64.626893143001581</v>
      </c>
      <c r="L31" s="20">
        <f t="shared" si="1"/>
        <v>326.69654668082939</v>
      </c>
      <c r="M31" s="22">
        <f t="shared" si="8"/>
        <v>0</v>
      </c>
    </row>
    <row r="32" spans="1:13">
      <c r="A32" s="79">
        <f t="shared" si="9"/>
        <v>326.69654668082939</v>
      </c>
      <c r="B32" s="42">
        <f t="shared" si="10"/>
        <v>1.0623770608592622</v>
      </c>
      <c r="C32" s="24">
        <f t="shared" si="11"/>
        <v>1.362831882569997</v>
      </c>
      <c r="D32" s="24">
        <f t="shared" si="2"/>
        <v>1.2523104107723364</v>
      </c>
      <c r="E32" s="24">
        <f t="shared" si="12"/>
        <v>64.626893143001581</v>
      </c>
      <c r="F32" s="17">
        <f t="shared" si="0"/>
        <v>89.93751613952054</v>
      </c>
      <c r="G32" s="16">
        <f t="shared" si="3"/>
        <v>1.3916422678793099</v>
      </c>
      <c r="H32" s="19">
        <f t="shared" si="4"/>
        <v>0.46019560918545371</v>
      </c>
      <c r="I32" s="24">
        <f t="shared" si="5"/>
        <v>1.3628318206927736</v>
      </c>
      <c r="J32" s="24">
        <f t="shared" si="6"/>
        <v>1.2523104592460794</v>
      </c>
      <c r="K32" s="20">
        <f t="shared" si="7"/>
        <v>64.626893143001936</v>
      </c>
      <c r="L32" s="20">
        <f t="shared" si="1"/>
        <v>326.69654668082956</v>
      </c>
      <c r="M32" s="22">
        <f t="shared" si="8"/>
        <v>0</v>
      </c>
    </row>
    <row r="33" spans="1:13">
      <c r="A33" s="79">
        <f t="shared" si="9"/>
        <v>326.69654668082956</v>
      </c>
      <c r="B33" s="42">
        <f t="shared" si="10"/>
        <v>1.0623770608592613</v>
      </c>
      <c r="C33" s="24">
        <f t="shared" si="11"/>
        <v>1.3628318206927736</v>
      </c>
      <c r="D33" s="24">
        <f t="shared" si="2"/>
        <v>1.2523104592460794</v>
      </c>
      <c r="E33" s="24">
        <f t="shared" si="12"/>
        <v>64.626893143001936</v>
      </c>
      <c r="F33" s="17">
        <f t="shared" si="0"/>
        <v>89.937516139521009</v>
      </c>
      <c r="G33" s="16">
        <f t="shared" si="3"/>
        <v>1.3916422678793094</v>
      </c>
      <c r="H33" s="19">
        <f t="shared" si="4"/>
        <v>0.46019563007990494</v>
      </c>
      <c r="I33" s="24">
        <f t="shared" si="5"/>
        <v>1.3628317880326128</v>
      </c>
      <c r="J33" s="24">
        <f t="shared" si="6"/>
        <v>1.2523104848315931</v>
      </c>
      <c r="K33" s="20">
        <f t="shared" si="7"/>
        <v>64.626893143001993</v>
      </c>
      <c r="L33" s="20">
        <f t="shared" si="1"/>
        <v>326.69654668082956</v>
      </c>
      <c r="M33" s="22">
        <f t="shared" si="8"/>
        <v>0</v>
      </c>
    </row>
    <row r="34" spans="1:13">
      <c r="A34" s="82">
        <f t="shared" si="9"/>
        <v>326.69654668082956</v>
      </c>
      <c r="B34" s="84">
        <f t="shared" si="10"/>
        <v>1.0623770608592613</v>
      </c>
      <c r="C34" s="71">
        <f t="shared" si="11"/>
        <v>1.3628317880326128</v>
      </c>
      <c r="D34" s="71">
        <f t="shared" si="2"/>
        <v>1.2523104848315931</v>
      </c>
      <c r="E34" s="71">
        <f t="shared" si="12"/>
        <v>64.626893143001993</v>
      </c>
      <c r="F34" s="73">
        <f t="shared" si="0"/>
        <v>89.937516139521009</v>
      </c>
      <c r="G34" s="81">
        <f t="shared" si="3"/>
        <v>1.3916422678793083</v>
      </c>
      <c r="H34" s="82">
        <f t="shared" si="4"/>
        <v>0.46019564110845806</v>
      </c>
      <c r="I34" s="71">
        <f t="shared" si="5"/>
        <v>1.3628317707938593</v>
      </c>
      <c r="J34" s="71">
        <f t="shared" si="6"/>
        <v>1.2523104983361932</v>
      </c>
      <c r="K34" s="82">
        <f t="shared" si="7"/>
        <v>64.62689314300205</v>
      </c>
      <c r="L34" s="82">
        <f t="shared" si="1"/>
        <v>326.69654668082961</v>
      </c>
      <c r="M34" s="83">
        <f t="shared" si="8"/>
        <v>0</v>
      </c>
    </row>
    <row r="35" spans="1:13" s="41" customFormat="1">
      <c r="A35" s="35"/>
      <c r="B35" s="36"/>
      <c r="C35" s="37"/>
      <c r="D35" s="37"/>
      <c r="E35" s="37"/>
      <c r="F35" s="4"/>
      <c r="G35" s="38"/>
      <c r="H35" s="38"/>
      <c r="I35" s="39"/>
      <c r="J35" s="39"/>
      <c r="K35" s="40"/>
      <c r="L35" s="39"/>
      <c r="M35" s="39"/>
    </row>
    <row r="36" spans="1:13" s="41" customFormat="1">
      <c r="A36" s="35"/>
      <c r="B36" s="36"/>
      <c r="C36" s="37"/>
      <c r="D36" s="37"/>
      <c r="E36" s="37"/>
      <c r="F36" s="4"/>
      <c r="G36" s="38"/>
      <c r="H36" s="39"/>
      <c r="I36" s="39"/>
      <c r="J36" s="40"/>
      <c r="K36" s="39"/>
      <c r="L36" s="39"/>
    </row>
  </sheetData>
  <pageMargins left="0.7" right="0.7" top="0.75" bottom="0.75" header="0.3" footer="0.3"/>
  <pageSetup paperSize="9" orientation="portrait" horizontalDpi="1200" verticalDpi="1200" r:id="rId1"/>
  <drawing r:id="rId2"/>
  <legacyDrawing r:id="rId3"/>
  <oleObjects>
    <mc:AlternateContent xmlns:mc="http://schemas.openxmlformats.org/markup-compatibility/2006">
      <mc:Choice Requires="x14">
        <oleObject progId="Equation.DSMT4" shapeId="6145" r:id="rId4">
          <objectPr defaultSize="0" autoPict="0" r:id="rId5">
            <anchor moveWithCells="1" sizeWithCells="1">
              <from>
                <xdr:col>6</xdr:col>
                <xdr:colOff>285750</xdr:colOff>
                <xdr:row>0</xdr:row>
                <xdr:rowOff>66675</xdr:rowOff>
              </from>
              <to>
                <xdr:col>9</xdr:col>
                <xdr:colOff>266700</xdr:colOff>
                <xdr:row>5</xdr:row>
                <xdr:rowOff>76200</xdr:rowOff>
              </to>
            </anchor>
          </objectPr>
        </oleObject>
      </mc:Choice>
      <mc:Fallback>
        <oleObject progId="Equation.DSMT4" shapeId="6145" r:id="rId4"/>
      </mc:Fallback>
    </mc:AlternateContent>
    <mc:AlternateContent xmlns:mc="http://schemas.openxmlformats.org/markup-compatibility/2006">
      <mc:Choice Requires="x14">
        <oleObject progId="Equation.DSMT4" shapeId="6146" r:id="rId6">
          <objectPr defaultSize="0" autoPict="0" r:id="rId7">
            <anchor moveWithCells="1" sizeWithCells="1">
              <from>
                <xdr:col>6</xdr:col>
                <xdr:colOff>438150</xdr:colOff>
                <xdr:row>5</xdr:row>
                <xdr:rowOff>133350</xdr:rowOff>
              </from>
              <to>
                <xdr:col>7</xdr:col>
                <xdr:colOff>590550</xdr:colOff>
                <xdr:row>7</xdr:row>
                <xdr:rowOff>57150</xdr:rowOff>
              </to>
            </anchor>
          </objectPr>
        </oleObject>
      </mc:Choice>
      <mc:Fallback>
        <oleObject progId="Equation.DSMT4" shapeId="6146" r:id="rId6"/>
      </mc:Fallback>
    </mc:AlternateContent>
    <mc:AlternateContent xmlns:mc="http://schemas.openxmlformats.org/markup-compatibility/2006">
      <mc:Choice Requires="x14">
        <oleObject progId="Equation.DSMT4" shapeId="6147" r:id="rId8">
          <objectPr defaultSize="0" autoPict="0" r:id="rId9">
            <anchor moveWithCells="1" sizeWithCells="1">
              <from>
                <xdr:col>6</xdr:col>
                <xdr:colOff>409575</xdr:colOff>
                <xdr:row>7</xdr:row>
                <xdr:rowOff>57150</xdr:rowOff>
              </from>
              <to>
                <xdr:col>7</xdr:col>
                <xdr:colOff>571500</xdr:colOff>
                <xdr:row>8</xdr:row>
                <xdr:rowOff>171450</xdr:rowOff>
              </to>
            </anchor>
          </objectPr>
        </oleObject>
      </mc:Choice>
      <mc:Fallback>
        <oleObject progId="Equation.DSMT4" shapeId="6147" r:id="rId8"/>
      </mc:Fallback>
    </mc:AlternateContent>
    <mc:AlternateContent xmlns:mc="http://schemas.openxmlformats.org/markup-compatibility/2006">
      <mc:Choice Requires="x14">
        <oleObject progId="Equation.DSMT4" shapeId="6148" r:id="rId10">
          <objectPr defaultSize="0" autoPict="0" r:id="rId11">
            <anchor moveWithCells="1" sizeWithCells="1">
              <from>
                <xdr:col>6</xdr:col>
                <xdr:colOff>542925</xdr:colOff>
                <xdr:row>8</xdr:row>
                <xdr:rowOff>171450</xdr:rowOff>
              </from>
              <to>
                <xdr:col>8</xdr:col>
                <xdr:colOff>590550</xdr:colOff>
                <xdr:row>10</xdr:row>
                <xdr:rowOff>9525</xdr:rowOff>
              </to>
            </anchor>
          </objectPr>
        </oleObject>
      </mc:Choice>
      <mc:Fallback>
        <oleObject progId="Equation.DSMT4" shapeId="6148" r:id="rId10"/>
      </mc:Fallback>
    </mc:AlternateContent>
    <mc:AlternateContent xmlns:mc="http://schemas.openxmlformats.org/markup-compatibility/2006">
      <mc:Choice Requires="x14">
        <oleObject progId="Equation.DSMT4" shapeId="6149" r:id="rId12">
          <objectPr defaultSize="0" r:id="rId13">
            <anchor moveWithCells="1">
              <from>
                <xdr:col>14</xdr:col>
                <xdr:colOff>561975</xdr:colOff>
                <xdr:row>6</xdr:row>
                <xdr:rowOff>57150</xdr:rowOff>
              </from>
              <to>
                <xdr:col>17</xdr:col>
                <xdr:colOff>19050</xdr:colOff>
                <xdr:row>9</xdr:row>
                <xdr:rowOff>19050</xdr:rowOff>
              </to>
            </anchor>
          </objectPr>
        </oleObject>
      </mc:Choice>
      <mc:Fallback>
        <oleObject progId="Equation.DSMT4" shapeId="6149" r:id="rId12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Pression de bulle</vt:lpstr>
      <vt:lpstr>pression de Rosée</vt:lpstr>
      <vt:lpstr>Température de bulle</vt:lpstr>
      <vt:lpstr>tempértaure de Rosée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mourad</dc:creator>
  <cp:lastModifiedBy>Windows User</cp:lastModifiedBy>
  <dcterms:created xsi:type="dcterms:W3CDTF">2014-11-21T13:11:23Z</dcterms:created>
  <dcterms:modified xsi:type="dcterms:W3CDTF">2019-05-19T02:22:19Z</dcterms:modified>
</cp:coreProperties>
</file>