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mahin/Downloads/"/>
    </mc:Choice>
  </mc:AlternateContent>
  <xr:revisionPtr revIDLastSave="0" documentId="13_ncr:1_{3CDDC270-D8B6-2642-8BCC-00D32D681103}" xr6:coauthVersionLast="47" xr6:coauthVersionMax="47" xr10:uidLastSave="{00000000-0000-0000-0000-000000000000}"/>
  <bookViews>
    <workbookView xWindow="0" yWindow="500" windowWidth="28800" windowHeight="16360" activeTab="3" xr2:uid="{9F367FA8-1B5D-430E-8944-3EFFBAB1587A}"/>
  </bookViews>
  <sheets>
    <sheet name="Sheet1" sheetId="1" r:id="rId1"/>
    <sheet name="Sheet2" sheetId="2" r:id="rId2"/>
    <sheet name="Sharon" sheetId="3" r:id="rId3"/>
    <sheet name="IDGM" sheetId="4"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U8" i="4" l="1"/>
  <c r="T8" i="4"/>
  <c r="R7" i="4"/>
  <c r="S8" i="4"/>
  <c r="P12" i="4"/>
  <c r="H6" i="3"/>
  <c r="F43" i="4"/>
  <c r="E42" i="4" l="1"/>
  <c r="F52" i="3"/>
  <c r="E51" i="3"/>
  <c r="F46" i="4"/>
  <c r="F47" i="4"/>
  <c r="F48" i="4"/>
  <c r="F49" i="4"/>
  <c r="F50" i="4"/>
  <c r="F51" i="4"/>
  <c r="F52" i="4"/>
  <c r="F45" i="4"/>
  <c r="F31" i="4"/>
  <c r="F38" i="4" s="1"/>
  <c r="G50" i="4" s="1"/>
  <c r="C75" i="4" s="1"/>
  <c r="E31" i="4"/>
  <c r="B70" i="3"/>
  <c r="C70" i="3" s="1"/>
  <c r="F55" i="3"/>
  <c r="F56" i="3"/>
  <c r="F57" i="3"/>
  <c r="F58" i="3"/>
  <c r="F59" i="3"/>
  <c r="F60" i="3"/>
  <c r="F61" i="3"/>
  <c r="F54" i="3"/>
  <c r="F18" i="1"/>
  <c r="G18" i="1"/>
  <c r="G17" i="1"/>
  <c r="F17" i="1"/>
  <c r="F40" i="3"/>
  <c r="F35" i="4"/>
  <c r="F36" i="4"/>
  <c r="G48" i="4" s="1"/>
  <c r="C73" i="4" s="1"/>
  <c r="F37" i="4"/>
  <c r="G49" i="4" s="1"/>
  <c r="C74" i="4" s="1"/>
  <c r="A78" i="4"/>
  <c r="A77" i="4"/>
  <c r="A76" i="4"/>
  <c r="A75" i="4"/>
  <c r="A74" i="4"/>
  <c r="A73" i="4"/>
  <c r="A72" i="4"/>
  <c r="A71" i="4"/>
  <c r="A70" i="4"/>
  <c r="G47" i="4"/>
  <c r="C72" i="4" s="1"/>
  <c r="C62" i="3"/>
  <c r="E52" i="3"/>
  <c r="C49" i="3"/>
  <c r="B61" i="3" s="1"/>
  <c r="D61" i="3" s="1"/>
  <c r="B74" i="3" s="1"/>
  <c r="C74" i="3" s="1"/>
  <c r="C99" i="3" s="1"/>
  <c r="C48" i="3"/>
  <c r="C47" i="3"/>
  <c r="B59" i="3" s="1"/>
  <c r="D59" i="3" s="1"/>
  <c r="B72" i="3" s="1"/>
  <c r="C72" i="3" s="1"/>
  <c r="C46" i="3"/>
  <c r="C45" i="3"/>
  <c r="B57" i="3" s="1"/>
  <c r="D57" i="3" s="1"/>
  <c r="C44" i="3"/>
  <c r="C43" i="3"/>
  <c r="B55" i="3" s="1"/>
  <c r="D55" i="3" s="1"/>
  <c r="E40" i="3"/>
  <c r="F40" i="4" l="1"/>
  <c r="G52" i="4" s="1"/>
  <c r="C77" i="4" s="1"/>
  <c r="F39" i="4"/>
  <c r="G51" i="4" s="1"/>
  <c r="C76" i="4" s="1"/>
  <c r="F34" i="4"/>
  <c r="G46" i="4" s="1"/>
  <c r="C71" i="4" s="1"/>
  <c r="F33" i="4"/>
  <c r="G45" i="4" s="1"/>
  <c r="C70" i="4" s="1"/>
  <c r="F44" i="3"/>
  <c r="G56" i="3" s="1"/>
  <c r="C81" i="3" s="1"/>
  <c r="F45" i="3"/>
  <c r="E55" i="3"/>
  <c r="B68" i="3"/>
  <c r="C68" i="3" s="1"/>
  <c r="E57" i="3"/>
  <c r="E59" i="3"/>
  <c r="F43" i="3"/>
  <c r="G55" i="3" s="1"/>
  <c r="C80" i="3" s="1"/>
  <c r="F49" i="3"/>
  <c r="G61" i="3" s="1"/>
  <c r="C86" i="3" s="1"/>
  <c r="F47" i="3"/>
  <c r="G59" i="3" s="1"/>
  <c r="C84" i="3" s="1"/>
  <c r="F46" i="3"/>
  <c r="G58" i="3" s="1"/>
  <c r="C83" i="3" s="1"/>
  <c r="E61" i="3"/>
  <c r="B56" i="3"/>
  <c r="D56" i="3" s="1"/>
  <c r="B69" i="3" s="1"/>
  <c r="C69" i="3" s="1"/>
  <c r="D70" i="3" s="1"/>
  <c r="C94" i="3" s="1"/>
  <c r="D94" i="3" s="1"/>
  <c r="C107" i="3" s="1"/>
  <c r="G107" i="3" s="1"/>
  <c r="B58" i="3"/>
  <c r="D58" i="3" s="1"/>
  <c r="B71" i="3" s="1"/>
  <c r="C71" i="3" s="1"/>
  <c r="D72" i="3" s="1"/>
  <c r="C96" i="3" s="1"/>
  <c r="D96" i="3" s="1"/>
  <c r="C109" i="3" s="1"/>
  <c r="G109" i="3" s="1"/>
  <c r="G57" i="3"/>
  <c r="C82" i="3" s="1"/>
  <c r="H55" i="3"/>
  <c r="I55" i="3" s="1"/>
  <c r="F42" i="3"/>
  <c r="F48" i="3"/>
  <c r="G60" i="3" s="1"/>
  <c r="C85" i="3" s="1"/>
  <c r="D99" i="3"/>
  <c r="G33" i="4"/>
  <c r="G34" i="4" s="1"/>
  <c r="G35" i="4" s="1"/>
  <c r="G36" i="4" s="1"/>
  <c r="G37" i="4" s="1"/>
  <c r="G38" i="4" s="1"/>
  <c r="G39" i="4" s="1"/>
  <c r="G40" i="4" s="1"/>
  <c r="B60" i="3"/>
  <c r="D60" i="3" s="1"/>
  <c r="B73" i="3" s="1"/>
  <c r="C73" i="3" s="1"/>
  <c r="D73" i="3" s="1"/>
  <c r="C97" i="3" s="1"/>
  <c r="D97" i="3" s="1"/>
  <c r="C110" i="3" s="1"/>
  <c r="D74" i="3" l="1"/>
  <c r="C98" i="3" s="1"/>
  <c r="D98" i="3" s="1"/>
  <c r="C111" i="3" s="1"/>
  <c r="G111" i="3" s="1"/>
  <c r="D71" i="3"/>
  <c r="C95" i="3" s="1"/>
  <c r="D95" i="3" s="1"/>
  <c r="C108" i="3" s="1"/>
  <c r="D69" i="3"/>
  <c r="C93" i="3" s="1"/>
  <c r="D93" i="3" s="1"/>
  <c r="C106" i="3" s="1"/>
  <c r="G42" i="3"/>
  <c r="G43" i="3" s="1"/>
  <c r="G44" i="3" s="1"/>
  <c r="G45" i="3" s="1"/>
  <c r="G46" i="3" s="1"/>
  <c r="G47" i="3" s="1"/>
  <c r="G48" i="3" s="1"/>
  <c r="G49" i="3" s="1"/>
  <c r="G54" i="3"/>
  <c r="C79" i="3" s="1"/>
  <c r="H59" i="3"/>
  <c r="I59" i="3" s="1"/>
  <c r="E60" i="3"/>
  <c r="H60" i="3" s="1"/>
  <c r="I60" i="3" s="1"/>
  <c r="H61" i="3"/>
  <c r="I61" i="3" s="1"/>
  <c r="E58" i="3"/>
  <c r="H58" i="3" s="1"/>
  <c r="I58" i="3" s="1"/>
  <c r="E56" i="3"/>
  <c r="H56" i="3" s="1"/>
  <c r="I56" i="3" s="1"/>
  <c r="H57" i="3"/>
  <c r="G108" i="3"/>
  <c r="D80" i="3"/>
  <c r="B80" i="3"/>
  <c r="G110" i="3"/>
  <c r="G106" i="3"/>
  <c r="B82" i="3" l="1"/>
  <c r="I57" i="3"/>
  <c r="B83" i="3"/>
  <c r="D83" i="3"/>
  <c r="J58" i="3"/>
  <c r="B85" i="3"/>
  <c r="D85" i="3"/>
  <c r="E85" i="3" s="1"/>
  <c r="B110" i="3" s="1"/>
  <c r="D110" i="3" s="1"/>
  <c r="E110" i="3" s="1"/>
  <c r="B81" i="3"/>
  <c r="D81" i="3"/>
  <c r="D82" i="3"/>
  <c r="E82" i="3" s="1"/>
  <c r="B107" i="3" s="1"/>
  <c r="D107" i="3" s="1"/>
  <c r="E107" i="3" s="1"/>
  <c r="B86" i="3"/>
  <c r="D86" i="3"/>
  <c r="B84" i="3"/>
  <c r="J61" i="3"/>
  <c r="E80" i="3"/>
  <c r="B105" i="3" s="1"/>
  <c r="J55" i="3"/>
  <c r="D84" i="3" l="1"/>
  <c r="J59" i="3"/>
  <c r="E81" i="3"/>
  <c r="B106" i="3" s="1"/>
  <c r="D106" i="3" s="1"/>
  <c r="E106" i="3" s="1"/>
  <c r="E84" i="3"/>
  <c r="B109" i="3" s="1"/>
  <c r="D109" i="3" s="1"/>
  <c r="E109" i="3" s="1"/>
  <c r="E86" i="3"/>
  <c r="B111" i="3" s="1"/>
  <c r="D111" i="3" s="1"/>
  <c r="E111" i="3" s="1"/>
  <c r="J60" i="3"/>
  <c r="J57" i="3"/>
  <c r="J56" i="3"/>
  <c r="E83" i="3"/>
  <c r="B108" i="3" s="1"/>
  <c r="D108" i="3" s="1"/>
  <c r="E108" i="3" s="1"/>
  <c r="K18" i="4" l="1"/>
  <c r="K17" i="4"/>
  <c r="K16" i="4"/>
  <c r="K15" i="4"/>
  <c r="K11" i="4"/>
  <c r="K12" i="4" s="1"/>
  <c r="K6" i="4"/>
  <c r="K5" i="4"/>
  <c r="K4" i="4"/>
  <c r="K3" i="4"/>
  <c r="K2" i="4"/>
  <c r="Q5" i="4"/>
  <c r="Q8" i="4"/>
  <c r="R8" i="4" s="1"/>
  <c r="P8" i="4"/>
  <c r="P9" i="4"/>
  <c r="P10" i="4"/>
  <c r="P7" i="4"/>
  <c r="O11" i="4"/>
  <c r="O8" i="4"/>
  <c r="O9" i="4"/>
  <c r="O10" i="4"/>
  <c r="O7" i="4"/>
  <c r="Q7" i="4" l="1"/>
  <c r="Q11" i="4"/>
  <c r="Q10" i="4"/>
  <c r="R10" i="4" s="1"/>
  <c r="Q9" i="4"/>
  <c r="R9" i="4" s="1"/>
  <c r="C33" i="4"/>
  <c r="B46" i="4" s="1"/>
  <c r="C34" i="4"/>
  <c r="C35" i="4"/>
  <c r="C38" i="4"/>
  <c r="C36" i="4"/>
  <c r="B48" i="4" s="1"/>
  <c r="C37" i="4"/>
  <c r="C39" i="4"/>
  <c r="C40" i="4"/>
  <c r="B45" i="4"/>
  <c r="L3" i="4"/>
  <c r="L4" i="4" s="1"/>
  <c r="K19" i="4"/>
  <c r="R12" i="4" l="1"/>
  <c r="B52" i="4"/>
  <c r="B51" i="4"/>
  <c r="B49" i="4"/>
  <c r="B50" i="4"/>
  <c r="B47" i="4"/>
  <c r="L5" i="4"/>
  <c r="L6" i="4"/>
  <c r="S10" i="4" l="1"/>
  <c r="T10" i="4" s="1"/>
  <c r="U10" i="4" s="1"/>
  <c r="L7" i="4" s="1"/>
  <c r="S9" i="4"/>
  <c r="T9" i="4" s="1"/>
  <c r="U9" i="4" s="1"/>
  <c r="L8" i="4"/>
  <c r="L9" i="4" s="1"/>
  <c r="L10" i="4" s="1"/>
  <c r="J21" i="3"/>
  <c r="I4" i="1"/>
  <c r="I6" i="1"/>
  <c r="H7" i="3"/>
  <c r="K8" i="3"/>
  <c r="L8" i="3"/>
  <c r="K9" i="3"/>
  <c r="L9" i="3"/>
  <c r="K10" i="3"/>
  <c r="L10" i="3"/>
  <c r="K11" i="3"/>
  <c r="L7" i="3"/>
  <c r="K7" i="3"/>
  <c r="L11" i="4" l="1"/>
  <c r="L12" i="4"/>
  <c r="L12" i="3"/>
  <c r="M11" i="3" s="1"/>
  <c r="M14" i="4" l="1"/>
  <c r="L15" i="4" s="1"/>
  <c r="C3" i="4" s="1"/>
  <c r="O14" i="4"/>
  <c r="G19" i="4" s="1"/>
  <c r="L16" i="4"/>
  <c r="C4" i="4" s="1"/>
  <c r="G20" i="4"/>
  <c r="L18" i="4"/>
  <c r="C19" i="4" s="1"/>
  <c r="L19" i="4"/>
  <c r="L17" i="4"/>
  <c r="C18" i="4" s="1"/>
  <c r="M7" i="3"/>
  <c r="M8" i="3"/>
  <c r="M9" i="3"/>
  <c r="M10" i="3"/>
  <c r="G23" i="4" l="1"/>
  <c r="C23" i="4"/>
  <c r="N6" i="3"/>
  <c r="N7" i="3" s="1"/>
  <c r="H20" i="3"/>
  <c r="H19" i="3"/>
  <c r="H18" i="3"/>
  <c r="H17" i="3"/>
  <c r="H13" i="3"/>
  <c r="H14" i="3" s="1"/>
  <c r="H8" i="3"/>
  <c r="H5" i="3"/>
  <c r="C42" i="3" s="1"/>
  <c r="H4" i="3"/>
  <c r="I4" i="3" s="1"/>
  <c r="C24" i="1"/>
  <c r="J5" i="1"/>
  <c r="I5" i="1"/>
  <c r="N5" i="1" s="1"/>
  <c r="J7" i="1"/>
  <c r="I7" i="1"/>
  <c r="J6" i="1"/>
  <c r="J4" i="2"/>
  <c r="J5" i="2"/>
  <c r="J6" i="2"/>
  <c r="J7" i="2"/>
  <c r="J8" i="2"/>
  <c r="J9" i="2"/>
  <c r="J10" i="2"/>
  <c r="J3" i="2"/>
  <c r="J14" i="1"/>
  <c r="I14" i="1"/>
  <c r="J13" i="1"/>
  <c r="I13" i="1"/>
  <c r="I16" i="1"/>
  <c r="J16" i="1"/>
  <c r="J15" i="1"/>
  <c r="I15" i="1"/>
  <c r="J9" i="1"/>
  <c r="J10" i="1" s="1"/>
  <c r="I9" i="1"/>
  <c r="I10" i="1" s="1"/>
  <c r="J4" i="1"/>
  <c r="J3" i="1"/>
  <c r="I2" i="2" s="1"/>
  <c r="B31" i="4" s="1"/>
  <c r="C57" i="4" s="1"/>
  <c r="D57" i="4" s="1"/>
  <c r="B81" i="4" s="1"/>
  <c r="D81" i="4" s="1"/>
  <c r="C94" i="4" s="1"/>
  <c r="D94" i="4" s="1"/>
  <c r="E94" i="4" s="1"/>
  <c r="G94" i="4" s="1"/>
  <c r="I3" i="1"/>
  <c r="D2" i="2" s="1"/>
  <c r="B40" i="3" s="1"/>
  <c r="C66" i="3" s="1"/>
  <c r="D66" i="3" s="1"/>
  <c r="B90" i="3" s="1"/>
  <c r="D90" i="3" s="1"/>
  <c r="C103" i="3" s="1"/>
  <c r="G24" i="1"/>
  <c r="D24" i="1"/>
  <c r="G103" i="3" l="1"/>
  <c r="D103" i="3"/>
  <c r="E103" i="3" s="1"/>
  <c r="B54" i="3"/>
  <c r="D54" i="3" s="1"/>
  <c r="B67" i="3" s="1"/>
  <c r="C67" i="3" s="1"/>
  <c r="I5" i="3"/>
  <c r="I8" i="3" s="1"/>
  <c r="O5" i="1"/>
  <c r="O7" i="1" s="1"/>
  <c r="N7" i="1"/>
  <c r="N8" i="3"/>
  <c r="N9" i="3"/>
  <c r="N10" i="3"/>
  <c r="N11" i="3"/>
  <c r="H21" i="3"/>
  <c r="H3" i="2"/>
  <c r="B33" i="4" s="1"/>
  <c r="H7" i="2"/>
  <c r="B37" i="4" s="1"/>
  <c r="H10" i="2"/>
  <c r="B40" i="4" s="1"/>
  <c r="H6" i="2"/>
  <c r="B36" i="4" s="1"/>
  <c r="H9" i="2"/>
  <c r="B39" i="4" s="1"/>
  <c r="H5" i="2"/>
  <c r="B35" i="4" s="1"/>
  <c r="H8" i="2"/>
  <c r="B38" i="4" s="1"/>
  <c r="H4" i="2"/>
  <c r="B34" i="4" s="1"/>
  <c r="C3" i="2"/>
  <c r="B42" i="3" s="1"/>
  <c r="J17" i="1"/>
  <c r="I17" i="1"/>
  <c r="F24" i="1"/>
  <c r="D42" i="3" l="1"/>
  <c r="C51" i="4"/>
  <c r="D39" i="4"/>
  <c r="D51" i="4" s="1"/>
  <c r="C48" i="4"/>
  <c r="D36" i="4"/>
  <c r="D48" i="4" s="1"/>
  <c r="C52" i="4"/>
  <c r="D40" i="4"/>
  <c r="D52" i="4" s="1"/>
  <c r="C47" i="4"/>
  <c r="D35" i="4"/>
  <c r="D47" i="4" s="1"/>
  <c r="C46" i="4"/>
  <c r="D34" i="4"/>
  <c r="D46" i="4" s="1"/>
  <c r="C49" i="4"/>
  <c r="D37" i="4"/>
  <c r="D49" i="4" s="1"/>
  <c r="C50" i="4"/>
  <c r="D38" i="4"/>
  <c r="D50" i="4" s="1"/>
  <c r="C45" i="4"/>
  <c r="D33" i="4"/>
  <c r="D45" i="4" s="1"/>
  <c r="B41" i="4"/>
  <c r="C53" i="4" s="1"/>
  <c r="D68" i="3"/>
  <c r="C92" i="3" s="1"/>
  <c r="D92" i="3" s="1"/>
  <c r="C105" i="3" s="1"/>
  <c r="D67" i="3"/>
  <c r="C91" i="3" s="1"/>
  <c r="D91" i="3" s="1"/>
  <c r="C104" i="3" s="1"/>
  <c r="E54" i="3"/>
  <c r="I6" i="3"/>
  <c r="I7" i="3"/>
  <c r="N6" i="1"/>
  <c r="P7" i="1" s="1"/>
  <c r="P8" i="1" s="1"/>
  <c r="F51" i="3" s="1"/>
  <c r="O9" i="3"/>
  <c r="P9" i="3" s="1"/>
  <c r="Q9" i="3" s="1"/>
  <c r="R9" i="3" s="1"/>
  <c r="O6" i="1"/>
  <c r="C8" i="2"/>
  <c r="B47" i="3" s="1"/>
  <c r="D47" i="3" s="1"/>
  <c r="C10" i="2"/>
  <c r="B49" i="3" s="1"/>
  <c r="D49" i="3" s="1"/>
  <c r="C5" i="2"/>
  <c r="B44" i="3" s="1"/>
  <c r="D44" i="3" s="1"/>
  <c r="C7" i="2"/>
  <c r="B46" i="3" s="1"/>
  <c r="D46" i="3" s="1"/>
  <c r="C9" i="2"/>
  <c r="B48" i="3" s="1"/>
  <c r="D48" i="3" s="1"/>
  <c r="C4" i="2"/>
  <c r="B43" i="3" s="1"/>
  <c r="D43" i="3" s="1"/>
  <c r="C6" i="2"/>
  <c r="B45" i="3" s="1"/>
  <c r="D45" i="3" s="1"/>
  <c r="B50" i="3" l="1"/>
  <c r="E47" i="4"/>
  <c r="H47" i="4" s="1"/>
  <c r="B60" i="4"/>
  <c r="C60" i="4" s="1"/>
  <c r="E50" i="4"/>
  <c r="H50" i="4" s="1"/>
  <c r="B63" i="4"/>
  <c r="C63" i="4" s="1"/>
  <c r="E52" i="4"/>
  <c r="H52" i="4" s="1"/>
  <c r="B65" i="4"/>
  <c r="C65" i="4" s="1"/>
  <c r="C90" i="4" s="1"/>
  <c r="E49" i="4"/>
  <c r="H49" i="4" s="1"/>
  <c r="B62" i="4"/>
  <c r="C62" i="4" s="1"/>
  <c r="E48" i="4"/>
  <c r="H48" i="4" s="1"/>
  <c r="B61" i="4"/>
  <c r="C61" i="4" s="1"/>
  <c r="E46" i="4"/>
  <c r="H46" i="4" s="1"/>
  <c r="B59" i="4"/>
  <c r="C59" i="4" s="1"/>
  <c r="D60" i="4" s="1"/>
  <c r="C84" i="4" s="1"/>
  <c r="D84" i="4" s="1"/>
  <c r="C97" i="4" s="1"/>
  <c r="E51" i="4"/>
  <c r="H51" i="4" s="1"/>
  <c r="B64" i="4"/>
  <c r="C64" i="4" s="1"/>
  <c r="E45" i="4"/>
  <c r="B58" i="4"/>
  <c r="C58" i="4" s="1"/>
  <c r="G104" i="3"/>
  <c r="G105" i="3"/>
  <c r="D105" i="3"/>
  <c r="E105" i="3" s="1"/>
  <c r="H54" i="3"/>
  <c r="I54" i="3" s="1"/>
  <c r="P10" i="3"/>
  <c r="Q10" i="3" s="1"/>
  <c r="R10" i="3" s="1"/>
  <c r="I9" i="3" s="1"/>
  <c r="I10" i="3" s="1"/>
  <c r="P8" i="3"/>
  <c r="Q8" i="3" s="1"/>
  <c r="R8" i="3" s="1"/>
  <c r="Q7" i="1"/>
  <c r="Q8" i="1" s="1"/>
  <c r="F42" i="4" s="1"/>
  <c r="I11" i="3" l="1"/>
  <c r="I12" i="3" s="1"/>
  <c r="D90" i="4"/>
  <c r="G112" i="3"/>
  <c r="F106" i="3" s="1"/>
  <c r="I52" i="4"/>
  <c r="D77" i="4" s="1"/>
  <c r="B77" i="4"/>
  <c r="I50" i="4"/>
  <c r="D75" i="4" s="1"/>
  <c r="B75" i="4"/>
  <c r="D65" i="4"/>
  <c r="C89" i="4" s="1"/>
  <c r="D89" i="4" s="1"/>
  <c r="C102" i="4" s="1"/>
  <c r="I51" i="4"/>
  <c r="D76" i="4" s="1"/>
  <c r="B76" i="4"/>
  <c r="D64" i="4"/>
  <c r="C88" i="4" s="1"/>
  <c r="D88" i="4" s="1"/>
  <c r="C101" i="4" s="1"/>
  <c r="D63" i="4"/>
  <c r="C87" i="4" s="1"/>
  <c r="D87" i="4" s="1"/>
  <c r="C100" i="4" s="1"/>
  <c r="I46" i="4"/>
  <c r="D71" i="4" s="1"/>
  <c r="B71" i="4"/>
  <c r="D61" i="4"/>
  <c r="C85" i="4" s="1"/>
  <c r="D85" i="4" s="1"/>
  <c r="C98" i="4" s="1"/>
  <c r="D62" i="4"/>
  <c r="C86" i="4" s="1"/>
  <c r="D86" i="4" s="1"/>
  <c r="C99" i="4" s="1"/>
  <c r="I48" i="4"/>
  <c r="D73" i="4" s="1"/>
  <c r="B73" i="4"/>
  <c r="I49" i="4"/>
  <c r="D74" i="4" s="1"/>
  <c r="B74" i="4"/>
  <c r="I47" i="4"/>
  <c r="D72" i="4" s="1"/>
  <c r="B72" i="4"/>
  <c r="D59" i="4"/>
  <c r="C83" i="4" s="1"/>
  <c r="D83" i="4" s="1"/>
  <c r="C96" i="4" s="1"/>
  <c r="D58" i="4"/>
  <c r="C82" i="4" s="1"/>
  <c r="D82" i="4" s="1"/>
  <c r="C95" i="4" s="1"/>
  <c r="J54" i="3"/>
  <c r="B79" i="3"/>
  <c r="H45" i="4"/>
  <c r="I45" i="4" s="1"/>
  <c r="I13" i="3" l="1"/>
  <c r="I14" i="3" s="1"/>
  <c r="L18" i="3"/>
  <c r="K18" i="3"/>
  <c r="E24" i="3"/>
  <c r="E77" i="4"/>
  <c r="B102" i="4" s="1"/>
  <c r="D102" i="4" s="1"/>
  <c r="E102" i="4" s="1"/>
  <c r="G102" i="4" s="1"/>
  <c r="E71" i="4"/>
  <c r="B96" i="4" s="1"/>
  <c r="D96" i="4" s="1"/>
  <c r="E96" i="4" s="1"/>
  <c r="G96" i="4" s="1"/>
  <c r="J52" i="4"/>
  <c r="E75" i="4"/>
  <c r="B100" i="4" s="1"/>
  <c r="D100" i="4" s="1"/>
  <c r="E100" i="4" s="1"/>
  <c r="G100" i="4" s="1"/>
  <c r="J48" i="4"/>
  <c r="E73" i="4"/>
  <c r="B98" i="4" s="1"/>
  <c r="D98" i="4" s="1"/>
  <c r="E98" i="4" s="1"/>
  <c r="G98" i="4" s="1"/>
  <c r="J49" i="4"/>
  <c r="J46" i="4"/>
  <c r="J50" i="4"/>
  <c r="E74" i="4"/>
  <c r="B99" i="4" s="1"/>
  <c r="D99" i="4" s="1"/>
  <c r="E99" i="4" s="1"/>
  <c r="G99" i="4" s="1"/>
  <c r="J47" i="4"/>
  <c r="J51" i="4"/>
  <c r="E72" i="4"/>
  <c r="B97" i="4" s="1"/>
  <c r="D97" i="4" s="1"/>
  <c r="E97" i="4" s="1"/>
  <c r="G97" i="4" s="1"/>
  <c r="E76" i="4"/>
  <c r="B101" i="4" s="1"/>
  <c r="D101" i="4" s="1"/>
  <c r="E101" i="4" s="1"/>
  <c r="G101" i="4" s="1"/>
  <c r="D79" i="3"/>
  <c r="E79" i="3" s="1"/>
  <c r="B104" i="3" s="1"/>
  <c r="B112" i="3" s="1"/>
  <c r="B70" i="4"/>
  <c r="D70" i="4"/>
  <c r="E25" i="3"/>
  <c r="E28" i="3" s="1"/>
  <c r="E70" i="4" l="1"/>
  <c r="B95" i="4" s="1"/>
  <c r="D95" i="4" s="1"/>
  <c r="D104" i="3"/>
  <c r="J45" i="4"/>
  <c r="I17" i="3"/>
  <c r="B5" i="3" s="1"/>
  <c r="I20" i="3"/>
  <c r="B24" i="3" s="1"/>
  <c r="I18" i="3"/>
  <c r="B6" i="3" s="1"/>
  <c r="I19" i="3"/>
  <c r="B23" i="3" s="1"/>
  <c r="I21" i="3"/>
  <c r="B15" i="3" s="1"/>
  <c r="B103" i="4" l="1"/>
  <c r="E104" i="3"/>
  <c r="E112" i="3" s="1"/>
  <c r="E113" i="3" s="1"/>
  <c r="E95" i="4"/>
  <c r="G95" i="4" s="1"/>
  <c r="G103" i="4" s="1"/>
  <c r="F97" i="4" s="1"/>
  <c r="D103" i="4"/>
  <c r="D104" i="4" s="1"/>
  <c r="B28" i="3"/>
</calcChain>
</file>

<file path=xl/sharedStrings.xml><?xml version="1.0" encoding="utf-8"?>
<sst xmlns="http://schemas.openxmlformats.org/spreadsheetml/2006/main" count="286" uniqueCount="101">
  <si>
    <t xml:space="preserve">Current Assets </t>
  </si>
  <si>
    <t xml:space="preserve">Current Liabilities </t>
  </si>
  <si>
    <t xml:space="preserve">Cash/ Cash equivalents </t>
  </si>
  <si>
    <t xml:space="preserve">ST Loans payable </t>
  </si>
  <si>
    <t xml:space="preserve">ST Investments </t>
  </si>
  <si>
    <t>Long Term Debts payable</t>
  </si>
  <si>
    <t xml:space="preserve">AR - NET </t>
  </si>
  <si>
    <t xml:space="preserve">AP </t>
  </si>
  <si>
    <t xml:space="preserve">Other Receivables </t>
  </si>
  <si>
    <t xml:space="preserve">Compensation &amp; benefits </t>
  </si>
  <si>
    <t xml:space="preserve">Inventory </t>
  </si>
  <si>
    <t xml:space="preserve">IT payable </t>
  </si>
  <si>
    <t xml:space="preserve">Supplies </t>
  </si>
  <si>
    <t xml:space="preserve">Accrued Liabilities </t>
  </si>
  <si>
    <t>Prepaid Expenses</t>
  </si>
  <si>
    <t xml:space="preserve">Deferred revenues </t>
  </si>
  <si>
    <t xml:space="preserve">(Var Depr) </t>
  </si>
  <si>
    <t xml:space="preserve">Investments </t>
  </si>
  <si>
    <t xml:space="preserve">Fixed Assets </t>
  </si>
  <si>
    <t xml:space="preserve">Long Term Liabilities </t>
  </si>
  <si>
    <t xml:space="preserve">Land </t>
  </si>
  <si>
    <t xml:space="preserve">Notes Payable </t>
  </si>
  <si>
    <t xml:space="preserve">Land improvements </t>
  </si>
  <si>
    <t xml:space="preserve">Bond Payable </t>
  </si>
  <si>
    <t xml:space="preserve">Buildings </t>
  </si>
  <si>
    <t xml:space="preserve">Deferred Income taxes </t>
  </si>
  <si>
    <t xml:space="preserve">Equipment </t>
  </si>
  <si>
    <t>Capital Leases</t>
  </si>
  <si>
    <t xml:space="preserve">(Fixed Depr) </t>
  </si>
  <si>
    <t xml:space="preserve">Intangible Assets </t>
  </si>
  <si>
    <t xml:space="preserve">Stockholders Equity </t>
  </si>
  <si>
    <t xml:space="preserve">Goodwill </t>
  </si>
  <si>
    <t xml:space="preserve">Common Stock </t>
  </si>
  <si>
    <t xml:space="preserve">Marketing reputation </t>
  </si>
  <si>
    <t xml:space="preserve">Retained earnings </t>
  </si>
  <si>
    <t xml:space="preserve">Brand Reputation </t>
  </si>
  <si>
    <t xml:space="preserve">Paid In Capital </t>
  </si>
  <si>
    <t xml:space="preserve">Other Intangible assets </t>
  </si>
  <si>
    <t xml:space="preserve">Comprehensive income </t>
  </si>
  <si>
    <t xml:space="preserve">Other Assets </t>
  </si>
  <si>
    <t xml:space="preserve">Treasury Stock </t>
  </si>
  <si>
    <t>Sharon</t>
  </si>
  <si>
    <t>IDGM</t>
  </si>
  <si>
    <t xml:space="preserve">Sharon </t>
  </si>
  <si>
    <t xml:space="preserve">Units </t>
  </si>
  <si>
    <t xml:space="preserve">Price/Product </t>
  </si>
  <si>
    <t xml:space="preserve">COGS/Product </t>
  </si>
  <si>
    <t xml:space="preserve">Operating Expenses </t>
  </si>
  <si>
    <t xml:space="preserve">Interest Expenses </t>
  </si>
  <si>
    <t xml:space="preserve">Taxes </t>
  </si>
  <si>
    <t xml:space="preserve">Retained Earnings </t>
  </si>
  <si>
    <t xml:space="preserve">Paid in Capital </t>
  </si>
  <si>
    <t xml:space="preserve">IDGM </t>
  </si>
  <si>
    <t xml:space="preserve">This percentage of Final Price </t>
  </si>
  <si>
    <t xml:space="preserve">This percentage of COGS </t>
  </si>
  <si>
    <t xml:space="preserve">This percentage of EBT </t>
  </si>
  <si>
    <t xml:space="preserve">This percentage of NI </t>
  </si>
  <si>
    <t>This percenntage of NI</t>
  </si>
  <si>
    <t xml:space="preserve">Periods </t>
  </si>
  <si>
    <t xml:space="preserve">Unit Sales </t>
  </si>
  <si>
    <t>Variable Cost %</t>
  </si>
  <si>
    <t xml:space="preserve">The project has different unit of sales. Its seen that at the very beginning both of them have more sales and gradually declining. As the project proceeds with declining sales hence the management decides to call for a project withdrawal after 8 years. The beginning balance of WC can be found out from the present balance sheet. The project unit sales price are also found in the IS in sheet 1. The proceeding WC balance is 18.5% of each years sales. Its seen that among the fixed assets, each are depreciatable except of Land which has a final after project value of 1.75 times the current price. The equipment has a salvage value of 25% after the project. The rest of fixed assets have a scrap value worth of 15% of their purchase price. The periodic variable cost is mentioned in sheet 1 of product selling price and fixed cost is 1/15th of fixed liabilities value. The projects WACC is 13%. Based on the above information should the project be proceeded and which one should be proceeded if capital rationing is present? </t>
  </si>
  <si>
    <t xml:space="preserve">Depreciation </t>
  </si>
  <si>
    <t>Depreciation amount</t>
  </si>
  <si>
    <t>EBIT</t>
  </si>
  <si>
    <t>EBI</t>
  </si>
  <si>
    <t>Periods or Years</t>
  </si>
  <si>
    <t>Unit Sales</t>
  </si>
  <si>
    <t>Unit price</t>
  </si>
  <si>
    <t>Yearly Revenue</t>
  </si>
  <si>
    <t>MACRS percentage</t>
  </si>
  <si>
    <t>Depreciation</t>
  </si>
  <si>
    <t>Ending Book Value</t>
  </si>
  <si>
    <t>Unit Price</t>
  </si>
  <si>
    <t>Unit sales</t>
  </si>
  <si>
    <t>Revenues</t>
  </si>
  <si>
    <t>Variable Costs</t>
  </si>
  <si>
    <t>Fixed Costs</t>
  </si>
  <si>
    <t>Taxes</t>
  </si>
  <si>
    <t>NI</t>
  </si>
  <si>
    <t>Cash Flow analysis</t>
  </si>
  <si>
    <t>NET WC</t>
  </si>
  <si>
    <t>Cash Flow</t>
  </si>
  <si>
    <t>Projected Cash Flow Analysis</t>
  </si>
  <si>
    <t>OCF</t>
  </si>
  <si>
    <t>Depr</t>
  </si>
  <si>
    <t>Net WC</t>
  </si>
  <si>
    <t>Initial NWC</t>
  </si>
  <si>
    <t>WC changes</t>
  </si>
  <si>
    <t>Total Change in WC</t>
  </si>
  <si>
    <t>Project Analysis</t>
  </si>
  <si>
    <t>WACC</t>
  </si>
  <si>
    <t>Change in WC</t>
  </si>
  <si>
    <t>Total Project CF</t>
  </si>
  <si>
    <t>Discounted CF (13%)</t>
  </si>
  <si>
    <t xml:space="preserve">Fixed Libility </t>
  </si>
  <si>
    <t>Depreciation  Amount</t>
  </si>
  <si>
    <t>Paid capital 65%</t>
  </si>
  <si>
    <t>Paid Capital 65%</t>
  </si>
  <si>
    <t>Paid Capital 35%</t>
  </si>
  <si>
    <t>Paid capital 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</si>
</sst>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000000"/>
      <name val="Calibri"/>
      <family val="2"/>
      <scheme val="minor"/>
    </font>
    <font>
      <b/>
      <sz val="12"/>
      <color rgb="FFFF0000"/>
      <name val="Times New Roman"/>
      <family val="1"/>
    </font>
    <font>
      <sz val="12"/>
      <color theme="1"/>
      <name val="Times New Roman"/>
      <family val="1"/>
    </font>
    <font>
      <b/>
      <sz val="12"/>
      <color theme="1"/>
      <name val="Times New Roman"/>
      <family val="1"/>
    </font>
    <font>
      <sz val="12"/>
      <color rgb="FF000000"/>
      <name val="Times New Roman"/>
      <family val="1"/>
    </font>
    <font>
      <b/>
      <sz val="12"/>
      <color rgb="FF000000"/>
      <name val="Times New Roman"/>
      <family val="1"/>
    </font>
    <font>
      <b/>
      <sz val="12"/>
      <color theme="4" tint="-0.249977111117893"/>
      <name val="Times New Roman"/>
      <family val="1"/>
    </font>
    <font>
      <b/>
      <sz val="12"/>
      <color rgb="FF0070C0"/>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9" fontId="0" fillId="0" borderId="0" xfId="0" applyNumberFormat="1"/>
    <xf numFmtId="0" fontId="0" fillId="0" borderId="0" xfId="0" applyAlignment="1">
      <alignment horizontal="left" vertical="top" wrapText="1"/>
    </xf>
    <xf numFmtId="0" fontId="1" fillId="0" borderId="0" xfId="0" applyFont="1"/>
    <xf numFmtId="17" fontId="0" fillId="0" borderId="0" xfId="0" applyNumberFormat="1"/>
    <xf numFmtId="0" fontId="2" fillId="0" borderId="0" xfId="0" applyFont="1"/>
    <xf numFmtId="0" fontId="3" fillId="0" borderId="0" xfId="0" applyFont="1"/>
    <xf numFmtId="9" fontId="3" fillId="0" borderId="0" xfId="0" applyNumberFormat="1" applyFont="1"/>
    <xf numFmtId="0" fontId="4" fillId="0" borderId="0" xfId="0" applyFont="1"/>
    <xf numFmtId="0" fontId="5" fillId="0" borderId="0" xfId="0" applyFont="1"/>
    <xf numFmtId="0" fontId="6" fillId="0" borderId="0" xfId="0" applyFont="1"/>
    <xf numFmtId="0" fontId="3" fillId="0" borderId="0" xfId="0" applyFont="1" applyAlignment="1">
      <alignment horizontal="right"/>
    </xf>
    <xf numFmtId="0" fontId="7" fillId="0" borderId="0" xfId="0" applyFont="1"/>
    <xf numFmtId="0" fontId="5" fillId="0" borderId="0" xfId="0" applyFont="1" applyAlignment="1">
      <alignment horizontal="right"/>
    </xf>
    <xf numFmtId="0" fontId="6" fillId="0" borderId="0" xfId="0" applyFont="1" applyAlignment="1">
      <alignment horizontal="left"/>
    </xf>
    <xf numFmtId="0" fontId="8" fillId="0" borderId="0" xfId="0" applyFont="1"/>
    <xf numFmtId="9" fontId="4" fillId="0" borderId="0" xfId="0" applyNumberFormat="1" applyFont="1"/>
    <xf numFmtId="0" fontId="0" fillId="0" borderId="0" xfId="0" applyAlignment="1">
      <alignment horizontal="left" vertical="top" wrapText="1"/>
    </xf>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xdr:col>
      <xdr:colOff>830841</xdr:colOff>
      <xdr:row>32</xdr:row>
      <xdr:rowOff>0</xdr:rowOff>
    </xdr:from>
    <xdr:to>
      <xdr:col>12</xdr:col>
      <xdr:colOff>335818</xdr:colOff>
      <xdr:row>35</xdr:row>
      <xdr:rowOff>158413</xdr:rowOff>
    </xdr:to>
    <xdr:sp macro="" textlink="">
      <xdr:nvSpPr>
        <xdr:cNvPr id="2" name="Rectangle 1">
          <a:extLst>
            <a:ext uri="{FF2B5EF4-FFF2-40B4-BE49-F238E27FC236}">
              <a16:creationId xmlns:a16="http://schemas.microsoft.com/office/drawing/2014/main" id="{ADA7D3F6-89F4-2748-965F-37417C07D739}"/>
            </a:ext>
          </a:extLst>
        </xdr:cNvPr>
        <xdr:cNvSpPr/>
      </xdr:nvSpPr>
      <xdr:spPr>
        <a:xfrm>
          <a:off x="3323364" y="6077009"/>
          <a:ext cx="7552267" cy="72813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3600" b="1">
              <a:latin typeface="Times New Roman" panose="02020603050405020304" pitchFamily="18" charset="0"/>
              <a:cs typeface="Times New Roman" panose="02020603050405020304" pitchFamily="18" charset="0"/>
            </a:rPr>
            <a:t>Cash Flow Statement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609599</xdr:colOff>
      <xdr:row>24</xdr:row>
      <xdr:rowOff>135467</xdr:rowOff>
    </xdr:from>
    <xdr:to>
      <xdr:col>14</xdr:col>
      <xdr:colOff>694266</xdr:colOff>
      <xdr:row>28</xdr:row>
      <xdr:rowOff>118533</xdr:rowOff>
    </xdr:to>
    <xdr:sp macro="" textlink="">
      <xdr:nvSpPr>
        <xdr:cNvPr id="2" name="Rectangle 1">
          <a:extLst>
            <a:ext uri="{FF2B5EF4-FFF2-40B4-BE49-F238E27FC236}">
              <a16:creationId xmlns:a16="http://schemas.microsoft.com/office/drawing/2014/main" id="{6FEFE4F6-105D-5285-B058-CCA2D2DC7C07}"/>
            </a:ext>
          </a:extLst>
        </xdr:cNvPr>
        <xdr:cNvSpPr/>
      </xdr:nvSpPr>
      <xdr:spPr>
        <a:xfrm>
          <a:off x="4758266" y="4605867"/>
          <a:ext cx="7552267" cy="72813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3600" b="1">
              <a:latin typeface="Times New Roman" panose="02020603050405020304" pitchFamily="18" charset="0"/>
              <a:cs typeface="Times New Roman" panose="02020603050405020304" pitchFamily="18" charset="0"/>
            </a:rPr>
            <a:t>Cash Flow Statement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N%20440%20PROJECT%20(1)%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come statement"/>
      <sheetName val="Balance sheet"/>
    </sheetNames>
    <sheetDataSet>
      <sheetData sheetId="0">
        <row r="4">
          <cell r="H4">
            <v>57</v>
          </cell>
        </row>
        <row r="8">
          <cell r="H8">
            <v>0.24</v>
          </cell>
        </row>
        <row r="16">
          <cell r="A16" t="str">
            <v>Equipment</v>
          </cell>
        </row>
        <row r="17">
          <cell r="D17" t="str">
            <v>Total Fixed Liabilities</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6D7C2-029F-43E9-853B-A6F47E56BC06}">
  <dimension ref="A1:Q28"/>
  <sheetViews>
    <sheetView topLeftCell="B1" zoomScale="125" workbookViewId="0">
      <selection activeCell="F18" sqref="F18"/>
    </sheetView>
  </sheetViews>
  <sheetFormatPr baseColWidth="10" defaultColWidth="8.83203125" defaultRowHeight="15" x14ac:dyDescent="0.2"/>
  <cols>
    <col min="1" max="1" width="20.6640625" bestFit="1" customWidth="1"/>
    <col min="2" max="2" width="7.1640625" bestFit="1" customWidth="1"/>
    <col min="3" max="3" width="11.5" customWidth="1"/>
    <col min="5" max="5" width="25.1640625" customWidth="1"/>
    <col min="8" max="8" width="19.83203125" customWidth="1"/>
    <col min="14" max="14" width="13" customWidth="1"/>
  </cols>
  <sheetData>
    <row r="1" spans="1:17" x14ac:dyDescent="0.2">
      <c r="A1" s="3" t="s">
        <v>1</v>
      </c>
      <c r="B1" s="3"/>
    </row>
    <row r="2" spans="1:17" x14ac:dyDescent="0.2">
      <c r="A2" s="3" t="s">
        <v>3</v>
      </c>
      <c r="B2" s="3"/>
      <c r="C2" t="s">
        <v>41</v>
      </c>
      <c r="D2" t="s">
        <v>42</v>
      </c>
      <c r="E2" t="s">
        <v>1</v>
      </c>
      <c r="F2" t="s">
        <v>41</v>
      </c>
      <c r="G2" t="s">
        <v>42</v>
      </c>
      <c r="I2" t="s">
        <v>43</v>
      </c>
      <c r="J2" t="s">
        <v>52</v>
      </c>
    </row>
    <row r="3" spans="1:17" x14ac:dyDescent="0.2">
      <c r="A3" s="3" t="s">
        <v>5</v>
      </c>
      <c r="B3" s="3"/>
      <c r="C3">
        <v>25000</v>
      </c>
      <c r="D3">
        <v>16000</v>
      </c>
      <c r="E3" t="s">
        <v>3</v>
      </c>
      <c r="F3">
        <v>14550</v>
      </c>
      <c r="G3">
        <v>12500</v>
      </c>
      <c r="H3" t="s">
        <v>44</v>
      </c>
      <c r="I3">
        <f ca="1" xml:space="preserve"> RANDBETWEEN(15500, 16000)</f>
        <v>15685</v>
      </c>
      <c r="J3">
        <f ca="1" xml:space="preserve"> RANDBETWEEN(10050, 10500)</f>
        <v>10343</v>
      </c>
    </row>
    <row r="4" spans="1:17" x14ac:dyDescent="0.2">
      <c r="A4" s="3" t="s">
        <v>7</v>
      </c>
      <c r="B4" s="3"/>
      <c r="E4" t="s">
        <v>5</v>
      </c>
      <c r="F4">
        <v>22300</v>
      </c>
      <c r="G4">
        <v>18700</v>
      </c>
      <c r="H4" t="s">
        <v>45</v>
      </c>
      <c r="I4">
        <f ca="1" xml:space="preserve"> RANDBETWEEN(55, 60)</f>
        <v>57</v>
      </c>
      <c r="J4">
        <f ca="1" xml:space="preserve"> RANDBETWEEN(40, 45)</f>
        <v>43</v>
      </c>
    </row>
    <row r="5" spans="1:17" x14ac:dyDescent="0.2">
      <c r="A5" s="3" t="s">
        <v>9</v>
      </c>
      <c r="B5" s="3"/>
      <c r="E5" t="s">
        <v>7</v>
      </c>
      <c r="F5">
        <v>4500</v>
      </c>
      <c r="G5">
        <v>3500</v>
      </c>
      <c r="H5" t="s">
        <v>46</v>
      </c>
      <c r="I5">
        <f ca="1" xml:space="preserve"> RANDBETWEEN(35, 40) / 100</f>
        <v>0.36</v>
      </c>
      <c r="J5">
        <f ca="1" xml:space="preserve"> RANDBETWEEN(35, 40) / 100</f>
        <v>0.35</v>
      </c>
      <c r="K5" t="s">
        <v>53</v>
      </c>
      <c r="N5">
        <f ca="1" xml:space="preserve"> I5 * I4</f>
        <v>20.52</v>
      </c>
      <c r="O5">
        <f ca="1" xml:space="preserve"> J5 * J4</f>
        <v>15.049999999999999</v>
      </c>
    </row>
    <row r="6" spans="1:17" x14ac:dyDescent="0.2">
      <c r="A6" s="3" t="s">
        <v>11</v>
      </c>
      <c r="B6" s="3"/>
      <c r="C6">
        <v>3500</v>
      </c>
      <c r="D6">
        <v>1450</v>
      </c>
      <c r="E6" t="s">
        <v>9</v>
      </c>
      <c r="F6">
        <v>5700</v>
      </c>
      <c r="G6">
        <v>5600</v>
      </c>
      <c r="H6" t="s">
        <v>47</v>
      </c>
      <c r="I6">
        <f ca="1" xml:space="preserve"> RANDBETWEEN(20, 25) / 100</f>
        <v>0.23</v>
      </c>
      <c r="J6">
        <f ca="1" xml:space="preserve"> RANDBETWEEN(20, 25) / 100</f>
        <v>0.2</v>
      </c>
      <c r="K6" t="s">
        <v>54</v>
      </c>
      <c r="N6">
        <f ca="1" xml:space="preserve"> I6 * N5</f>
        <v>4.7195999999999998</v>
      </c>
      <c r="O6">
        <f ca="1" xml:space="preserve"> J6 * O5</f>
        <v>3.01</v>
      </c>
    </row>
    <row r="7" spans="1:17" x14ac:dyDescent="0.2">
      <c r="A7" s="3" t="s">
        <v>13</v>
      </c>
      <c r="B7" s="3"/>
      <c r="C7">
        <v>43000</v>
      </c>
      <c r="D7">
        <v>23000</v>
      </c>
      <c r="E7" t="s">
        <v>11</v>
      </c>
      <c r="F7">
        <v>13450</v>
      </c>
      <c r="G7">
        <v>12500</v>
      </c>
      <c r="H7" t="s">
        <v>48</v>
      </c>
      <c r="I7">
        <f ca="1" xml:space="preserve"> RANDBETWEEN(10, 13) / 100</f>
        <v>0.12</v>
      </c>
      <c r="J7">
        <f ca="1" xml:space="preserve"> RANDBETWEEN(10, 13) / 100</f>
        <v>0.12</v>
      </c>
      <c r="K7" t="s">
        <v>54</v>
      </c>
      <c r="N7">
        <f ca="1" xml:space="preserve"> I7 * N5</f>
        <v>2.4623999999999997</v>
      </c>
      <c r="O7">
        <f ca="1" xml:space="preserve"> J7 * O5</f>
        <v>1.8059999999999998</v>
      </c>
      <c r="P7">
        <f ca="1" xml:space="preserve"> SUM(N5:N7)</f>
        <v>27.701999999999998</v>
      </c>
      <c r="Q7">
        <f ca="1" xml:space="preserve"> SUM(O5:O7)</f>
        <v>19.866</v>
      </c>
    </row>
    <row r="8" spans="1:17" x14ac:dyDescent="0.2">
      <c r="A8" s="3" t="s">
        <v>15</v>
      </c>
      <c r="B8" s="3"/>
      <c r="C8">
        <v>5600</v>
      </c>
      <c r="D8">
        <v>2300</v>
      </c>
      <c r="E8" t="s">
        <v>13</v>
      </c>
      <c r="F8">
        <v>23000</v>
      </c>
      <c r="G8">
        <v>12000</v>
      </c>
      <c r="H8" t="s">
        <v>49</v>
      </c>
      <c r="I8" s="1">
        <v>0.24</v>
      </c>
      <c r="J8" s="1">
        <v>0.24</v>
      </c>
      <c r="K8" t="s">
        <v>55</v>
      </c>
      <c r="N8" t="s">
        <v>60</v>
      </c>
      <c r="P8">
        <f ca="1" xml:space="preserve"> P7 /Sheet1!I4</f>
        <v>0.48599999999999999</v>
      </c>
      <c r="Q8">
        <f ca="1" xml:space="preserve"> Q7 / J4</f>
        <v>0.46199999999999997</v>
      </c>
    </row>
    <row r="9" spans="1:17" x14ac:dyDescent="0.2">
      <c r="A9" s="3"/>
      <c r="B9" s="3"/>
      <c r="C9">
        <v>2350</v>
      </c>
      <c r="D9">
        <v>1250</v>
      </c>
      <c r="E9" t="s">
        <v>15</v>
      </c>
      <c r="F9">
        <v>8600</v>
      </c>
      <c r="G9">
        <v>7300</v>
      </c>
      <c r="H9" t="s">
        <v>50</v>
      </c>
      <c r="I9">
        <f ca="1">RANDBETWEEN(52, 65) / 100</f>
        <v>0.57999999999999996</v>
      </c>
      <c r="J9">
        <f ca="1">RANDBETWEEN(52, 65) / 100</f>
        <v>0.63</v>
      </c>
      <c r="K9" t="s">
        <v>56</v>
      </c>
    </row>
    <row r="10" spans="1:17" x14ac:dyDescent="0.2">
      <c r="A10" s="3"/>
      <c r="B10" s="3"/>
      <c r="C10">
        <v>2150</v>
      </c>
      <c r="D10">
        <v>1850</v>
      </c>
      <c r="H10" t="s">
        <v>51</v>
      </c>
      <c r="I10">
        <f ca="1" xml:space="preserve"> 1 - I9</f>
        <v>0.42000000000000004</v>
      </c>
      <c r="J10">
        <f ca="1" xml:space="preserve"> 1 - J9</f>
        <v>0.37</v>
      </c>
      <c r="K10" t="s">
        <v>57</v>
      </c>
    </row>
    <row r="11" spans="1:17" x14ac:dyDescent="0.2">
      <c r="A11" s="3" t="s">
        <v>19</v>
      </c>
      <c r="B11" s="3"/>
    </row>
    <row r="12" spans="1:17" x14ac:dyDescent="0.2">
      <c r="A12" s="3" t="s">
        <v>21</v>
      </c>
      <c r="B12" s="3"/>
      <c r="E12" t="s">
        <v>19</v>
      </c>
      <c r="I12" t="s">
        <v>43</v>
      </c>
      <c r="J12" t="s">
        <v>52</v>
      </c>
    </row>
    <row r="13" spans="1:17" x14ac:dyDescent="0.2">
      <c r="A13" s="3" t="s">
        <v>23</v>
      </c>
      <c r="B13" s="3"/>
      <c r="C13">
        <v>75000</v>
      </c>
      <c r="D13">
        <v>53000</v>
      </c>
      <c r="E13" t="s">
        <v>21</v>
      </c>
      <c r="F13">
        <v>84500</v>
      </c>
      <c r="G13">
        <v>35000</v>
      </c>
      <c r="H13" t="s">
        <v>4</v>
      </c>
      <c r="I13">
        <f ca="1" xml:space="preserve"> RANDBETWEEN(11, 17) / 100</f>
        <v>0.15</v>
      </c>
      <c r="J13">
        <f ca="1" xml:space="preserve"> RANDBETWEEN(11, 17) / 100</f>
        <v>0.13</v>
      </c>
    </row>
    <row r="14" spans="1:17" x14ac:dyDescent="0.2">
      <c r="A14" s="3" t="s">
        <v>25</v>
      </c>
      <c r="B14" s="3"/>
      <c r="C14">
        <v>25500</v>
      </c>
      <c r="D14">
        <v>18500</v>
      </c>
      <c r="E14" t="s">
        <v>23</v>
      </c>
      <c r="F14">
        <v>26000</v>
      </c>
      <c r="G14">
        <v>22500</v>
      </c>
      <c r="H14" t="s">
        <v>6</v>
      </c>
      <c r="I14">
        <f ca="1" xml:space="preserve"> RANDBETWEEN(13, 15) / 100</f>
        <v>0.13</v>
      </c>
      <c r="J14">
        <f ca="1" xml:space="preserve"> RANDBETWEEN(13, 15) / 100</f>
        <v>0.15</v>
      </c>
    </row>
    <row r="15" spans="1:17" x14ac:dyDescent="0.2">
      <c r="A15" s="3" t="s">
        <v>27</v>
      </c>
      <c r="B15" s="3"/>
      <c r="C15">
        <v>125000</v>
      </c>
      <c r="D15">
        <v>85000</v>
      </c>
      <c r="E15" t="s">
        <v>25</v>
      </c>
      <c r="F15">
        <v>23600</v>
      </c>
      <c r="G15">
        <v>31000</v>
      </c>
      <c r="H15" t="s">
        <v>31</v>
      </c>
      <c r="I15">
        <f ca="1" xml:space="preserve"> RANDBETWEEN(2, 5) / 100</f>
        <v>0.04</v>
      </c>
      <c r="J15">
        <f ca="1" xml:space="preserve"> RANDBETWEEN(2, 5) / 100</f>
        <v>0.04</v>
      </c>
    </row>
    <row r="16" spans="1:17" x14ac:dyDescent="0.2">
      <c r="A16" s="3"/>
      <c r="B16" s="3"/>
      <c r="C16">
        <v>210000</v>
      </c>
      <c r="D16">
        <v>165000</v>
      </c>
      <c r="E16" t="s">
        <v>27</v>
      </c>
      <c r="F16">
        <v>12500</v>
      </c>
      <c r="G16">
        <v>23400</v>
      </c>
      <c r="H16" t="s">
        <v>33</v>
      </c>
      <c r="I16">
        <f ca="1" xml:space="preserve"> RANDBETWEEN(2, 5) / 100</f>
        <v>0.05</v>
      </c>
      <c r="J16">
        <f ca="1" xml:space="preserve"> RANDBETWEEN(2, 5) / 100</f>
        <v>0.05</v>
      </c>
      <c r="M16" s="4"/>
    </row>
    <row r="17" spans="1:15" x14ac:dyDescent="0.2">
      <c r="A17" s="3" t="s">
        <v>30</v>
      </c>
      <c r="B17" s="3"/>
      <c r="C17">
        <v>3450</v>
      </c>
      <c r="D17">
        <v>2640</v>
      </c>
      <c r="F17">
        <f>SUM(F13:F16)</f>
        <v>146600</v>
      </c>
      <c r="G17">
        <f>SUM(G13:G16)</f>
        <v>111900</v>
      </c>
      <c r="H17" t="s">
        <v>17</v>
      </c>
      <c r="I17">
        <f ca="1" xml:space="preserve"> 1 - SUM(I13:I16)</f>
        <v>0.63</v>
      </c>
      <c r="J17">
        <f ca="1" xml:space="preserve"> 1 - SUM(J13:J16)</f>
        <v>0.63</v>
      </c>
    </row>
    <row r="18" spans="1:15" x14ac:dyDescent="0.2">
      <c r="A18" s="3" t="s">
        <v>32</v>
      </c>
      <c r="B18" s="3"/>
      <c r="E18" t="s">
        <v>30</v>
      </c>
      <c r="F18">
        <f>0.066666*F17</f>
        <v>9773.2356</v>
      </c>
      <c r="G18">
        <f>0.066666*G17</f>
        <v>7459.9254000000001</v>
      </c>
    </row>
    <row r="19" spans="1:15" ht="15" customHeight="1" x14ac:dyDescent="0.2">
      <c r="A19" s="3" t="s">
        <v>34</v>
      </c>
      <c r="B19" s="3"/>
      <c r="E19" t="s">
        <v>32</v>
      </c>
      <c r="F19">
        <v>115000</v>
      </c>
      <c r="G19">
        <v>85000</v>
      </c>
      <c r="I19" s="2"/>
      <c r="J19" s="2"/>
      <c r="K19" s="2"/>
      <c r="L19" s="2"/>
      <c r="M19" s="2"/>
      <c r="N19" s="2"/>
      <c r="O19" s="2"/>
    </row>
    <row r="20" spans="1:15" x14ac:dyDescent="0.2">
      <c r="A20" s="3" t="s">
        <v>36</v>
      </c>
      <c r="B20" s="3"/>
      <c r="E20" t="s">
        <v>34</v>
      </c>
      <c r="I20" s="2"/>
      <c r="J20" s="2"/>
      <c r="K20" s="2"/>
      <c r="L20" s="2"/>
      <c r="M20" s="2"/>
      <c r="N20" s="2"/>
      <c r="O20" s="2"/>
    </row>
    <row r="21" spans="1:15" x14ac:dyDescent="0.2">
      <c r="A21" s="3" t="s">
        <v>38</v>
      </c>
      <c r="B21" s="3"/>
      <c r="C21">
        <v>2160</v>
      </c>
      <c r="D21">
        <v>1450</v>
      </c>
      <c r="E21" t="s">
        <v>36</v>
      </c>
      <c r="I21" s="2"/>
      <c r="J21" s="2"/>
      <c r="K21" s="2"/>
      <c r="L21" s="2"/>
      <c r="M21" s="2"/>
      <c r="N21" s="2"/>
      <c r="O21" s="2"/>
    </row>
    <row r="22" spans="1:15" x14ac:dyDescent="0.2">
      <c r="A22" s="3" t="s">
        <v>40</v>
      </c>
      <c r="B22" s="3"/>
      <c r="C22">
        <v>1500</v>
      </c>
      <c r="D22">
        <v>1250</v>
      </c>
      <c r="E22" t="s">
        <v>38</v>
      </c>
      <c r="F22">
        <v>53500</v>
      </c>
      <c r="G22">
        <v>46500</v>
      </c>
      <c r="I22" s="2"/>
      <c r="J22" s="2"/>
      <c r="K22" s="2"/>
      <c r="L22" s="2"/>
      <c r="M22" s="2"/>
      <c r="N22" s="2"/>
      <c r="O22" s="2"/>
    </row>
    <row r="23" spans="1:15" x14ac:dyDescent="0.2">
      <c r="A23" s="3"/>
      <c r="B23" s="3"/>
      <c r="C23">
        <v>10000</v>
      </c>
      <c r="D23">
        <v>8500</v>
      </c>
      <c r="E23" t="s">
        <v>40</v>
      </c>
      <c r="F23">
        <v>2350</v>
      </c>
      <c r="G23">
        <v>3100</v>
      </c>
      <c r="I23" s="2"/>
      <c r="J23" s="2"/>
      <c r="K23" s="2"/>
      <c r="L23" s="2"/>
      <c r="M23" s="2"/>
      <c r="N23" s="2"/>
      <c r="O23" s="2"/>
    </row>
    <row r="24" spans="1:15" x14ac:dyDescent="0.2">
      <c r="C24">
        <f xml:space="preserve"> SUM(C3:C23)</f>
        <v>534210</v>
      </c>
      <c r="D24">
        <f xml:space="preserve"> SUM(D3:D23)</f>
        <v>381190</v>
      </c>
      <c r="F24">
        <f xml:space="preserve"> SUM(F3:F23)</f>
        <v>565923.23560000001</v>
      </c>
      <c r="G24">
        <f xml:space="preserve"> SUM(G3:G23)</f>
        <v>437959.92540000001</v>
      </c>
      <c r="I24" s="2"/>
      <c r="J24" s="2"/>
      <c r="K24" s="2"/>
      <c r="L24" s="2"/>
      <c r="M24" s="2"/>
      <c r="N24" s="2"/>
      <c r="O24" s="2"/>
    </row>
    <row r="25" spans="1:15" x14ac:dyDescent="0.2">
      <c r="I25" s="2"/>
      <c r="J25" s="2"/>
      <c r="K25" s="2"/>
      <c r="L25" s="2"/>
      <c r="M25" s="2"/>
      <c r="N25" s="2"/>
      <c r="O25" s="2"/>
    </row>
    <row r="26" spans="1:15" x14ac:dyDescent="0.2">
      <c r="I26" s="2"/>
      <c r="J26" s="2"/>
      <c r="K26" s="2"/>
      <c r="L26" s="2"/>
      <c r="M26" s="2"/>
      <c r="N26" s="2"/>
      <c r="O26" s="2"/>
    </row>
    <row r="27" spans="1:15" x14ac:dyDescent="0.2">
      <c r="I27" s="2"/>
      <c r="J27" s="2"/>
      <c r="K27" s="2"/>
      <c r="L27" s="2"/>
      <c r="M27" s="2"/>
      <c r="N27" s="2"/>
      <c r="O27" s="2"/>
    </row>
    <row r="28" spans="1:15" x14ac:dyDescent="0.2">
      <c r="I28" s="2"/>
      <c r="J28" s="2"/>
      <c r="K28" s="2"/>
      <c r="L28" s="2"/>
      <c r="M28" s="2"/>
      <c r="N28" s="2"/>
      <c r="O28"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669B8-6222-4CF1-876D-19B609DDEB7A}">
  <dimension ref="B2:J22"/>
  <sheetViews>
    <sheetView zoomScale="159" workbookViewId="0">
      <selection activeCell="H3" sqref="H3:H10"/>
    </sheetView>
  </sheetViews>
  <sheetFormatPr baseColWidth="10" defaultColWidth="8.83203125" defaultRowHeight="15" x14ac:dyDescent="0.2"/>
  <cols>
    <col min="3" max="3" width="10.33203125" customWidth="1"/>
    <col min="8" max="8" width="10.5" customWidth="1"/>
  </cols>
  <sheetData>
    <row r="2" spans="2:10" x14ac:dyDescent="0.2">
      <c r="B2" t="s">
        <v>58</v>
      </c>
      <c r="C2" t="s">
        <v>59</v>
      </c>
      <c r="D2">
        <f ca="1" xml:space="preserve"> Sheet1!I3 * 15</f>
        <v>235275</v>
      </c>
      <c r="G2" t="s">
        <v>58</v>
      </c>
      <c r="H2" t="s">
        <v>59</v>
      </c>
      <c r="I2">
        <f ca="1" xml:space="preserve"> Sheet1!J3 * 15</f>
        <v>155145</v>
      </c>
    </row>
    <row r="3" spans="2:10" x14ac:dyDescent="0.2">
      <c r="B3">
        <v>1</v>
      </c>
      <c r="C3">
        <f ca="1" xml:space="preserve"> ROUND(E3 * $D$2,0)</f>
        <v>33621</v>
      </c>
      <c r="E3">
        <v>0.1429</v>
      </c>
      <c r="G3">
        <v>1</v>
      </c>
      <c r="H3">
        <f ca="1" xml:space="preserve"> ROUND($I$2 * J3, 0)</f>
        <v>22170</v>
      </c>
      <c r="J3">
        <f xml:space="preserve"> E3</f>
        <v>0.1429</v>
      </c>
    </row>
    <row r="4" spans="2:10" x14ac:dyDescent="0.2">
      <c r="B4">
        <v>2</v>
      </c>
      <c r="C4">
        <f t="shared" ref="C4:C10" ca="1" si="0" xml:space="preserve"> ROUND(E4 * $D$2,0)</f>
        <v>57619</v>
      </c>
      <c r="E4">
        <v>0.24490000000000001</v>
      </c>
      <c r="G4">
        <v>2</v>
      </c>
      <c r="H4">
        <f t="shared" ref="H4:H10" ca="1" si="1" xml:space="preserve"> ROUND($I$2 * J4, 0)</f>
        <v>37995</v>
      </c>
      <c r="J4">
        <f t="shared" ref="J4:J10" si="2" xml:space="preserve"> E4</f>
        <v>0.24490000000000001</v>
      </c>
    </row>
    <row r="5" spans="2:10" x14ac:dyDescent="0.2">
      <c r="B5">
        <v>3</v>
      </c>
      <c r="C5">
        <f t="shared" ca="1" si="0"/>
        <v>41150</v>
      </c>
      <c r="E5">
        <v>0.1749</v>
      </c>
      <c r="G5">
        <v>3</v>
      </c>
      <c r="H5">
        <f t="shared" ca="1" si="1"/>
        <v>27135</v>
      </c>
      <c r="J5">
        <f t="shared" si="2"/>
        <v>0.1749</v>
      </c>
    </row>
    <row r="6" spans="2:10" x14ac:dyDescent="0.2">
      <c r="B6">
        <v>4</v>
      </c>
      <c r="C6">
        <f t="shared" ca="1" si="0"/>
        <v>29386</v>
      </c>
      <c r="E6">
        <v>0.1249</v>
      </c>
      <c r="G6">
        <v>4</v>
      </c>
      <c r="H6">
        <f t="shared" ca="1" si="1"/>
        <v>19378</v>
      </c>
      <c r="J6">
        <f t="shared" si="2"/>
        <v>0.1249</v>
      </c>
    </row>
    <row r="7" spans="2:10" x14ac:dyDescent="0.2">
      <c r="B7">
        <v>5</v>
      </c>
      <c r="C7">
        <f t="shared" ca="1" si="0"/>
        <v>21010</v>
      </c>
      <c r="E7">
        <v>8.9300000000000004E-2</v>
      </c>
      <c r="G7">
        <v>5</v>
      </c>
      <c r="H7">
        <f t="shared" ca="1" si="1"/>
        <v>13854</v>
      </c>
      <c r="J7">
        <f t="shared" si="2"/>
        <v>8.9300000000000004E-2</v>
      </c>
    </row>
    <row r="8" spans="2:10" x14ac:dyDescent="0.2">
      <c r="B8">
        <v>6</v>
      </c>
      <c r="C8">
        <f t="shared" ca="1" si="0"/>
        <v>20987</v>
      </c>
      <c r="E8">
        <v>8.9200000000000002E-2</v>
      </c>
      <c r="G8">
        <v>6</v>
      </c>
      <c r="H8">
        <f t="shared" ca="1" si="1"/>
        <v>13839</v>
      </c>
      <c r="J8">
        <f t="shared" si="2"/>
        <v>8.9200000000000002E-2</v>
      </c>
    </row>
    <row r="9" spans="2:10" x14ac:dyDescent="0.2">
      <c r="B9">
        <v>7</v>
      </c>
      <c r="C9">
        <f t="shared" ca="1" si="0"/>
        <v>21010</v>
      </c>
      <c r="E9">
        <v>8.9300000000000004E-2</v>
      </c>
      <c r="G9">
        <v>7</v>
      </c>
      <c r="H9">
        <f t="shared" ca="1" si="1"/>
        <v>13854</v>
      </c>
      <c r="J9">
        <f t="shared" si="2"/>
        <v>8.9300000000000004E-2</v>
      </c>
    </row>
    <row r="10" spans="2:10" x14ac:dyDescent="0.2">
      <c r="B10">
        <v>8</v>
      </c>
      <c r="C10">
        <f t="shared" ca="1" si="0"/>
        <v>10493</v>
      </c>
      <c r="E10">
        <v>4.4600000000000001E-2</v>
      </c>
      <c r="G10">
        <v>8</v>
      </c>
      <c r="H10">
        <f t="shared" ca="1" si="1"/>
        <v>6919</v>
      </c>
      <c r="J10">
        <f t="shared" si="2"/>
        <v>4.4600000000000001E-2</v>
      </c>
    </row>
    <row r="12" spans="2:10" x14ac:dyDescent="0.2">
      <c r="B12" s="17" t="s">
        <v>61</v>
      </c>
      <c r="C12" s="17"/>
      <c r="D12" s="17"/>
      <c r="E12" s="17"/>
      <c r="F12" s="17"/>
      <c r="G12" s="17"/>
      <c r="H12" s="17"/>
      <c r="I12" s="17"/>
      <c r="J12" s="17"/>
    </row>
    <row r="13" spans="2:10" x14ac:dyDescent="0.2">
      <c r="B13" s="17"/>
      <c r="C13" s="17"/>
      <c r="D13" s="17"/>
      <c r="E13" s="17"/>
      <c r="F13" s="17"/>
      <c r="G13" s="17"/>
      <c r="H13" s="17"/>
      <c r="I13" s="17"/>
      <c r="J13" s="17"/>
    </row>
    <row r="14" spans="2:10" x14ac:dyDescent="0.2">
      <c r="B14" s="17"/>
      <c r="C14" s="17"/>
      <c r="D14" s="17"/>
      <c r="E14" s="17"/>
      <c r="F14" s="17"/>
      <c r="G14" s="17"/>
      <c r="H14" s="17"/>
      <c r="I14" s="17"/>
      <c r="J14" s="17"/>
    </row>
    <row r="15" spans="2:10" x14ac:dyDescent="0.2">
      <c r="B15" s="17"/>
      <c r="C15" s="17"/>
      <c r="D15" s="17"/>
      <c r="E15" s="17"/>
      <c r="F15" s="17"/>
      <c r="G15" s="17"/>
      <c r="H15" s="17"/>
      <c r="I15" s="17"/>
      <c r="J15" s="17"/>
    </row>
    <row r="16" spans="2:10" x14ac:dyDescent="0.2">
      <c r="B16" s="17"/>
      <c r="C16" s="17"/>
      <c r="D16" s="17"/>
      <c r="E16" s="17"/>
      <c r="F16" s="17"/>
      <c r="G16" s="17"/>
      <c r="H16" s="17"/>
      <c r="I16" s="17"/>
      <c r="J16" s="17"/>
    </row>
    <row r="17" spans="2:10" x14ac:dyDescent="0.2">
      <c r="B17" s="17"/>
      <c r="C17" s="17"/>
      <c r="D17" s="17"/>
      <c r="E17" s="17"/>
      <c r="F17" s="17"/>
      <c r="G17" s="17"/>
      <c r="H17" s="17"/>
      <c r="I17" s="17"/>
      <c r="J17" s="17"/>
    </row>
    <row r="18" spans="2:10" x14ac:dyDescent="0.2">
      <c r="B18" s="17"/>
      <c r="C18" s="17"/>
      <c r="D18" s="17"/>
      <c r="E18" s="17"/>
      <c r="F18" s="17"/>
      <c r="G18" s="17"/>
      <c r="H18" s="17"/>
      <c r="I18" s="17"/>
      <c r="J18" s="17"/>
    </row>
    <row r="19" spans="2:10" x14ac:dyDescent="0.2">
      <c r="B19" s="17"/>
      <c r="C19" s="17"/>
      <c r="D19" s="17"/>
      <c r="E19" s="17"/>
      <c r="F19" s="17"/>
      <c r="G19" s="17"/>
      <c r="H19" s="17"/>
      <c r="I19" s="17"/>
      <c r="J19" s="17"/>
    </row>
    <row r="20" spans="2:10" x14ac:dyDescent="0.2">
      <c r="B20" s="17"/>
      <c r="C20" s="17"/>
      <c r="D20" s="17"/>
      <c r="E20" s="17"/>
      <c r="F20" s="17"/>
      <c r="G20" s="17"/>
      <c r="H20" s="17"/>
      <c r="I20" s="17"/>
      <c r="J20" s="17"/>
    </row>
    <row r="21" spans="2:10" x14ac:dyDescent="0.2">
      <c r="B21" s="17"/>
      <c r="C21" s="17"/>
      <c r="D21" s="17"/>
      <c r="E21" s="17"/>
      <c r="F21" s="17"/>
      <c r="G21" s="17"/>
      <c r="H21" s="17"/>
      <c r="I21" s="17"/>
      <c r="J21" s="17"/>
    </row>
    <row r="22" spans="2:10" x14ac:dyDescent="0.2">
      <c r="B22" s="17"/>
      <c r="C22" s="17"/>
      <c r="D22" s="17"/>
      <c r="E22" s="17"/>
      <c r="F22" s="17"/>
      <c r="G22" s="17"/>
      <c r="H22" s="17"/>
      <c r="I22" s="17"/>
      <c r="J22" s="17"/>
    </row>
  </sheetData>
  <mergeCells count="1">
    <mergeCell ref="B12:J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86F8B-C913-7F46-8462-66F425DBB543}">
  <dimension ref="A3:R113"/>
  <sheetViews>
    <sheetView zoomScale="107" workbookViewId="0">
      <selection activeCell="F107" sqref="F107"/>
    </sheetView>
  </sheetViews>
  <sheetFormatPr baseColWidth="10" defaultRowHeight="16" x14ac:dyDescent="0.2"/>
  <cols>
    <col min="1" max="1" width="15.6640625" style="6" customWidth="1"/>
    <col min="2" max="2" width="14.83203125" style="6" customWidth="1"/>
    <col min="3" max="3" width="14.33203125" style="6" customWidth="1"/>
    <col min="4" max="4" width="19.6640625" style="6" customWidth="1"/>
    <col min="5" max="5" width="17.83203125" style="6" customWidth="1"/>
    <col min="6" max="6" width="13.83203125" style="6" customWidth="1"/>
    <col min="7" max="7" width="19.1640625" style="6" customWidth="1"/>
    <col min="8" max="8" width="14.33203125" style="6" customWidth="1"/>
    <col min="9" max="9" width="12.5" style="6" customWidth="1"/>
    <col min="10" max="10" width="10.83203125" style="6"/>
    <col min="11" max="11" width="15.33203125" style="6" customWidth="1"/>
    <col min="12" max="12" width="14.1640625" style="6" customWidth="1"/>
    <col min="13" max="13" width="14" style="6" customWidth="1"/>
    <col min="14" max="14" width="18" style="6" customWidth="1"/>
    <col min="15" max="15" width="12.1640625" style="6" customWidth="1"/>
    <col min="16" max="16384" width="10.83203125" style="6"/>
  </cols>
  <sheetData>
    <row r="3" spans="1:18" x14ac:dyDescent="0.2">
      <c r="A3" s="6" t="s">
        <v>0</v>
      </c>
      <c r="B3" s="6" t="s">
        <v>41</v>
      </c>
      <c r="D3" s="6" t="s">
        <v>1</v>
      </c>
      <c r="E3" s="6" t="s">
        <v>41</v>
      </c>
      <c r="H3" s="8" t="s">
        <v>43</v>
      </c>
    </row>
    <row r="4" spans="1:18" x14ac:dyDescent="0.2">
      <c r="A4" s="6" t="s">
        <v>2</v>
      </c>
      <c r="B4" s="6">
        <v>25000</v>
      </c>
      <c r="D4" s="6" t="s">
        <v>3</v>
      </c>
      <c r="E4" s="6">
        <v>14550</v>
      </c>
      <c r="G4" s="6" t="s">
        <v>44</v>
      </c>
      <c r="H4" s="6">
        <f ca="1" xml:space="preserve"> RANDBETWEEN(15500, 16000)</f>
        <v>15738</v>
      </c>
      <c r="I4" s="6">
        <f ca="1">H4</f>
        <v>15738</v>
      </c>
    </row>
    <row r="5" spans="1:18" x14ac:dyDescent="0.2">
      <c r="A5" s="6" t="s">
        <v>4</v>
      </c>
      <c r="B5" s="6">
        <f ca="1">I17</f>
        <v>2238.3419108351877</v>
      </c>
      <c r="D5" s="6" t="s">
        <v>5</v>
      </c>
      <c r="E5" s="6">
        <v>22300</v>
      </c>
      <c r="G5" s="6" t="s">
        <v>45</v>
      </c>
      <c r="H5" s="6">
        <f ca="1" xml:space="preserve"> RANDBETWEEN(55, 60)</f>
        <v>58</v>
      </c>
      <c r="I5" s="6">
        <f ca="1">H5*I4</f>
        <v>912804</v>
      </c>
      <c r="K5" s="8" t="s">
        <v>62</v>
      </c>
      <c r="N5" s="8" t="s">
        <v>63</v>
      </c>
    </row>
    <row r="6" spans="1:18" x14ac:dyDescent="0.2">
      <c r="A6" s="6" t="s">
        <v>6</v>
      </c>
      <c r="B6" s="6">
        <f ca="1">I18</f>
        <v>2797.9273885439848</v>
      </c>
      <c r="D6" s="6" t="s">
        <v>7</v>
      </c>
      <c r="E6" s="6">
        <v>4500</v>
      </c>
      <c r="G6" s="6" t="s">
        <v>46</v>
      </c>
      <c r="H6" s="6">
        <f ca="1" xml:space="preserve"> RANDBETWEEN(35, 40) / 100</f>
        <v>0.35</v>
      </c>
      <c r="I6" s="6">
        <f ca="1">(I5*H6)</f>
        <v>319481.39999999997</v>
      </c>
      <c r="N6" s="6">
        <f>B21</f>
        <v>3450</v>
      </c>
    </row>
    <row r="7" spans="1:18" x14ac:dyDescent="0.2">
      <c r="A7" s="6" t="s">
        <v>8</v>
      </c>
      <c r="B7" s="6">
        <v>3500</v>
      </c>
      <c r="D7" s="6" t="s">
        <v>9</v>
      </c>
      <c r="E7" s="6">
        <v>5700</v>
      </c>
      <c r="G7" s="6" t="s">
        <v>47</v>
      </c>
      <c r="H7" s="6">
        <f ca="1" xml:space="preserve"> RANDBETWEEN(20, 25) / 100</f>
        <v>0.22</v>
      </c>
      <c r="I7" s="6">
        <f ca="1">I5*H7</f>
        <v>200816.88</v>
      </c>
      <c r="K7" s="6" t="str">
        <f>A17</f>
        <v xml:space="preserve">Land </v>
      </c>
      <c r="L7" s="6">
        <f>B17</f>
        <v>75000</v>
      </c>
      <c r="M7" s="6">
        <f>L7/$L$12</f>
        <v>0.17359101955792153</v>
      </c>
      <c r="N7" s="6">
        <f>$N$6*M7</f>
        <v>598.8890174748293</v>
      </c>
    </row>
    <row r="8" spans="1:18" x14ac:dyDescent="0.2">
      <c r="A8" s="6" t="s">
        <v>10</v>
      </c>
      <c r="B8" s="6">
        <v>43000</v>
      </c>
      <c r="D8" s="6" t="s">
        <v>11</v>
      </c>
      <c r="E8" s="6">
        <v>13450</v>
      </c>
      <c r="G8" s="6" t="s">
        <v>48</v>
      </c>
      <c r="H8" s="6">
        <f ca="1" xml:space="preserve"> RANDBETWEEN(10, 13) / 100</f>
        <v>0.12</v>
      </c>
      <c r="I8" s="6">
        <f ca="1">I5*H8</f>
        <v>109536.48</v>
      </c>
      <c r="K8" s="6" t="str">
        <f t="shared" ref="K8:L8" si="0">A18</f>
        <v xml:space="preserve">Land improvements </v>
      </c>
      <c r="L8" s="6">
        <f t="shared" si="0"/>
        <v>25500</v>
      </c>
      <c r="M8" s="6">
        <f>L8/$L$12</f>
        <v>5.9020946649693325E-2</v>
      </c>
      <c r="N8" s="6">
        <f>$N$6*M8</f>
        <v>203.62226594144198</v>
      </c>
      <c r="P8" s="6">
        <f>N8/$O$9</f>
        <v>7.0735090152565891E-2</v>
      </c>
      <c r="Q8" s="6">
        <f>$N$7*P8</f>
        <v>42.362468642463661</v>
      </c>
      <c r="R8" s="6">
        <f>N8+Q8</f>
        <v>245.98473458390563</v>
      </c>
    </row>
    <row r="9" spans="1:18" x14ac:dyDescent="0.2">
      <c r="G9" s="6" t="s">
        <v>62</v>
      </c>
      <c r="I9" s="6">
        <f>R10</f>
        <v>2025.756637749811</v>
      </c>
      <c r="K9" s="6" t="str">
        <f>A19</f>
        <v xml:space="preserve">Buildings </v>
      </c>
      <c r="L9" s="6">
        <f>B19</f>
        <v>125000</v>
      </c>
      <c r="M9" s="6">
        <f>L9/$L$12</f>
        <v>0.2893183659298692</v>
      </c>
      <c r="N9" s="6">
        <f>$N$6*M9</f>
        <v>998.14836245804872</v>
      </c>
      <c r="O9" s="6">
        <f>SUM(N8:N10)</f>
        <v>2878.6598773290125</v>
      </c>
      <c r="P9" s="6">
        <f>N9/$O$9</f>
        <v>0.34674063800277394</v>
      </c>
      <c r="Q9" s="6">
        <f>$N$7*P9</f>
        <v>207.65916001207674</v>
      </c>
      <c r="R9" s="6">
        <f>N9+Q9</f>
        <v>1205.8075224701254</v>
      </c>
    </row>
    <row r="10" spans="1:18" x14ac:dyDescent="0.2">
      <c r="G10" s="6" t="s">
        <v>64</v>
      </c>
      <c r="I10" s="6">
        <f ca="1">I5-I6-I7-I8-I9</f>
        <v>280943.48336225032</v>
      </c>
      <c r="K10" s="6" t="str">
        <f>A20</f>
        <v xml:space="preserve">Equipment </v>
      </c>
      <c r="L10" s="6">
        <f>B20</f>
        <v>210000</v>
      </c>
      <c r="M10" s="6">
        <f>L10/$L$12</f>
        <v>0.4860548547621803</v>
      </c>
      <c r="N10" s="6">
        <f>$N$6*M10</f>
        <v>1676.889248929522</v>
      </c>
      <c r="P10" s="6">
        <f>N10/$O$9</f>
        <v>0.58252427184466027</v>
      </c>
      <c r="Q10" s="6">
        <f t="shared" ref="Q10" si="1">$N$7*P10</f>
        <v>348.86738882028897</v>
      </c>
      <c r="R10" s="6">
        <f>N10+Q10</f>
        <v>2025.756637749811</v>
      </c>
    </row>
    <row r="11" spans="1:18" x14ac:dyDescent="0.2">
      <c r="A11" s="6" t="s">
        <v>12</v>
      </c>
      <c r="B11" s="6">
        <v>5600</v>
      </c>
      <c r="D11" s="6" t="s">
        <v>13</v>
      </c>
      <c r="E11" s="6">
        <v>23000</v>
      </c>
      <c r="G11" s="6" t="s">
        <v>49</v>
      </c>
      <c r="H11" s="7">
        <v>0.24</v>
      </c>
      <c r="I11" s="6">
        <f ca="1">I10*H11</f>
        <v>67426.436006940072</v>
      </c>
      <c r="K11" s="6" t="str">
        <f t="shared" ref="K11" si="2">A21</f>
        <v xml:space="preserve">(Fixed Depr) </v>
      </c>
      <c r="L11" s="6">
        <v>-3450</v>
      </c>
      <c r="M11" s="6">
        <f>L11/$L$12</f>
        <v>-7.9851868996643899E-3</v>
      </c>
      <c r="N11" s="6">
        <f>$N$6*M11</f>
        <v>-27.548894803842146</v>
      </c>
    </row>
    <row r="12" spans="1:18" x14ac:dyDescent="0.2">
      <c r="G12" s="6" t="s">
        <v>65</v>
      </c>
      <c r="H12" s="7"/>
      <c r="I12" s="6">
        <f ca="1">I10-I11</f>
        <v>213517.04735531023</v>
      </c>
      <c r="L12" s="6">
        <f>SUM(L7:L11)</f>
        <v>432050</v>
      </c>
    </row>
    <row r="13" spans="1:18" x14ac:dyDescent="0.2">
      <c r="A13" s="6" t="s">
        <v>14</v>
      </c>
      <c r="B13" s="6">
        <v>2350</v>
      </c>
      <c r="D13" s="6" t="s">
        <v>15</v>
      </c>
      <c r="E13" s="6">
        <v>8600</v>
      </c>
      <c r="G13" s="6" t="s">
        <v>50</v>
      </c>
      <c r="H13" s="6">
        <f ca="1">RANDBETWEEN(52, 65) / 100</f>
        <v>0.52</v>
      </c>
      <c r="I13" s="6">
        <f ca="1">I12*H13</f>
        <v>111028.86462476132</v>
      </c>
    </row>
    <row r="14" spans="1:18" x14ac:dyDescent="0.2">
      <c r="A14" s="6" t="s">
        <v>16</v>
      </c>
      <c r="B14" s="6">
        <v>2150</v>
      </c>
      <c r="G14" s="6" t="s">
        <v>51</v>
      </c>
      <c r="H14" s="6">
        <f ca="1" xml:space="preserve"> 1 - H13</f>
        <v>0.48</v>
      </c>
      <c r="I14" s="6">
        <f ca="1">I13*H14</f>
        <v>53293.855019885435</v>
      </c>
    </row>
    <row r="15" spans="1:18" x14ac:dyDescent="0.2">
      <c r="A15" s="6" t="s">
        <v>17</v>
      </c>
      <c r="B15" s="6">
        <f ca="1">I21</f>
        <v>12683.937494732731</v>
      </c>
    </row>
    <row r="16" spans="1:18" x14ac:dyDescent="0.2">
      <c r="A16" s="6" t="s">
        <v>18</v>
      </c>
      <c r="D16" s="6" t="s">
        <v>19</v>
      </c>
      <c r="H16" s="8" t="s">
        <v>43</v>
      </c>
    </row>
    <row r="17" spans="1:12" x14ac:dyDescent="0.2">
      <c r="A17" s="6" t="s">
        <v>20</v>
      </c>
      <c r="B17" s="6">
        <v>75000</v>
      </c>
      <c r="D17" s="6" t="s">
        <v>21</v>
      </c>
      <c r="E17" s="6">
        <v>84500</v>
      </c>
      <c r="G17" s="6" t="s">
        <v>4</v>
      </c>
      <c r="H17" s="6">
        <f ca="1" xml:space="preserve"> RANDBETWEEN(11, 17) / 100</f>
        <v>0.12</v>
      </c>
      <c r="I17" s="6">
        <f ca="1">$K$18*H17</f>
        <v>2238.3419108351877</v>
      </c>
      <c r="K17" s="16" t="s">
        <v>99</v>
      </c>
      <c r="L17" s="16" t="s">
        <v>98</v>
      </c>
    </row>
    <row r="18" spans="1:12" x14ac:dyDescent="0.2">
      <c r="A18" s="6" t="s">
        <v>22</v>
      </c>
      <c r="B18" s="6">
        <v>25500</v>
      </c>
      <c r="D18" s="6" t="s">
        <v>23</v>
      </c>
      <c r="E18" s="6">
        <v>26000</v>
      </c>
      <c r="G18" s="6" t="s">
        <v>6</v>
      </c>
      <c r="H18" s="6">
        <f ca="1" xml:space="preserve"> RANDBETWEEN(13, 15) / 100</f>
        <v>0.15</v>
      </c>
      <c r="I18" s="6">
        <f t="shared" ref="I18:I21" ca="1" si="3">$K$18*H18</f>
        <v>2797.9273885439848</v>
      </c>
      <c r="K18" s="6">
        <f ca="1">I14*0.35</f>
        <v>18652.8492569599</v>
      </c>
      <c r="L18" s="6">
        <f ca="1">I14*65%</f>
        <v>34641.005762925532</v>
      </c>
    </row>
    <row r="19" spans="1:12" x14ac:dyDescent="0.2">
      <c r="A19" s="6" t="s">
        <v>24</v>
      </c>
      <c r="B19" s="6">
        <v>125000</v>
      </c>
      <c r="D19" s="6" t="s">
        <v>25</v>
      </c>
      <c r="E19" s="6">
        <v>23600</v>
      </c>
      <c r="G19" s="6" t="s">
        <v>31</v>
      </c>
      <c r="H19" s="6">
        <f ca="1" xml:space="preserve"> RANDBETWEEN(2, 5) / 100</f>
        <v>0.02</v>
      </c>
      <c r="I19" s="6">
        <f t="shared" ca="1" si="3"/>
        <v>373.05698513919799</v>
      </c>
    </row>
    <row r="20" spans="1:12" x14ac:dyDescent="0.2">
      <c r="A20" s="6" t="s">
        <v>26</v>
      </c>
      <c r="B20" s="6">
        <v>210000</v>
      </c>
      <c r="D20" s="6" t="s">
        <v>27</v>
      </c>
      <c r="E20" s="6">
        <v>12500</v>
      </c>
      <c r="G20" s="6" t="s">
        <v>33</v>
      </c>
      <c r="H20" s="6">
        <f ca="1" xml:space="preserve"> RANDBETWEEN(2, 5) / 100</f>
        <v>0.03</v>
      </c>
      <c r="I20" s="6">
        <f t="shared" ca="1" si="3"/>
        <v>559.58547770879693</v>
      </c>
    </row>
    <row r="21" spans="1:12" x14ac:dyDescent="0.2">
      <c r="A21" s="6" t="s">
        <v>28</v>
      </c>
      <c r="B21" s="6">
        <v>3450</v>
      </c>
      <c r="G21" s="6" t="s">
        <v>17</v>
      </c>
      <c r="H21" s="6">
        <f ca="1" xml:space="preserve"> 1 - SUM(H17:H20)</f>
        <v>0.67999999999999994</v>
      </c>
      <c r="I21" s="6">
        <f t="shared" ca="1" si="3"/>
        <v>12683.937494732731</v>
      </c>
      <c r="J21" s="6" t="str">
        <f>D25</f>
        <v xml:space="preserve">Paid In Capital </v>
      </c>
    </row>
    <row r="22" spans="1:12" x14ac:dyDescent="0.2">
      <c r="A22" s="6" t="s">
        <v>29</v>
      </c>
      <c r="D22" s="6" t="s">
        <v>30</v>
      </c>
    </row>
    <row r="23" spans="1:12" x14ac:dyDescent="0.2">
      <c r="A23" s="6" t="s">
        <v>31</v>
      </c>
      <c r="B23" s="6">
        <f ca="1">I19</f>
        <v>373.05698513919799</v>
      </c>
      <c r="D23" s="6" t="s">
        <v>32</v>
      </c>
      <c r="E23" s="6">
        <v>115000</v>
      </c>
    </row>
    <row r="24" spans="1:12" x14ac:dyDescent="0.2">
      <c r="A24" s="6" t="s">
        <v>33</v>
      </c>
      <c r="B24" s="6">
        <f ca="1">I20</f>
        <v>559.58547770879693</v>
      </c>
      <c r="D24" s="6" t="s">
        <v>34</v>
      </c>
      <c r="E24" s="6">
        <f ca="1">I13+L18</f>
        <v>145669.87038768685</v>
      </c>
    </row>
    <row r="25" spans="1:12" x14ac:dyDescent="0.2">
      <c r="A25" s="6" t="s">
        <v>35</v>
      </c>
      <c r="B25" s="6">
        <v>2160</v>
      </c>
      <c r="D25" s="6" t="s">
        <v>36</v>
      </c>
      <c r="E25" s="6">
        <f ca="1">I14</f>
        <v>53293.855019885435</v>
      </c>
    </row>
    <row r="26" spans="1:12" x14ac:dyDescent="0.2">
      <c r="A26" s="6" t="s">
        <v>37</v>
      </c>
      <c r="B26" s="6">
        <v>1500</v>
      </c>
      <c r="D26" s="6" t="s">
        <v>38</v>
      </c>
      <c r="E26" s="6">
        <v>53500</v>
      </c>
    </row>
    <row r="27" spans="1:12" x14ac:dyDescent="0.2">
      <c r="A27" s="6" t="s">
        <v>39</v>
      </c>
      <c r="B27" s="6">
        <v>10000</v>
      </c>
      <c r="D27" s="6" t="s">
        <v>40</v>
      </c>
      <c r="E27" s="6">
        <v>2350</v>
      </c>
    </row>
    <row r="28" spans="1:12" x14ac:dyDescent="0.2">
      <c r="B28" s="6">
        <f ca="1" xml:space="preserve"> SUM(B4:B27)</f>
        <v>552862.84925695986</v>
      </c>
      <c r="E28" s="6">
        <f ca="1" xml:space="preserve"> SUM(E4:E27)</f>
        <v>608513.72540757235</v>
      </c>
    </row>
    <row r="40" spans="1:8" x14ac:dyDescent="0.2">
      <c r="A40" s="5" t="s">
        <v>41</v>
      </c>
      <c r="B40" s="6">
        <f ca="1">Sheet2!D2</f>
        <v>235275</v>
      </c>
      <c r="E40" s="6" t="str">
        <f>'[1]Income statement'!A$16</f>
        <v>Equipment</v>
      </c>
      <c r="F40" s="6">
        <f>B20</f>
        <v>210000</v>
      </c>
    </row>
    <row r="41" spans="1:8" x14ac:dyDescent="0.2">
      <c r="A41" s="8" t="s">
        <v>66</v>
      </c>
      <c r="B41" s="8" t="s">
        <v>67</v>
      </c>
      <c r="C41" s="8" t="s">
        <v>68</v>
      </c>
      <c r="D41" s="8" t="s">
        <v>69</v>
      </c>
      <c r="E41" s="8" t="s">
        <v>70</v>
      </c>
      <c r="F41" s="8" t="s">
        <v>71</v>
      </c>
      <c r="G41" s="8" t="s">
        <v>72</v>
      </c>
      <c r="H41" s="8"/>
    </row>
    <row r="42" spans="1:8" x14ac:dyDescent="0.2">
      <c r="A42" s="6">
        <v>1</v>
      </c>
      <c r="B42" s="6">
        <f ca="1">Sheet2!C3</f>
        <v>33621</v>
      </c>
      <c r="C42" s="6">
        <f ca="1">H5</f>
        <v>58</v>
      </c>
      <c r="D42" s="6">
        <f ca="1">B42*C42</f>
        <v>1950018</v>
      </c>
      <c r="E42" s="6">
        <v>0.1429</v>
      </c>
      <c r="F42" s="6">
        <f>$F$40*E42</f>
        <v>30009</v>
      </c>
      <c r="G42" s="6">
        <f>F$1-F42</f>
        <v>-30009</v>
      </c>
    </row>
    <row r="43" spans="1:8" x14ac:dyDescent="0.2">
      <c r="A43" s="6">
        <v>2</v>
      </c>
      <c r="B43" s="6">
        <f ca="1">Sheet2!C4</f>
        <v>57619</v>
      </c>
      <c r="C43" s="6">
        <f>'[1]Income statement'!H$4</f>
        <v>57</v>
      </c>
      <c r="D43" s="6">
        <f t="shared" ref="D43:D49" ca="1" si="4">B43*C43</f>
        <v>3284283</v>
      </c>
      <c r="E43" s="6">
        <v>0.24490000000000001</v>
      </c>
      <c r="F43" s="6">
        <f t="shared" ref="F43:F49" si="5">$F$40*E43</f>
        <v>51429</v>
      </c>
      <c r="G43" s="6">
        <f t="shared" ref="G43:G49" si="6">G42-F43</f>
        <v>-81438</v>
      </c>
    </row>
    <row r="44" spans="1:8" x14ac:dyDescent="0.2">
      <c r="A44" s="6">
        <v>3</v>
      </c>
      <c r="B44" s="6">
        <f ca="1">Sheet2!C5</f>
        <v>41150</v>
      </c>
      <c r="C44" s="6">
        <f>'[1]Income statement'!H$4</f>
        <v>57</v>
      </c>
      <c r="D44" s="6">
        <f t="shared" ca="1" si="4"/>
        <v>2345550</v>
      </c>
      <c r="E44" s="6">
        <v>0.1749</v>
      </c>
      <c r="F44" s="6">
        <f t="shared" si="5"/>
        <v>36729</v>
      </c>
      <c r="G44" s="6">
        <f t="shared" si="6"/>
        <v>-118167</v>
      </c>
    </row>
    <row r="45" spans="1:8" x14ac:dyDescent="0.2">
      <c r="A45" s="6">
        <v>4</v>
      </c>
      <c r="B45" s="6">
        <f ca="1">Sheet2!C6</f>
        <v>29386</v>
      </c>
      <c r="C45" s="6">
        <f>'[1]Income statement'!H$4</f>
        <v>57</v>
      </c>
      <c r="D45" s="6">
        <f t="shared" ca="1" si="4"/>
        <v>1675002</v>
      </c>
      <c r="E45" s="6">
        <v>0.1249</v>
      </c>
      <c r="F45" s="6">
        <f>$F$40*E45</f>
        <v>26229</v>
      </c>
      <c r="G45" s="6">
        <f t="shared" si="6"/>
        <v>-144396</v>
      </c>
    </row>
    <row r="46" spans="1:8" x14ac:dyDescent="0.2">
      <c r="A46" s="6">
        <v>5</v>
      </c>
      <c r="B46" s="6">
        <f ca="1">Sheet2!C7</f>
        <v>21010</v>
      </c>
      <c r="C46" s="6">
        <f>'[1]Income statement'!H$4</f>
        <v>57</v>
      </c>
      <c r="D46" s="6">
        <f t="shared" ca="1" si="4"/>
        <v>1197570</v>
      </c>
      <c r="E46" s="6">
        <v>8.9300000000000004E-2</v>
      </c>
      <c r="F46" s="6">
        <f t="shared" si="5"/>
        <v>18753</v>
      </c>
      <c r="G46" s="6">
        <f t="shared" si="6"/>
        <v>-163149</v>
      </c>
    </row>
    <row r="47" spans="1:8" x14ac:dyDescent="0.2">
      <c r="A47" s="6">
        <v>6</v>
      </c>
      <c r="B47" s="6">
        <f ca="1">Sheet2!C8</f>
        <v>20987</v>
      </c>
      <c r="C47" s="6">
        <f>'[1]Income statement'!H$4</f>
        <v>57</v>
      </c>
      <c r="D47" s="6">
        <f t="shared" ca="1" si="4"/>
        <v>1196259</v>
      </c>
      <c r="E47" s="6">
        <v>8.9200000000000002E-2</v>
      </c>
      <c r="F47" s="6">
        <f t="shared" si="5"/>
        <v>18732</v>
      </c>
      <c r="G47" s="6">
        <f t="shared" si="6"/>
        <v>-181881</v>
      </c>
    </row>
    <row r="48" spans="1:8" x14ac:dyDescent="0.2">
      <c r="A48" s="6">
        <v>7</v>
      </c>
      <c r="B48" s="6">
        <f ca="1">Sheet2!C9</f>
        <v>21010</v>
      </c>
      <c r="C48" s="6">
        <f>'[1]Income statement'!H$4</f>
        <v>57</v>
      </c>
      <c r="D48" s="6">
        <f t="shared" ca="1" si="4"/>
        <v>1197570</v>
      </c>
      <c r="E48" s="6">
        <v>8.9300000000000004E-2</v>
      </c>
      <c r="F48" s="6">
        <f t="shared" si="5"/>
        <v>18753</v>
      </c>
      <c r="G48" s="6">
        <f t="shared" si="6"/>
        <v>-200634</v>
      </c>
    </row>
    <row r="49" spans="1:10" x14ac:dyDescent="0.2">
      <c r="A49" s="6">
        <v>8</v>
      </c>
      <c r="B49" s="6">
        <f ca="1">Sheet2!C10</f>
        <v>10493</v>
      </c>
      <c r="C49" s="6">
        <f>'[1]Income statement'!H$4</f>
        <v>57</v>
      </c>
      <c r="D49" s="6">
        <f t="shared" ca="1" si="4"/>
        <v>598101</v>
      </c>
      <c r="E49" s="6">
        <v>4.4600000000000001E-2</v>
      </c>
      <c r="F49" s="6">
        <f t="shared" si="5"/>
        <v>9366</v>
      </c>
      <c r="G49" s="6">
        <f t="shared" si="6"/>
        <v>-210000</v>
      </c>
    </row>
    <row r="50" spans="1:10" x14ac:dyDescent="0.2">
      <c r="B50" s="6">
        <f ca="1">SUM(B42:B49)</f>
        <v>235276</v>
      </c>
    </row>
    <row r="51" spans="1:10" x14ac:dyDescent="0.2">
      <c r="A51" s="9"/>
      <c r="B51" s="9"/>
      <c r="C51" s="9"/>
      <c r="D51" s="9"/>
      <c r="E51" s="9" t="str">
        <f>Sheet1!N8</f>
        <v>Variable Cost %</v>
      </c>
      <c r="F51" s="9">
        <f ca="1">Sheet1!P8</f>
        <v>0.48599999999999999</v>
      </c>
      <c r="G51" s="9"/>
      <c r="H51" s="9"/>
      <c r="I51" s="9"/>
      <c r="J51" s="9"/>
    </row>
    <row r="52" spans="1:10" x14ac:dyDescent="0.2">
      <c r="A52" s="9"/>
      <c r="B52" s="9"/>
      <c r="C52" s="9"/>
      <c r="E52" s="9" t="str">
        <f>'[1]Income statement'!D$17</f>
        <v>Total Fixed Liabilities</v>
      </c>
      <c r="F52" s="9">
        <f>Sheet1!F17</f>
        <v>146600</v>
      </c>
      <c r="G52" s="9"/>
      <c r="H52" s="9"/>
      <c r="I52" s="9"/>
      <c r="J52" s="9"/>
    </row>
    <row r="53" spans="1:10" x14ac:dyDescent="0.2">
      <c r="A53" s="10" t="s">
        <v>66</v>
      </c>
      <c r="B53" s="10" t="s">
        <v>73</v>
      </c>
      <c r="C53" s="10" t="s">
        <v>74</v>
      </c>
      <c r="D53" s="10" t="s">
        <v>75</v>
      </c>
      <c r="E53" s="10" t="s">
        <v>76</v>
      </c>
      <c r="F53" s="10" t="s">
        <v>77</v>
      </c>
      <c r="G53" s="10" t="s">
        <v>71</v>
      </c>
      <c r="H53" s="10" t="s">
        <v>64</v>
      </c>
      <c r="I53" s="10" t="s">
        <v>78</v>
      </c>
      <c r="J53" s="10" t="s">
        <v>79</v>
      </c>
    </row>
    <row r="54" spans="1:10" x14ac:dyDescent="0.2">
      <c r="A54" s="6">
        <v>1</v>
      </c>
      <c r="B54" s="6">
        <f t="shared" ref="B54:B61" ca="1" si="7">C42</f>
        <v>58</v>
      </c>
      <c r="C54" s="6">
        <v>33794</v>
      </c>
      <c r="D54" s="6">
        <f t="shared" ref="D54:D61" ca="1" si="8">B54*C54</f>
        <v>1960052</v>
      </c>
      <c r="E54" s="6">
        <f ca="1">D54*0.4725</f>
        <v>926124.57</v>
      </c>
      <c r="F54" s="6">
        <f>Sheet1!$F$18</f>
        <v>9773.2356</v>
      </c>
      <c r="G54" s="6">
        <f t="shared" ref="G54:G61" si="9">F42</f>
        <v>30009</v>
      </c>
      <c r="H54" s="6">
        <f ca="1">D54-E54-F54-G54</f>
        <v>994145.19440000004</v>
      </c>
      <c r="I54" s="6">
        <f ca="1">H54*24%</f>
        <v>238594.84665600001</v>
      </c>
      <c r="J54" s="6">
        <f ca="1">H54-I54</f>
        <v>755550.34774400003</v>
      </c>
    </row>
    <row r="55" spans="1:10" x14ac:dyDescent="0.2">
      <c r="A55" s="6">
        <v>2</v>
      </c>
      <c r="B55" s="6">
        <f t="shared" si="7"/>
        <v>57</v>
      </c>
      <c r="C55" s="6">
        <v>57916</v>
      </c>
      <c r="D55" s="6">
        <f t="shared" si="8"/>
        <v>3301212</v>
      </c>
      <c r="E55" s="6">
        <f t="shared" ref="E55:E61" si="10">D55*0.4725</f>
        <v>1559822.67</v>
      </c>
      <c r="F55" s="6">
        <f>Sheet1!$F$18</f>
        <v>9773.2356</v>
      </c>
      <c r="G55" s="6">
        <f t="shared" si="9"/>
        <v>51429</v>
      </c>
      <c r="H55" s="6">
        <f t="shared" ref="H55:H61" si="11">D55-E55-F55-G55</f>
        <v>1680187.0944000001</v>
      </c>
      <c r="I55" s="6">
        <f t="shared" ref="I55:I61" si="12">H55*24%</f>
        <v>403244.90265599999</v>
      </c>
      <c r="J55" s="6">
        <f>H55-I55</f>
        <v>1276942.1917440002</v>
      </c>
    </row>
    <row r="56" spans="1:10" x14ac:dyDescent="0.2">
      <c r="A56" s="6">
        <v>3</v>
      </c>
      <c r="B56" s="6">
        <f t="shared" si="7"/>
        <v>57</v>
      </c>
      <c r="C56" s="6">
        <v>41362</v>
      </c>
      <c r="D56" s="6">
        <f t="shared" si="8"/>
        <v>2357634</v>
      </c>
      <c r="E56" s="6">
        <f t="shared" si="10"/>
        <v>1113982.0649999999</v>
      </c>
      <c r="F56" s="6">
        <f>Sheet1!$F$18</f>
        <v>9773.2356</v>
      </c>
      <c r="G56" s="6">
        <f t="shared" si="9"/>
        <v>36729</v>
      </c>
      <c r="H56" s="6">
        <f t="shared" si="11"/>
        <v>1197149.6994</v>
      </c>
      <c r="I56" s="6">
        <f t="shared" si="12"/>
        <v>287315.92785600002</v>
      </c>
      <c r="J56" s="6">
        <f t="shared" ref="J56:J61" si="13">H56-I56</f>
        <v>909833.77154400002</v>
      </c>
    </row>
    <row r="57" spans="1:10" x14ac:dyDescent="0.2">
      <c r="A57" s="6">
        <v>4</v>
      </c>
      <c r="B57" s="6">
        <f t="shared" si="7"/>
        <v>57</v>
      </c>
      <c r="C57" s="6">
        <v>29538</v>
      </c>
      <c r="D57" s="6">
        <f t="shared" si="8"/>
        <v>1683666</v>
      </c>
      <c r="E57" s="6">
        <f t="shared" si="10"/>
        <v>795532.18499999994</v>
      </c>
      <c r="F57" s="6">
        <f>Sheet1!$F$18</f>
        <v>9773.2356</v>
      </c>
      <c r="G57" s="6">
        <f t="shared" si="9"/>
        <v>26229</v>
      </c>
      <c r="H57" s="6">
        <f t="shared" si="11"/>
        <v>852131.57940000005</v>
      </c>
      <c r="I57" s="6">
        <f t="shared" si="12"/>
        <v>204511.57905600002</v>
      </c>
      <c r="J57" s="6">
        <f t="shared" si="13"/>
        <v>647620.00034400006</v>
      </c>
    </row>
    <row r="58" spans="1:10" x14ac:dyDescent="0.2">
      <c r="A58" s="6">
        <v>5</v>
      </c>
      <c r="B58" s="6">
        <f t="shared" si="7"/>
        <v>57</v>
      </c>
      <c r="C58" s="6">
        <v>21119</v>
      </c>
      <c r="D58" s="6">
        <f t="shared" si="8"/>
        <v>1203783</v>
      </c>
      <c r="E58" s="6">
        <f t="shared" si="10"/>
        <v>568787.46750000003</v>
      </c>
      <c r="F58" s="6">
        <f>Sheet1!$F$18</f>
        <v>9773.2356</v>
      </c>
      <c r="G58" s="6">
        <f t="shared" si="9"/>
        <v>18753</v>
      </c>
      <c r="H58" s="6">
        <f t="shared" si="11"/>
        <v>606469.29689999996</v>
      </c>
      <c r="I58" s="6">
        <f t="shared" si="12"/>
        <v>145552.63125599999</v>
      </c>
      <c r="J58" s="6">
        <f t="shared" si="13"/>
        <v>460916.66564399994</v>
      </c>
    </row>
    <row r="59" spans="1:10" x14ac:dyDescent="0.2">
      <c r="A59" s="6">
        <v>6</v>
      </c>
      <c r="B59" s="6">
        <f t="shared" si="7"/>
        <v>57</v>
      </c>
      <c r="C59" s="6">
        <v>21095</v>
      </c>
      <c r="D59" s="6">
        <f t="shared" si="8"/>
        <v>1202415</v>
      </c>
      <c r="E59" s="6">
        <f t="shared" si="10"/>
        <v>568141.08750000002</v>
      </c>
      <c r="F59" s="6">
        <f>Sheet1!$F$18</f>
        <v>9773.2356</v>
      </c>
      <c r="G59" s="6">
        <f t="shared" si="9"/>
        <v>18732</v>
      </c>
      <c r="H59" s="6">
        <f t="shared" si="11"/>
        <v>605768.67689999996</v>
      </c>
      <c r="I59" s="6">
        <f t="shared" si="12"/>
        <v>145384.482456</v>
      </c>
      <c r="J59" s="6">
        <f t="shared" si="13"/>
        <v>460384.19444399996</v>
      </c>
    </row>
    <row r="60" spans="1:10" x14ac:dyDescent="0.2">
      <c r="A60" s="6">
        <v>7</v>
      </c>
      <c r="B60" s="6">
        <f t="shared" si="7"/>
        <v>57</v>
      </c>
      <c r="C60" s="6">
        <v>21119</v>
      </c>
      <c r="D60" s="6">
        <f t="shared" si="8"/>
        <v>1203783</v>
      </c>
      <c r="E60" s="6">
        <f t="shared" si="10"/>
        <v>568787.46750000003</v>
      </c>
      <c r="F60" s="6">
        <f>Sheet1!$F$18</f>
        <v>9773.2356</v>
      </c>
      <c r="G60" s="6">
        <f t="shared" si="9"/>
        <v>18753</v>
      </c>
      <c r="H60" s="6">
        <f t="shared" si="11"/>
        <v>606469.29689999996</v>
      </c>
      <c r="I60" s="6">
        <f t="shared" si="12"/>
        <v>145552.63125599999</v>
      </c>
      <c r="J60" s="6">
        <f t="shared" si="13"/>
        <v>460916.66564399994</v>
      </c>
    </row>
    <row r="61" spans="1:10" x14ac:dyDescent="0.2">
      <c r="A61" s="6">
        <v>8</v>
      </c>
      <c r="B61" s="6">
        <f t="shared" si="7"/>
        <v>57</v>
      </c>
      <c r="C61" s="6">
        <v>10547</v>
      </c>
      <c r="D61" s="6">
        <f t="shared" si="8"/>
        <v>601179</v>
      </c>
      <c r="E61" s="6">
        <f t="shared" si="10"/>
        <v>284057.07750000001</v>
      </c>
      <c r="F61" s="6">
        <f>Sheet1!$F$18</f>
        <v>9773.2356</v>
      </c>
      <c r="G61" s="6">
        <f t="shared" si="9"/>
        <v>9366</v>
      </c>
      <c r="H61" s="6">
        <f t="shared" si="11"/>
        <v>297982.68689999997</v>
      </c>
      <c r="I61" s="6">
        <f t="shared" si="12"/>
        <v>71515.844855999996</v>
      </c>
      <c r="J61" s="6">
        <f t="shared" si="13"/>
        <v>226466.84204399999</v>
      </c>
    </row>
    <row r="62" spans="1:10" x14ac:dyDescent="0.2">
      <c r="C62" s="6">
        <f>SUM(C54:C61)</f>
        <v>236490</v>
      </c>
    </row>
    <row r="64" spans="1:10" x14ac:dyDescent="0.2">
      <c r="A64" s="5" t="s">
        <v>80</v>
      </c>
    </row>
    <row r="65" spans="1:10" x14ac:dyDescent="0.2">
      <c r="A65" s="10" t="s">
        <v>66</v>
      </c>
      <c r="B65" s="8" t="s">
        <v>75</v>
      </c>
      <c r="C65" s="8" t="s">
        <v>81</v>
      </c>
      <c r="D65" s="8" t="s">
        <v>82</v>
      </c>
      <c r="E65" s="8"/>
      <c r="F65" s="8"/>
      <c r="G65" s="8"/>
      <c r="H65" s="8"/>
      <c r="I65" s="8"/>
      <c r="J65" s="8"/>
    </row>
    <row r="66" spans="1:10" x14ac:dyDescent="0.2">
      <c r="A66" s="6">
        <v>0</v>
      </c>
      <c r="B66" s="11">
        <v>0</v>
      </c>
      <c r="C66" s="6">
        <f ca="1">B40</f>
        <v>235275</v>
      </c>
      <c r="D66" s="6">
        <f ca="1">C66*-1</f>
        <v>-235275</v>
      </c>
    </row>
    <row r="67" spans="1:10" x14ac:dyDescent="0.2">
      <c r="A67" s="6">
        <v>1</v>
      </c>
      <c r="B67" s="11">
        <f ca="1">D54</f>
        <v>1960052</v>
      </c>
      <c r="C67" s="6">
        <f ca="1">B67*18.5%</f>
        <v>362609.62</v>
      </c>
      <c r="D67" s="6">
        <f ca="1">C67*-1-D66</f>
        <v>-127334.62</v>
      </c>
    </row>
    <row r="68" spans="1:10" x14ac:dyDescent="0.2">
      <c r="A68" s="6">
        <v>2</v>
      </c>
      <c r="B68" s="11">
        <f t="shared" ref="B68:B74" si="14">D55</f>
        <v>3301212</v>
      </c>
      <c r="C68" s="6">
        <f t="shared" ref="C68:C74" si="15">B68*18.5%</f>
        <v>610724.22</v>
      </c>
      <c r="D68" s="6">
        <f t="shared" ref="D68:D74" ca="1" si="16">C67-C68</f>
        <v>-248114.59999999998</v>
      </c>
    </row>
    <row r="69" spans="1:10" x14ac:dyDescent="0.2">
      <c r="A69" s="6">
        <v>3</v>
      </c>
      <c r="B69" s="11">
        <f t="shared" si="14"/>
        <v>2357634</v>
      </c>
      <c r="C69" s="6">
        <f t="shared" si="15"/>
        <v>436162.29</v>
      </c>
      <c r="D69" s="6">
        <f>C68-C69</f>
        <v>174561.93</v>
      </c>
    </row>
    <row r="70" spans="1:10" x14ac:dyDescent="0.2">
      <c r="A70" s="6">
        <v>4</v>
      </c>
      <c r="B70" s="11">
        <f t="shared" si="14"/>
        <v>1683666</v>
      </c>
      <c r="C70" s="6">
        <f t="shared" si="15"/>
        <v>311478.21000000002</v>
      </c>
      <c r="D70" s="6">
        <f t="shared" si="16"/>
        <v>124684.07999999996</v>
      </c>
    </row>
    <row r="71" spans="1:10" x14ac:dyDescent="0.2">
      <c r="A71" s="6">
        <v>5</v>
      </c>
      <c r="B71" s="11">
        <f t="shared" si="14"/>
        <v>1203783</v>
      </c>
      <c r="C71" s="6">
        <f>B71*18.5%</f>
        <v>222699.85500000001</v>
      </c>
      <c r="D71" s="6">
        <f t="shared" si="16"/>
        <v>88778.35500000001</v>
      </c>
    </row>
    <row r="72" spans="1:10" x14ac:dyDescent="0.2">
      <c r="A72" s="6">
        <v>6</v>
      </c>
      <c r="B72" s="11">
        <f t="shared" si="14"/>
        <v>1202415</v>
      </c>
      <c r="C72" s="6">
        <f t="shared" si="15"/>
        <v>222446.77499999999</v>
      </c>
      <c r="D72" s="6">
        <f t="shared" si="16"/>
        <v>253.0800000000163</v>
      </c>
    </row>
    <row r="73" spans="1:10" x14ac:dyDescent="0.2">
      <c r="A73" s="6">
        <v>7</v>
      </c>
      <c r="B73" s="11">
        <f t="shared" si="14"/>
        <v>1203783</v>
      </c>
      <c r="C73" s="6">
        <f t="shared" si="15"/>
        <v>222699.85500000001</v>
      </c>
      <c r="D73" s="6">
        <f t="shared" si="16"/>
        <v>-253.0800000000163</v>
      </c>
    </row>
    <row r="74" spans="1:10" x14ac:dyDescent="0.2">
      <c r="A74" s="6">
        <v>8</v>
      </c>
      <c r="B74" s="11">
        <f t="shared" si="14"/>
        <v>601179</v>
      </c>
      <c r="C74" s="6">
        <f t="shared" si="15"/>
        <v>111218.11500000001</v>
      </c>
      <c r="D74" s="6">
        <f t="shared" si="16"/>
        <v>111481.74</v>
      </c>
    </row>
    <row r="76" spans="1:10" x14ac:dyDescent="0.2">
      <c r="A76" s="18" t="s">
        <v>83</v>
      </c>
      <c r="B76" s="19"/>
      <c r="C76" s="19"/>
      <c r="D76" s="9"/>
      <c r="E76" s="9"/>
    </row>
    <row r="77" spans="1:10" x14ac:dyDescent="0.2">
      <c r="A77" s="12" t="s">
        <v>84</v>
      </c>
      <c r="B77" s="9"/>
      <c r="C77" s="9"/>
      <c r="D77" s="9"/>
      <c r="E77" s="9"/>
    </row>
    <row r="78" spans="1:10" x14ac:dyDescent="0.2">
      <c r="A78" s="10" t="s">
        <v>66</v>
      </c>
      <c r="B78" s="10" t="s">
        <v>64</v>
      </c>
      <c r="C78" s="10" t="s">
        <v>85</v>
      </c>
      <c r="D78" s="10" t="s">
        <v>78</v>
      </c>
      <c r="E78" s="10" t="s">
        <v>84</v>
      </c>
      <c r="F78" s="8"/>
      <c r="G78" s="8"/>
      <c r="H78" s="8"/>
      <c r="I78" s="8"/>
      <c r="J78" s="8"/>
    </row>
    <row r="79" spans="1:10" x14ac:dyDescent="0.2">
      <c r="A79" s="6">
        <v>1</v>
      </c>
      <c r="B79" s="6">
        <f ca="1">H54</f>
        <v>994145.19440000004</v>
      </c>
      <c r="C79" s="6">
        <f t="shared" ref="C79:C86" si="17">G54</f>
        <v>30009</v>
      </c>
      <c r="D79" s="6">
        <f ca="1">I54</f>
        <v>238594.84665600001</v>
      </c>
      <c r="E79" s="6">
        <f t="shared" ref="E79:E86" ca="1" si="18">B79+C79-D79</f>
        <v>785559.34774400003</v>
      </c>
    </row>
    <row r="80" spans="1:10" x14ac:dyDescent="0.2">
      <c r="A80" s="6">
        <v>2</v>
      </c>
      <c r="B80" s="6">
        <f t="shared" ref="B80:B86" si="19">H55</f>
        <v>1680187.0944000001</v>
      </c>
      <c r="C80" s="6">
        <f t="shared" si="17"/>
        <v>51429</v>
      </c>
      <c r="D80" s="6">
        <f>I55</f>
        <v>403244.90265599999</v>
      </c>
      <c r="E80" s="6">
        <f t="shared" si="18"/>
        <v>1328371.1917440002</v>
      </c>
    </row>
    <row r="81" spans="1:5" x14ac:dyDescent="0.2">
      <c r="A81" s="6">
        <v>3</v>
      </c>
      <c r="B81" s="6">
        <f t="shared" si="19"/>
        <v>1197149.6994</v>
      </c>
      <c r="C81" s="6">
        <f t="shared" si="17"/>
        <v>36729</v>
      </c>
      <c r="D81" s="6">
        <f t="shared" ref="D81:D86" si="20">I56</f>
        <v>287315.92785600002</v>
      </c>
      <c r="E81" s="6">
        <f t="shared" si="18"/>
        <v>946562.77154400002</v>
      </c>
    </row>
    <row r="82" spans="1:5" x14ac:dyDescent="0.2">
      <c r="A82" s="6">
        <v>4</v>
      </c>
      <c r="B82" s="6">
        <f t="shared" si="19"/>
        <v>852131.57940000005</v>
      </c>
      <c r="C82" s="6">
        <f t="shared" si="17"/>
        <v>26229</v>
      </c>
      <c r="D82" s="6">
        <f t="shared" si="20"/>
        <v>204511.57905600002</v>
      </c>
      <c r="E82" s="6">
        <f t="shared" si="18"/>
        <v>673849.00034400006</v>
      </c>
    </row>
    <row r="83" spans="1:5" x14ac:dyDescent="0.2">
      <c r="A83" s="6">
        <v>5</v>
      </c>
      <c r="B83" s="6">
        <f t="shared" si="19"/>
        <v>606469.29689999996</v>
      </c>
      <c r="C83" s="6">
        <f t="shared" si="17"/>
        <v>18753</v>
      </c>
      <c r="D83" s="6">
        <f t="shared" si="20"/>
        <v>145552.63125599999</v>
      </c>
      <c r="E83" s="6">
        <f t="shared" si="18"/>
        <v>479669.66564399994</v>
      </c>
    </row>
    <row r="84" spans="1:5" x14ac:dyDescent="0.2">
      <c r="A84" s="6">
        <v>6</v>
      </c>
      <c r="B84" s="6">
        <f t="shared" si="19"/>
        <v>605768.67689999996</v>
      </c>
      <c r="C84" s="6">
        <f t="shared" si="17"/>
        <v>18732</v>
      </c>
      <c r="D84" s="6">
        <f t="shared" si="20"/>
        <v>145384.482456</v>
      </c>
      <c r="E84" s="6">
        <f t="shared" si="18"/>
        <v>479116.19444399996</v>
      </c>
    </row>
    <row r="85" spans="1:5" x14ac:dyDescent="0.2">
      <c r="A85" s="6">
        <v>7</v>
      </c>
      <c r="B85" s="6">
        <f t="shared" si="19"/>
        <v>606469.29689999996</v>
      </c>
      <c r="C85" s="6">
        <f t="shared" si="17"/>
        <v>18753</v>
      </c>
      <c r="D85" s="6">
        <f t="shared" si="20"/>
        <v>145552.63125599999</v>
      </c>
      <c r="E85" s="6">
        <f t="shared" si="18"/>
        <v>479669.66564399994</v>
      </c>
    </row>
    <row r="86" spans="1:5" x14ac:dyDescent="0.2">
      <c r="A86" s="6">
        <v>8</v>
      </c>
      <c r="B86" s="6">
        <f t="shared" si="19"/>
        <v>297982.68689999997</v>
      </c>
      <c r="C86" s="6">
        <f t="shared" si="17"/>
        <v>9366</v>
      </c>
      <c r="D86" s="6">
        <f t="shared" si="20"/>
        <v>71515.844855999996</v>
      </c>
      <c r="E86" s="6">
        <f t="shared" si="18"/>
        <v>235832.84204399999</v>
      </c>
    </row>
    <row r="87" spans="1:5" x14ac:dyDescent="0.2">
      <c r="A87" s="9"/>
      <c r="B87" s="9"/>
      <c r="C87" s="9"/>
      <c r="D87" s="9"/>
      <c r="E87" s="9"/>
    </row>
    <row r="88" spans="1:5" x14ac:dyDescent="0.2">
      <c r="A88" s="5" t="s">
        <v>86</v>
      </c>
      <c r="B88" s="10"/>
      <c r="C88" s="10"/>
      <c r="D88" s="10"/>
      <c r="E88" s="10"/>
    </row>
    <row r="89" spans="1:5" x14ac:dyDescent="0.2">
      <c r="A89" s="10" t="s">
        <v>66</v>
      </c>
      <c r="B89" s="10" t="s">
        <v>87</v>
      </c>
      <c r="C89" s="10" t="s">
        <v>88</v>
      </c>
      <c r="D89" s="10" t="s">
        <v>89</v>
      </c>
      <c r="E89" s="10"/>
    </row>
    <row r="90" spans="1:5" x14ac:dyDescent="0.2">
      <c r="A90" s="6">
        <v>0</v>
      </c>
      <c r="B90" s="6">
        <f ca="1">D66</f>
        <v>-235275</v>
      </c>
      <c r="C90" s="6">
        <v>0</v>
      </c>
      <c r="D90" s="6">
        <f ca="1">-F40+B90</f>
        <v>-445275</v>
      </c>
    </row>
    <row r="91" spans="1:5" x14ac:dyDescent="0.2">
      <c r="A91" s="6">
        <v>1</v>
      </c>
      <c r="C91" s="6">
        <f t="shared" ref="C91:C98" ca="1" si="21">D67</f>
        <v>-127334.62</v>
      </c>
      <c r="D91" s="6">
        <f t="shared" ref="D91:D99" ca="1" si="22">C91</f>
        <v>-127334.62</v>
      </c>
    </row>
    <row r="92" spans="1:5" x14ac:dyDescent="0.2">
      <c r="A92" s="6">
        <v>2</v>
      </c>
      <c r="C92" s="6">
        <f t="shared" ca="1" si="21"/>
        <v>-248114.59999999998</v>
      </c>
      <c r="D92" s="6">
        <f t="shared" ca="1" si="22"/>
        <v>-248114.59999999998</v>
      </c>
    </row>
    <row r="93" spans="1:5" x14ac:dyDescent="0.2">
      <c r="A93" s="6">
        <v>3</v>
      </c>
      <c r="C93" s="6">
        <f t="shared" si="21"/>
        <v>174561.93</v>
      </c>
      <c r="D93" s="6">
        <f t="shared" si="22"/>
        <v>174561.93</v>
      </c>
    </row>
    <row r="94" spans="1:5" x14ac:dyDescent="0.2">
      <c r="A94" s="6">
        <v>4</v>
      </c>
      <c r="C94" s="6">
        <f t="shared" si="21"/>
        <v>124684.07999999996</v>
      </c>
      <c r="D94" s="6">
        <f t="shared" si="22"/>
        <v>124684.07999999996</v>
      </c>
    </row>
    <row r="95" spans="1:5" x14ac:dyDescent="0.2">
      <c r="A95" s="6">
        <v>5</v>
      </c>
      <c r="C95" s="6">
        <f t="shared" si="21"/>
        <v>88778.35500000001</v>
      </c>
      <c r="D95" s="6">
        <f t="shared" si="22"/>
        <v>88778.35500000001</v>
      </c>
    </row>
    <row r="96" spans="1:5" x14ac:dyDescent="0.2">
      <c r="A96" s="6">
        <v>6</v>
      </c>
      <c r="C96" s="6">
        <f t="shared" si="21"/>
        <v>253.0800000000163</v>
      </c>
      <c r="D96" s="6">
        <f t="shared" si="22"/>
        <v>253.0800000000163</v>
      </c>
    </row>
    <row r="97" spans="1:10" x14ac:dyDescent="0.2">
      <c r="A97" s="6">
        <v>7</v>
      </c>
      <c r="C97" s="6">
        <f t="shared" si="21"/>
        <v>-253.0800000000163</v>
      </c>
      <c r="D97" s="6">
        <f t="shared" si="22"/>
        <v>-253.0800000000163</v>
      </c>
    </row>
    <row r="98" spans="1:10" x14ac:dyDescent="0.2">
      <c r="A98" s="6">
        <v>8</v>
      </c>
      <c r="C98" s="6">
        <f t="shared" si="21"/>
        <v>111481.74</v>
      </c>
      <c r="D98" s="6">
        <f t="shared" si="22"/>
        <v>111481.74</v>
      </c>
    </row>
    <row r="99" spans="1:10" x14ac:dyDescent="0.2">
      <c r="C99" s="6">
        <f>C74+F40*25%*(1-'[1]Income statement'!H$8)</f>
        <v>151118.11499999999</v>
      </c>
      <c r="D99" s="6">
        <f t="shared" si="22"/>
        <v>151118.11499999999</v>
      </c>
    </row>
    <row r="101" spans="1:10" x14ac:dyDescent="0.2">
      <c r="A101" s="9"/>
      <c r="B101" s="18" t="s">
        <v>90</v>
      </c>
      <c r="C101" s="19"/>
      <c r="D101" s="9" t="s">
        <v>91</v>
      </c>
      <c r="E101" s="13">
        <v>0.13</v>
      </c>
      <c r="F101" s="9"/>
      <c r="G101" s="9"/>
      <c r="H101" s="9"/>
      <c r="I101" s="9"/>
      <c r="J101" s="9"/>
    </row>
    <row r="102" spans="1:10" x14ac:dyDescent="0.2">
      <c r="A102" s="10" t="s">
        <v>66</v>
      </c>
      <c r="B102" s="10" t="s">
        <v>84</v>
      </c>
      <c r="C102" s="10" t="s">
        <v>92</v>
      </c>
      <c r="D102" s="10" t="s">
        <v>93</v>
      </c>
      <c r="E102" s="10" t="s">
        <v>94</v>
      </c>
      <c r="F102" s="10"/>
      <c r="G102" s="10"/>
      <c r="H102" s="10"/>
      <c r="I102" s="10"/>
      <c r="J102" s="10"/>
    </row>
    <row r="103" spans="1:10" x14ac:dyDescent="0.2">
      <c r="A103" s="6">
        <v>0</v>
      </c>
      <c r="B103" s="6">
        <v>0</v>
      </c>
      <c r="C103" s="6">
        <f ca="1">D90</f>
        <v>-445275</v>
      </c>
      <c r="D103" s="6">
        <f t="shared" ref="D103:D111" ca="1" si="23">C103+B103</f>
        <v>-445275</v>
      </c>
      <c r="E103" s="6">
        <f ca="1">D103</f>
        <v>-445275</v>
      </c>
      <c r="G103" s="6">
        <f t="shared" ref="G103:G111" ca="1" si="24">ABS(C103)</f>
        <v>445275</v>
      </c>
    </row>
    <row r="104" spans="1:10" x14ac:dyDescent="0.2">
      <c r="A104" s="6">
        <v>1</v>
      </c>
      <c r="B104" s="6">
        <f t="shared" ref="B104:B111" ca="1" si="25">E79</f>
        <v>785559.34774400003</v>
      </c>
      <c r="C104" s="6">
        <f t="shared" ref="C104:C111" ca="1" si="26">D91</f>
        <v>-127334.62</v>
      </c>
      <c r="D104" s="6">
        <f ca="1">C104+B104</f>
        <v>658224.72774400003</v>
      </c>
      <c r="E104" s="6">
        <f ca="1">D104*(1+E$62)^(-A104)</f>
        <v>658224.72774400003</v>
      </c>
      <c r="G104" s="6">
        <f t="shared" ca="1" si="24"/>
        <v>127334.62</v>
      </c>
    </row>
    <row r="105" spans="1:10" x14ac:dyDescent="0.2">
      <c r="A105" s="6">
        <v>2</v>
      </c>
      <c r="B105" s="6">
        <f t="shared" si="25"/>
        <v>1328371.1917440002</v>
      </c>
      <c r="C105" s="6">
        <f t="shared" ca="1" si="26"/>
        <v>-248114.59999999998</v>
      </c>
      <c r="D105" s="6">
        <f t="shared" ca="1" si="23"/>
        <v>1080256.5917440001</v>
      </c>
      <c r="E105" s="6">
        <f t="shared" ref="E105:E111" ca="1" si="27">D105*(1+E$62)^(-A105)</f>
        <v>1080256.5917440001</v>
      </c>
      <c r="G105" s="6">
        <f t="shared" ca="1" si="24"/>
        <v>248114.59999999998</v>
      </c>
    </row>
    <row r="106" spans="1:10" x14ac:dyDescent="0.2">
      <c r="A106" s="6">
        <v>3</v>
      </c>
      <c r="B106" s="6">
        <f t="shared" si="25"/>
        <v>946562.77154400002</v>
      </c>
      <c r="C106" s="6">
        <f t="shared" si="26"/>
        <v>174561.93</v>
      </c>
      <c r="D106" s="6">
        <f t="shared" si="23"/>
        <v>1121124.7015440001</v>
      </c>
      <c r="E106" s="6">
        <f t="shared" si="27"/>
        <v>1121124.7015440001</v>
      </c>
      <c r="F106" s="6">
        <f ca="1">A106+(C106/G112)</f>
        <v>4.1895312864019196</v>
      </c>
      <c r="G106" s="6">
        <f t="shared" si="24"/>
        <v>174561.93</v>
      </c>
    </row>
    <row r="107" spans="1:10" x14ac:dyDescent="0.2">
      <c r="A107" s="6">
        <v>4</v>
      </c>
      <c r="B107" s="6">
        <f t="shared" si="25"/>
        <v>673849.00034400006</v>
      </c>
      <c r="C107" s="6">
        <f t="shared" si="26"/>
        <v>124684.07999999996</v>
      </c>
      <c r="D107" s="6">
        <f t="shared" si="23"/>
        <v>798533.08034400002</v>
      </c>
      <c r="E107" s="6">
        <f t="shared" si="27"/>
        <v>798533.08034400002</v>
      </c>
      <c r="G107" s="6">
        <f t="shared" si="24"/>
        <v>124684.07999999996</v>
      </c>
    </row>
    <row r="108" spans="1:10" x14ac:dyDescent="0.2">
      <c r="A108" s="6">
        <v>5</v>
      </c>
      <c r="B108" s="6">
        <f t="shared" si="25"/>
        <v>479669.66564399994</v>
      </c>
      <c r="C108" s="6">
        <f t="shared" si="26"/>
        <v>88778.35500000001</v>
      </c>
      <c r="D108" s="6">
        <f t="shared" si="23"/>
        <v>568448.02064399992</v>
      </c>
      <c r="E108" s="6">
        <f t="shared" si="27"/>
        <v>568448.02064399992</v>
      </c>
      <c r="G108" s="6">
        <f t="shared" si="24"/>
        <v>88778.35500000001</v>
      </c>
    </row>
    <row r="109" spans="1:10" x14ac:dyDescent="0.2">
      <c r="A109" s="6">
        <v>6</v>
      </c>
      <c r="B109" s="6">
        <f t="shared" si="25"/>
        <v>479116.19444399996</v>
      </c>
      <c r="C109" s="6">
        <f t="shared" si="26"/>
        <v>253.0800000000163</v>
      </c>
      <c r="D109" s="6">
        <f t="shared" si="23"/>
        <v>479369.27444399998</v>
      </c>
      <c r="E109" s="6">
        <f t="shared" si="27"/>
        <v>479369.27444399998</v>
      </c>
      <c r="G109" s="6">
        <f t="shared" si="24"/>
        <v>253.0800000000163</v>
      </c>
    </row>
    <row r="110" spans="1:10" x14ac:dyDescent="0.2">
      <c r="A110" s="6">
        <v>7</v>
      </c>
      <c r="B110" s="6">
        <f t="shared" si="25"/>
        <v>479669.66564399994</v>
      </c>
      <c r="C110" s="6">
        <f t="shared" si="26"/>
        <v>-253.0800000000163</v>
      </c>
      <c r="D110" s="6">
        <f t="shared" si="23"/>
        <v>479416.58564399992</v>
      </c>
      <c r="E110" s="6">
        <f t="shared" si="27"/>
        <v>479416.58564399992</v>
      </c>
      <c r="G110" s="6">
        <f t="shared" si="24"/>
        <v>253.0800000000163</v>
      </c>
    </row>
    <row r="111" spans="1:10" x14ac:dyDescent="0.2">
      <c r="A111" s="6">
        <v>8</v>
      </c>
      <c r="B111" s="6">
        <f t="shared" si="25"/>
        <v>235832.84204399999</v>
      </c>
      <c r="C111" s="6">
        <f t="shared" si="26"/>
        <v>111481.74</v>
      </c>
      <c r="D111" s="6">
        <f t="shared" si="23"/>
        <v>347314.58204399998</v>
      </c>
      <c r="E111" s="6">
        <f t="shared" si="27"/>
        <v>347314.58204399998</v>
      </c>
      <c r="G111" s="6">
        <f t="shared" si="24"/>
        <v>111481.74</v>
      </c>
    </row>
    <row r="112" spans="1:10" x14ac:dyDescent="0.2">
      <c r="B112" s="6">
        <f ca="1">AVERAGE(B104:B111)</f>
        <v>676078.83489400009</v>
      </c>
      <c r="E112" s="6">
        <f ca="1">SUM(E103:E111)</f>
        <v>5087412.5641519995</v>
      </c>
      <c r="G112" s="6">
        <f ca="1">AVERAGE(G103:G111)</f>
        <v>146748.49833333335</v>
      </c>
    </row>
    <row r="113" spans="5:5" x14ac:dyDescent="0.2">
      <c r="E113" s="6">
        <f ca="1">(-1*E103+E112)/(-1*E103)</f>
        <v>12.425327189157262</v>
      </c>
    </row>
  </sheetData>
  <mergeCells count="2">
    <mergeCell ref="A76:C76"/>
    <mergeCell ref="B101:C10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F5187-695F-AA48-9CF1-74A2D5B23201}">
  <dimension ref="A1:U104"/>
  <sheetViews>
    <sheetView tabSelected="1" zoomScale="89" workbookViewId="0">
      <selection activeCell="K14" sqref="K14"/>
    </sheetView>
  </sheetViews>
  <sheetFormatPr baseColWidth="10" defaultRowHeight="16" x14ac:dyDescent="0.2"/>
  <cols>
    <col min="1" max="11" width="10.83203125" style="6"/>
    <col min="12" max="12" width="15" style="6" customWidth="1"/>
    <col min="13" max="13" width="10.83203125" style="6"/>
    <col min="14" max="14" width="16.5" style="6" customWidth="1"/>
    <col min="15" max="16384" width="10.83203125" style="6"/>
  </cols>
  <sheetData>
    <row r="1" spans="1:21" x14ac:dyDescent="0.2">
      <c r="A1" s="6" t="s">
        <v>0</v>
      </c>
      <c r="C1" s="6" t="s">
        <v>42</v>
      </c>
      <c r="E1" s="6" t="s">
        <v>1</v>
      </c>
      <c r="G1" s="6" t="s">
        <v>42</v>
      </c>
      <c r="K1" s="6" t="s">
        <v>52</v>
      </c>
    </row>
    <row r="2" spans="1:21" x14ac:dyDescent="0.2">
      <c r="A2" s="6" t="s">
        <v>2</v>
      </c>
      <c r="C2" s="6">
        <v>16000</v>
      </c>
      <c r="E2" s="6" t="s">
        <v>3</v>
      </c>
      <c r="G2" s="6">
        <v>12500</v>
      </c>
      <c r="I2" s="6" t="s">
        <v>44</v>
      </c>
      <c r="K2" s="6">
        <f ca="1" xml:space="preserve"> RANDBETWEEN(10050, 10500)</f>
        <v>10408</v>
      </c>
    </row>
    <row r="3" spans="1:21" x14ac:dyDescent="0.2">
      <c r="A3" s="6" t="s">
        <v>4</v>
      </c>
      <c r="C3" s="6">
        <f ca="1">L15</f>
        <v>1549.0955121692557</v>
      </c>
      <c r="E3" s="6" t="s">
        <v>5</v>
      </c>
      <c r="G3" s="6">
        <v>18700</v>
      </c>
      <c r="I3" s="6" t="s">
        <v>45</v>
      </c>
      <c r="K3" s="6">
        <f ca="1" xml:space="preserve"> RANDBETWEEN(40, 45)</f>
        <v>44</v>
      </c>
      <c r="L3" s="6">
        <f ca="1">K2*K3</f>
        <v>457952</v>
      </c>
    </row>
    <row r="4" spans="1:21" x14ac:dyDescent="0.2">
      <c r="A4" s="6" t="s">
        <v>6</v>
      </c>
      <c r="C4" s="6">
        <f ca="1">L16</f>
        <v>5633.0745897063844</v>
      </c>
      <c r="E4" s="6" t="s">
        <v>7</v>
      </c>
      <c r="G4" s="6">
        <v>3500</v>
      </c>
      <c r="I4" s="6" t="s">
        <v>46</v>
      </c>
      <c r="K4" s="6">
        <f ca="1" xml:space="preserve"> RANDBETWEEN(35, 40) / 100</f>
        <v>0.35</v>
      </c>
      <c r="L4" s="6">
        <f ca="1">L3*K4</f>
        <v>160283.19999999998</v>
      </c>
    </row>
    <row r="5" spans="1:21" x14ac:dyDescent="0.2">
      <c r="A5" s="6" t="s">
        <v>8</v>
      </c>
      <c r="C5" s="6">
        <v>1450</v>
      </c>
      <c r="E5" s="6" t="s">
        <v>9</v>
      </c>
      <c r="G5" s="6">
        <v>5600</v>
      </c>
      <c r="I5" s="6" t="s">
        <v>47</v>
      </c>
      <c r="K5" s="6">
        <f ca="1" xml:space="preserve"> RANDBETWEEN(20, 25) / 100</f>
        <v>0.23</v>
      </c>
      <c r="L5" s="6">
        <f ca="1">L3*K5</f>
        <v>105328.96000000001</v>
      </c>
      <c r="O5" s="8" t="s">
        <v>62</v>
      </c>
      <c r="Q5" s="6">
        <f>C16</f>
        <v>2640</v>
      </c>
      <c r="U5" s="8" t="s">
        <v>96</v>
      </c>
    </row>
    <row r="6" spans="1:21" x14ac:dyDescent="0.2">
      <c r="A6" s="6" t="s">
        <v>10</v>
      </c>
      <c r="C6" s="6">
        <v>23000</v>
      </c>
      <c r="E6" s="6" t="s">
        <v>11</v>
      </c>
      <c r="G6" s="6">
        <v>12500</v>
      </c>
      <c r="I6" s="6" t="s">
        <v>48</v>
      </c>
      <c r="K6" s="6">
        <f ca="1" xml:space="preserve"> RANDBETWEEN(10, 13) / 100</f>
        <v>0.12</v>
      </c>
      <c r="L6" s="6">
        <f ca="1">L3*K6</f>
        <v>54954.239999999998</v>
      </c>
    </row>
    <row r="7" spans="1:21" x14ac:dyDescent="0.2">
      <c r="A7" s="6" t="s">
        <v>12</v>
      </c>
      <c r="C7" s="6">
        <v>2300</v>
      </c>
      <c r="E7" s="6" t="s">
        <v>13</v>
      </c>
      <c r="G7" s="6">
        <v>12000</v>
      </c>
      <c r="I7" s="6" t="s">
        <v>62</v>
      </c>
      <c r="K7" s="7"/>
      <c r="L7" s="6">
        <f>U10</f>
        <v>1635.7785785043575</v>
      </c>
      <c r="O7" s="6" t="str">
        <f>A12</f>
        <v xml:space="preserve">Land </v>
      </c>
      <c r="P7" s="6">
        <f>C12</f>
        <v>53000</v>
      </c>
      <c r="Q7" s="6">
        <f>P7/$P$12</f>
        <v>0.16621714859185849</v>
      </c>
      <c r="R7" s="6">
        <f>Q7*$Q$5</f>
        <v>438.81327228250643</v>
      </c>
    </row>
    <row r="8" spans="1:21" x14ac:dyDescent="0.2">
      <c r="A8" s="6" t="s">
        <v>14</v>
      </c>
      <c r="C8" s="6">
        <v>1250</v>
      </c>
      <c r="E8" s="6" t="s">
        <v>15</v>
      </c>
      <c r="G8" s="6">
        <v>7300</v>
      </c>
      <c r="I8" s="6" t="s">
        <v>64</v>
      </c>
      <c r="L8" s="6">
        <f ca="1">L3-L4-L5-L6-L7</f>
        <v>135749.82142149567</v>
      </c>
      <c r="O8" s="6" t="str">
        <f t="shared" ref="O8:O10" si="0">A13</f>
        <v xml:space="preserve">Land improvements </v>
      </c>
      <c r="P8" s="6">
        <f t="shared" ref="P8:P10" si="1">C13</f>
        <v>18500</v>
      </c>
      <c r="Q8" s="6">
        <f t="shared" ref="Q8:Q11" si="2">P8/$P$12</f>
        <v>5.801919337640344E-2</v>
      </c>
      <c r="R8" s="6">
        <f t="shared" ref="R8:R10" si="3">Q8*$Q$5</f>
        <v>153.17067051370509</v>
      </c>
      <c r="S8" s="6">
        <f>R8/$R$12</f>
        <v>6.8901303538175057E-2</v>
      </c>
      <c r="T8" s="6">
        <f>$R$7*S8</f>
        <v>30.234806470116837</v>
      </c>
      <c r="U8" s="6">
        <f>T8+R8</f>
        <v>183.40547698382193</v>
      </c>
    </row>
    <row r="9" spans="1:21" x14ac:dyDescent="0.2">
      <c r="A9" s="6" t="s">
        <v>16</v>
      </c>
      <c r="C9" s="6">
        <v>1850</v>
      </c>
      <c r="I9" s="6" t="s">
        <v>49</v>
      </c>
      <c r="K9" s="7">
        <v>0.24</v>
      </c>
      <c r="L9" s="6">
        <f ca="1">L8*24%</f>
        <v>32579.95714115896</v>
      </c>
      <c r="O9" s="6" t="str">
        <f t="shared" si="0"/>
        <v xml:space="preserve">Buildings </v>
      </c>
      <c r="P9" s="6">
        <f t="shared" si="1"/>
        <v>85000</v>
      </c>
      <c r="Q9" s="6">
        <f t="shared" si="2"/>
        <v>0.26657467226996173</v>
      </c>
      <c r="R9" s="6">
        <f t="shared" si="3"/>
        <v>703.75713479269893</v>
      </c>
      <c r="S9" s="6">
        <f t="shared" ref="S9:S10" si="4">R9/$R$12</f>
        <v>0.31657355679702048</v>
      </c>
      <c r="T9" s="6">
        <f t="shared" ref="T9:T10" si="5">$R$7*S9</f>
        <v>138.91667837621247</v>
      </c>
      <c r="U9" s="6">
        <f t="shared" ref="U9:U10" si="6">T9+R9</f>
        <v>842.67381316891147</v>
      </c>
    </row>
    <row r="10" spans="1:21" x14ac:dyDescent="0.2">
      <c r="A10" s="6" t="s">
        <v>17</v>
      </c>
      <c r="I10" s="6" t="s">
        <v>65</v>
      </c>
      <c r="L10" s="6">
        <f ca="1">L8-L9</f>
        <v>103169.86428033671</v>
      </c>
      <c r="O10" s="6" t="str">
        <f t="shared" si="0"/>
        <v xml:space="preserve">Equipment </v>
      </c>
      <c r="P10" s="6">
        <f t="shared" si="1"/>
        <v>165000</v>
      </c>
      <c r="Q10" s="6">
        <f t="shared" si="2"/>
        <v>0.51746848146521984</v>
      </c>
      <c r="R10" s="6">
        <f t="shared" si="3"/>
        <v>1366.1167910681804</v>
      </c>
      <c r="S10" s="6">
        <f t="shared" si="4"/>
        <v>0.6145251396648046</v>
      </c>
      <c r="T10" s="6">
        <f t="shared" si="5"/>
        <v>269.66178743617718</v>
      </c>
      <c r="U10" s="6">
        <f t="shared" si="6"/>
        <v>1635.7785785043575</v>
      </c>
    </row>
    <row r="11" spans="1:21" x14ac:dyDescent="0.2">
      <c r="A11" s="6" t="s">
        <v>18</v>
      </c>
      <c r="E11" s="6" t="s">
        <v>19</v>
      </c>
      <c r="I11" s="6" t="s">
        <v>50</v>
      </c>
      <c r="K11" s="6">
        <f ca="1">RANDBETWEEN(52, 65) / 100</f>
        <v>0.61</v>
      </c>
      <c r="L11" s="6">
        <f ca="1">L10*K11</f>
        <v>62933.617211005396</v>
      </c>
      <c r="O11" s="6" t="str">
        <f>A16</f>
        <v xml:space="preserve">(Fixed Depr) </v>
      </c>
      <c r="P11" s="6">
        <v>-2640</v>
      </c>
      <c r="Q11" s="6">
        <f t="shared" si="2"/>
        <v>-8.2794957034435183E-3</v>
      </c>
    </row>
    <row r="12" spans="1:21" x14ac:dyDescent="0.2">
      <c r="A12" s="6" t="s">
        <v>20</v>
      </c>
      <c r="C12" s="6">
        <v>53000</v>
      </c>
      <c r="E12" s="6" t="s">
        <v>21</v>
      </c>
      <c r="G12" s="6">
        <v>35000</v>
      </c>
      <c r="I12" s="6" t="s">
        <v>51</v>
      </c>
      <c r="K12" s="6">
        <f ca="1" xml:space="preserve"> 1 - K11</f>
        <v>0.39</v>
      </c>
      <c r="L12" s="6">
        <f ca="1">L10*K12</f>
        <v>40236.247069331315</v>
      </c>
      <c r="P12" s="6">
        <f>SUM(P7:P11)</f>
        <v>318860</v>
      </c>
      <c r="R12" s="6">
        <f>SUM(R8:R10)</f>
        <v>2223.0445963745842</v>
      </c>
    </row>
    <row r="13" spans="1:21" x14ac:dyDescent="0.2">
      <c r="A13" s="6" t="s">
        <v>22</v>
      </c>
      <c r="C13" s="6">
        <v>18500</v>
      </c>
      <c r="E13" s="6" t="s">
        <v>23</v>
      </c>
      <c r="G13" s="6">
        <v>22500</v>
      </c>
    </row>
    <row r="14" spans="1:21" x14ac:dyDescent="0.2">
      <c r="A14" s="6" t="s">
        <v>24</v>
      </c>
      <c r="C14" s="6">
        <v>85000</v>
      </c>
      <c r="E14" s="6" t="s">
        <v>25</v>
      </c>
      <c r="G14" s="6">
        <v>31000</v>
      </c>
      <c r="K14" s="8" t="s">
        <v>52</v>
      </c>
      <c r="L14" s="8" t="s">
        <v>100</v>
      </c>
      <c r="M14" s="6">
        <f ca="1">L12*35%</f>
        <v>14082.68647426596</v>
      </c>
      <c r="N14" s="8" t="s">
        <v>97</v>
      </c>
      <c r="O14" s="6">
        <f ca="1">L12*65%</f>
        <v>26153.560595065355</v>
      </c>
    </row>
    <row r="15" spans="1:21" x14ac:dyDescent="0.2">
      <c r="A15" s="6" t="s">
        <v>26</v>
      </c>
      <c r="C15" s="6">
        <v>165000</v>
      </c>
      <c r="E15" s="6" t="s">
        <v>27</v>
      </c>
      <c r="G15" s="6">
        <v>23400</v>
      </c>
      <c r="I15" s="6" t="s">
        <v>4</v>
      </c>
      <c r="K15" s="6">
        <f ca="1" xml:space="preserve"> RANDBETWEEN(11, 17) / 100</f>
        <v>0.11</v>
      </c>
      <c r="L15" s="6">
        <f ca="1">$M$14*K15</f>
        <v>1549.0955121692557</v>
      </c>
    </row>
    <row r="16" spans="1:21" x14ac:dyDescent="0.2">
      <c r="A16" s="6" t="s">
        <v>28</v>
      </c>
      <c r="C16" s="6">
        <v>2640</v>
      </c>
      <c r="I16" s="6" t="s">
        <v>6</v>
      </c>
      <c r="K16" s="6">
        <f ca="1" xml:space="preserve"> RANDBETWEEN(13, 15) / 100</f>
        <v>0.14000000000000001</v>
      </c>
      <c r="L16" s="6">
        <f ca="1">$L$12*K16</f>
        <v>5633.0745897063844</v>
      </c>
    </row>
    <row r="17" spans="1:12" x14ac:dyDescent="0.2">
      <c r="A17" s="6" t="s">
        <v>29</v>
      </c>
      <c r="E17" s="6" t="s">
        <v>30</v>
      </c>
      <c r="I17" s="6" t="s">
        <v>31</v>
      </c>
      <c r="K17" s="6">
        <f ca="1" xml:space="preserve"> RANDBETWEEN(2, 5) / 100</f>
        <v>0.02</v>
      </c>
      <c r="L17" s="6">
        <f t="shared" ref="L17:L19" ca="1" si="7">$L$12*K17</f>
        <v>804.72494138662637</v>
      </c>
    </row>
    <row r="18" spans="1:12" x14ac:dyDescent="0.2">
      <c r="A18" s="6" t="s">
        <v>31</v>
      </c>
      <c r="C18" s="6">
        <f ca="1">L17</f>
        <v>804.72494138662637</v>
      </c>
      <c r="E18" s="6" t="s">
        <v>32</v>
      </c>
      <c r="G18" s="6">
        <v>85000</v>
      </c>
      <c r="I18" s="6" t="s">
        <v>33</v>
      </c>
      <c r="K18" s="6">
        <f ca="1" xml:space="preserve"> RANDBETWEEN(2, 5) / 100</f>
        <v>0.05</v>
      </c>
      <c r="L18" s="6">
        <f t="shared" ca="1" si="7"/>
        <v>2011.8123534665658</v>
      </c>
    </row>
    <row r="19" spans="1:12" x14ac:dyDescent="0.2">
      <c r="A19" s="6" t="s">
        <v>33</v>
      </c>
      <c r="C19" s="6">
        <f ca="1">L18</f>
        <v>2011.8123534665658</v>
      </c>
      <c r="E19" s="6" t="s">
        <v>34</v>
      </c>
      <c r="G19" s="6">
        <f ca="1">O14+L11</f>
        <v>89087.177806070744</v>
      </c>
      <c r="I19" s="6" t="s">
        <v>17</v>
      </c>
      <c r="K19" s="6">
        <f ca="1" xml:space="preserve"> 1 - SUM(K15:K18)</f>
        <v>0.67999999999999994</v>
      </c>
      <c r="L19" s="6">
        <f t="shared" ca="1" si="7"/>
        <v>27360.648007145293</v>
      </c>
    </row>
    <row r="20" spans="1:12" x14ac:dyDescent="0.2">
      <c r="A20" s="6" t="s">
        <v>35</v>
      </c>
      <c r="C20" s="6">
        <v>1450</v>
      </c>
      <c r="E20" s="6" t="s">
        <v>36</v>
      </c>
      <c r="G20" s="6">
        <f ca="1">L12</f>
        <v>40236.247069331315</v>
      </c>
    </row>
    <row r="21" spans="1:12" x14ac:dyDescent="0.2">
      <c r="A21" s="6" t="s">
        <v>37</v>
      </c>
      <c r="C21" s="6">
        <v>1250</v>
      </c>
      <c r="E21" s="6" t="s">
        <v>38</v>
      </c>
      <c r="G21" s="6">
        <v>46500</v>
      </c>
    </row>
    <row r="22" spans="1:12" x14ac:dyDescent="0.2">
      <c r="A22" s="6" t="s">
        <v>39</v>
      </c>
      <c r="C22" s="6">
        <v>8500</v>
      </c>
      <c r="E22" s="6" t="s">
        <v>40</v>
      </c>
      <c r="G22" s="6">
        <v>3100</v>
      </c>
    </row>
    <row r="23" spans="1:12" x14ac:dyDescent="0.2">
      <c r="C23" s="6">
        <f ca="1" xml:space="preserve"> SUM(C2:C22)</f>
        <v>391188.70739672886</v>
      </c>
      <c r="G23" s="6">
        <f ca="1" xml:space="preserve"> SUM(G2:G22)</f>
        <v>447923.42487540207</v>
      </c>
    </row>
    <row r="31" spans="1:12" x14ac:dyDescent="0.2">
      <c r="A31" s="5" t="s">
        <v>42</v>
      </c>
      <c r="B31" s="6">
        <f ca="1">Sheet2!I2</f>
        <v>155145</v>
      </c>
      <c r="E31" s="6" t="str">
        <f>A15</f>
        <v xml:space="preserve">Equipment </v>
      </c>
      <c r="F31" s="6">
        <f>C15</f>
        <v>165000</v>
      </c>
    </row>
    <row r="32" spans="1:12" x14ac:dyDescent="0.2">
      <c r="A32" s="8" t="s">
        <v>66</v>
      </c>
      <c r="B32" s="8" t="s">
        <v>67</v>
      </c>
      <c r="C32" s="8" t="s">
        <v>73</v>
      </c>
      <c r="D32" s="8" t="s">
        <v>69</v>
      </c>
      <c r="E32" s="8" t="s">
        <v>70</v>
      </c>
      <c r="F32" s="14" t="s">
        <v>71</v>
      </c>
      <c r="G32" s="8" t="s">
        <v>72</v>
      </c>
      <c r="H32" s="8"/>
      <c r="I32" s="8"/>
      <c r="J32" s="8"/>
    </row>
    <row r="33" spans="1:10" x14ac:dyDescent="0.2">
      <c r="A33" s="6">
        <v>1</v>
      </c>
      <c r="B33" s="6">
        <f ca="1">Sheet2!H3</f>
        <v>22170</v>
      </c>
      <c r="C33" s="6">
        <f ca="1">$K$3</f>
        <v>44</v>
      </c>
      <c r="D33" s="6">
        <f ca="1">B33</f>
        <v>22170</v>
      </c>
      <c r="E33" s="6">
        <v>0.1429</v>
      </c>
      <c r="F33" s="6">
        <f>$F$31*E33</f>
        <v>23578.5</v>
      </c>
      <c r="G33" s="6">
        <f>F$1-F33</f>
        <v>-23578.5</v>
      </c>
    </row>
    <row r="34" spans="1:10" x14ac:dyDescent="0.2">
      <c r="A34" s="6">
        <v>2</v>
      </c>
      <c r="B34" s="6">
        <f ca="1">Sheet2!H4</f>
        <v>37995</v>
      </c>
      <c r="C34" s="6">
        <f t="shared" ref="C34:C40" ca="1" si="8">$K$3</f>
        <v>44</v>
      </c>
      <c r="D34" s="6">
        <f ca="1">B34*C33</f>
        <v>1671780</v>
      </c>
      <c r="E34" s="6">
        <v>0.24490000000000001</v>
      </c>
      <c r="F34" s="6">
        <f t="shared" ref="F34:F40" si="9">$F$31*E34</f>
        <v>40408.5</v>
      </c>
      <c r="G34" s="6">
        <f t="shared" ref="G34:G40" si="10">G33-F34</f>
        <v>-63987</v>
      </c>
    </row>
    <row r="35" spans="1:10" x14ac:dyDescent="0.2">
      <c r="A35" s="6">
        <v>3</v>
      </c>
      <c r="B35" s="6">
        <f ca="1">Sheet2!H5</f>
        <v>27135</v>
      </c>
      <c r="C35" s="6">
        <f t="shared" ca="1" si="8"/>
        <v>44</v>
      </c>
      <c r="D35" s="6">
        <f t="shared" ref="D35:D40" ca="1" si="11">B35*C35</f>
        <v>1193940</v>
      </c>
      <c r="E35" s="6">
        <v>0.1749</v>
      </c>
      <c r="F35" s="6">
        <f t="shared" si="9"/>
        <v>28858.5</v>
      </c>
      <c r="G35" s="6">
        <f t="shared" si="10"/>
        <v>-92845.5</v>
      </c>
    </row>
    <row r="36" spans="1:10" x14ac:dyDescent="0.2">
      <c r="A36" s="6">
        <v>4</v>
      </c>
      <c r="B36" s="6">
        <f ca="1">Sheet2!H6</f>
        <v>19378</v>
      </c>
      <c r="C36" s="6">
        <f t="shared" ca="1" si="8"/>
        <v>44</v>
      </c>
      <c r="D36" s="6">
        <f t="shared" ca="1" si="11"/>
        <v>852632</v>
      </c>
      <c r="E36" s="6">
        <v>0.1249</v>
      </c>
      <c r="F36" s="6">
        <f t="shared" si="9"/>
        <v>20608.5</v>
      </c>
      <c r="G36" s="6">
        <f t="shared" si="10"/>
        <v>-113454</v>
      </c>
    </row>
    <row r="37" spans="1:10" x14ac:dyDescent="0.2">
      <c r="A37" s="6">
        <v>5</v>
      </c>
      <c r="B37" s="6">
        <f ca="1">Sheet2!H7</f>
        <v>13854</v>
      </c>
      <c r="C37" s="6">
        <f t="shared" ca="1" si="8"/>
        <v>44</v>
      </c>
      <c r="D37" s="6">
        <f t="shared" ca="1" si="11"/>
        <v>609576</v>
      </c>
      <c r="E37" s="6">
        <v>8.9300000000000004E-2</v>
      </c>
      <c r="F37" s="6">
        <f t="shared" si="9"/>
        <v>14734.5</v>
      </c>
      <c r="G37" s="6">
        <f t="shared" si="10"/>
        <v>-128188.5</v>
      </c>
    </row>
    <row r="38" spans="1:10" x14ac:dyDescent="0.2">
      <c r="A38" s="6">
        <v>6</v>
      </c>
      <c r="B38" s="6">
        <f ca="1">Sheet2!H8</f>
        <v>13839</v>
      </c>
      <c r="C38" s="6">
        <f t="shared" ca="1" si="8"/>
        <v>44</v>
      </c>
      <c r="D38" s="6">
        <f t="shared" ca="1" si="11"/>
        <v>608916</v>
      </c>
      <c r="E38" s="6">
        <v>8.9200000000000002E-2</v>
      </c>
      <c r="F38" s="6">
        <f t="shared" si="9"/>
        <v>14718</v>
      </c>
      <c r="G38" s="6">
        <f t="shared" si="10"/>
        <v>-142906.5</v>
      </c>
    </row>
    <row r="39" spans="1:10" x14ac:dyDescent="0.2">
      <c r="A39" s="6">
        <v>7</v>
      </c>
      <c r="B39" s="6">
        <f ca="1">Sheet2!H9</f>
        <v>13854</v>
      </c>
      <c r="C39" s="6">
        <f t="shared" ca="1" si="8"/>
        <v>44</v>
      </c>
      <c r="D39" s="6">
        <f t="shared" ca="1" si="11"/>
        <v>609576</v>
      </c>
      <c r="E39" s="6">
        <v>8.9300000000000004E-2</v>
      </c>
      <c r="F39" s="6">
        <f t="shared" si="9"/>
        <v>14734.5</v>
      </c>
      <c r="G39" s="6">
        <f t="shared" si="10"/>
        <v>-157641</v>
      </c>
    </row>
    <row r="40" spans="1:10" x14ac:dyDescent="0.2">
      <c r="A40" s="6">
        <v>8</v>
      </c>
      <c r="B40" s="6">
        <f ca="1">Sheet2!H10</f>
        <v>6919</v>
      </c>
      <c r="C40" s="6">
        <f t="shared" ca="1" si="8"/>
        <v>44</v>
      </c>
      <c r="D40" s="6">
        <f t="shared" ca="1" si="11"/>
        <v>304436</v>
      </c>
      <c r="E40" s="6">
        <v>4.4600000000000001E-2</v>
      </c>
      <c r="F40" s="6">
        <f t="shared" si="9"/>
        <v>7359</v>
      </c>
      <c r="G40" s="6">
        <f t="shared" si="10"/>
        <v>-165000</v>
      </c>
    </row>
    <row r="41" spans="1:10" x14ac:dyDescent="0.2">
      <c r="B41" s="6">
        <f ca="1">SUM(B33:B40)</f>
        <v>155144</v>
      </c>
    </row>
    <row r="42" spans="1:10" x14ac:dyDescent="0.2">
      <c r="E42" s="6" t="str">
        <f>Sheet1!N8</f>
        <v>Variable Cost %</v>
      </c>
      <c r="F42" s="6">
        <f ca="1">Sheet1!Q8</f>
        <v>0.46199999999999997</v>
      </c>
    </row>
    <row r="43" spans="1:10" x14ac:dyDescent="0.2">
      <c r="E43" s="6" t="s">
        <v>95</v>
      </c>
      <c r="F43" s="6">
        <f>Sheet1!G18</f>
        <v>7459.9254000000001</v>
      </c>
    </row>
    <row r="44" spans="1:10" x14ac:dyDescent="0.2">
      <c r="A44" s="10" t="s">
        <v>66</v>
      </c>
      <c r="B44" s="10" t="s">
        <v>73</v>
      </c>
      <c r="C44" s="10" t="s">
        <v>74</v>
      </c>
      <c r="D44" s="10" t="s">
        <v>75</v>
      </c>
      <c r="E44" s="10" t="s">
        <v>76</v>
      </c>
      <c r="F44" s="10" t="s">
        <v>77</v>
      </c>
      <c r="G44" s="10" t="s">
        <v>71</v>
      </c>
      <c r="H44" s="10" t="s">
        <v>64</v>
      </c>
      <c r="I44" s="10" t="s">
        <v>78</v>
      </c>
      <c r="J44" s="10" t="s">
        <v>79</v>
      </c>
    </row>
    <row r="45" spans="1:10" x14ac:dyDescent="0.2">
      <c r="A45" s="6">
        <v>1</v>
      </c>
      <c r="B45" s="6" t="e">
        <f>#REF!</f>
        <v>#REF!</v>
      </c>
      <c r="C45" s="6">
        <f t="shared" ref="C45:C53" ca="1" si="12">B33</f>
        <v>22170</v>
      </c>
      <c r="D45" s="6">
        <f t="shared" ref="D45:D52" ca="1" si="13">D33</f>
        <v>22170</v>
      </c>
      <c r="E45" s="6">
        <f ca="1">D45*0.4958</f>
        <v>10991.886</v>
      </c>
      <c r="F45" s="6">
        <f>Sheet1!$G$18</f>
        <v>7459.9254000000001</v>
      </c>
      <c r="G45" s="6">
        <f t="shared" ref="G45:G52" si="14">F33</f>
        <v>23578.5</v>
      </c>
      <c r="H45" s="6">
        <f t="shared" ref="H45:H52" ca="1" si="15">D45-E45-F45-G45</f>
        <v>-19860.311399999999</v>
      </c>
      <c r="I45" s="6">
        <f ca="1">H45*24%</f>
        <v>-4766.4747359999992</v>
      </c>
      <c r="J45" s="6">
        <f t="shared" ref="J45:J52" ca="1" si="16">H45-I45</f>
        <v>-15093.836663999999</v>
      </c>
    </row>
    <row r="46" spans="1:10" x14ac:dyDescent="0.2">
      <c r="A46" s="6">
        <v>2</v>
      </c>
      <c r="B46" s="6">
        <f ca="1">C33</f>
        <v>44</v>
      </c>
      <c r="C46" s="6">
        <f t="shared" ca="1" si="12"/>
        <v>37995</v>
      </c>
      <c r="D46" s="6">
        <f t="shared" ca="1" si="13"/>
        <v>1671780</v>
      </c>
      <c r="E46" s="6">
        <f t="shared" ref="E46:E52" ca="1" si="17">D46*0.4958</f>
        <v>828868.52399999998</v>
      </c>
      <c r="F46" s="6">
        <f>Sheet1!$G$18</f>
        <v>7459.9254000000001</v>
      </c>
      <c r="G46" s="6">
        <f t="shared" si="14"/>
        <v>40408.5</v>
      </c>
      <c r="H46" s="6">
        <f t="shared" ca="1" si="15"/>
        <v>795043.05060000008</v>
      </c>
      <c r="I46" s="6">
        <f t="shared" ref="I46:I52" ca="1" si="18">H46*24%</f>
        <v>190810.33214400001</v>
      </c>
      <c r="J46" s="6">
        <f t="shared" ca="1" si="16"/>
        <v>604232.71845600009</v>
      </c>
    </row>
    <row r="47" spans="1:10" x14ac:dyDescent="0.2">
      <c r="A47" s="6">
        <v>3</v>
      </c>
      <c r="B47" s="6">
        <f t="shared" ref="B47:B52" ca="1" si="19">C35</f>
        <v>44</v>
      </c>
      <c r="C47" s="6">
        <f t="shared" ca="1" si="12"/>
        <v>27135</v>
      </c>
      <c r="D47" s="6">
        <f t="shared" ca="1" si="13"/>
        <v>1193940</v>
      </c>
      <c r="E47" s="6">
        <f t="shared" ca="1" si="17"/>
        <v>591955.45200000005</v>
      </c>
      <c r="F47" s="6">
        <f>Sheet1!$G$18</f>
        <v>7459.9254000000001</v>
      </c>
      <c r="G47" s="6">
        <f t="shared" si="14"/>
        <v>28858.5</v>
      </c>
      <c r="H47" s="6">
        <f t="shared" ca="1" si="15"/>
        <v>565666.1226</v>
      </c>
      <c r="I47" s="6">
        <f t="shared" ca="1" si="18"/>
        <v>135759.869424</v>
      </c>
      <c r="J47" s="6">
        <f t="shared" ca="1" si="16"/>
        <v>429906.25317599997</v>
      </c>
    </row>
    <row r="48" spans="1:10" x14ac:dyDescent="0.2">
      <c r="A48" s="6">
        <v>4</v>
      </c>
      <c r="B48" s="6">
        <f t="shared" ca="1" si="19"/>
        <v>44</v>
      </c>
      <c r="C48" s="6">
        <f t="shared" ca="1" si="12"/>
        <v>19378</v>
      </c>
      <c r="D48" s="6">
        <f t="shared" ca="1" si="13"/>
        <v>852632</v>
      </c>
      <c r="E48" s="6">
        <f t="shared" ca="1" si="17"/>
        <v>422734.94560000004</v>
      </c>
      <c r="F48" s="6">
        <f>Sheet1!$G$18</f>
        <v>7459.9254000000001</v>
      </c>
      <c r="G48" s="6">
        <f t="shared" si="14"/>
        <v>20608.5</v>
      </c>
      <c r="H48" s="6">
        <f t="shared" ca="1" si="15"/>
        <v>401828.62899999996</v>
      </c>
      <c r="I48" s="6">
        <f t="shared" ca="1" si="18"/>
        <v>96438.870959999986</v>
      </c>
      <c r="J48" s="6">
        <f t="shared" ca="1" si="16"/>
        <v>305389.75803999999</v>
      </c>
    </row>
    <row r="49" spans="1:10" x14ac:dyDescent="0.2">
      <c r="A49" s="6">
        <v>5</v>
      </c>
      <c r="B49" s="6">
        <f t="shared" ca="1" si="19"/>
        <v>44</v>
      </c>
      <c r="C49" s="6">
        <f t="shared" ca="1" si="12"/>
        <v>13854</v>
      </c>
      <c r="D49" s="6">
        <f t="shared" ca="1" si="13"/>
        <v>609576</v>
      </c>
      <c r="E49" s="6">
        <f t="shared" ca="1" si="17"/>
        <v>302227.78080000001</v>
      </c>
      <c r="F49" s="6">
        <f>Sheet1!$G$18</f>
        <v>7459.9254000000001</v>
      </c>
      <c r="G49" s="6">
        <f t="shared" si="14"/>
        <v>14734.5</v>
      </c>
      <c r="H49" s="6">
        <f t="shared" ca="1" si="15"/>
        <v>285153.79379999998</v>
      </c>
      <c r="I49" s="6">
        <f t="shared" ca="1" si="18"/>
        <v>68436.910511999988</v>
      </c>
      <c r="J49" s="6">
        <f t="shared" ca="1" si="16"/>
        <v>216716.88328800001</v>
      </c>
    </row>
    <row r="50" spans="1:10" x14ac:dyDescent="0.2">
      <c r="A50" s="6">
        <v>6</v>
      </c>
      <c r="B50" s="6">
        <f t="shared" ca="1" si="19"/>
        <v>44</v>
      </c>
      <c r="C50" s="6">
        <f t="shared" ca="1" si="12"/>
        <v>13839</v>
      </c>
      <c r="D50" s="6">
        <f t="shared" ca="1" si="13"/>
        <v>608916</v>
      </c>
      <c r="E50" s="6">
        <f t="shared" ca="1" si="17"/>
        <v>301900.5528</v>
      </c>
      <c r="F50" s="6">
        <f>Sheet1!$G$18</f>
        <v>7459.9254000000001</v>
      </c>
      <c r="G50" s="6">
        <f t="shared" si="14"/>
        <v>14718</v>
      </c>
      <c r="H50" s="6">
        <f t="shared" ca="1" si="15"/>
        <v>284837.52179999999</v>
      </c>
      <c r="I50" s="6">
        <f t="shared" ca="1" si="18"/>
        <v>68361.005231999996</v>
      </c>
      <c r="J50" s="6">
        <f t="shared" ca="1" si="16"/>
        <v>216476.51656799999</v>
      </c>
    </row>
    <row r="51" spans="1:10" x14ac:dyDescent="0.2">
      <c r="A51" s="6">
        <v>7</v>
      </c>
      <c r="B51" s="6">
        <f t="shared" ca="1" si="19"/>
        <v>44</v>
      </c>
      <c r="C51" s="6">
        <f t="shared" ca="1" si="12"/>
        <v>13854</v>
      </c>
      <c r="D51" s="6">
        <f t="shared" ca="1" si="13"/>
        <v>609576</v>
      </c>
      <c r="E51" s="6">
        <f t="shared" ca="1" si="17"/>
        <v>302227.78080000001</v>
      </c>
      <c r="F51" s="6">
        <f>Sheet1!$G$18</f>
        <v>7459.9254000000001</v>
      </c>
      <c r="G51" s="6">
        <f t="shared" si="14"/>
        <v>14734.5</v>
      </c>
      <c r="H51" s="6">
        <f t="shared" ca="1" si="15"/>
        <v>285153.79379999998</v>
      </c>
      <c r="I51" s="6">
        <f t="shared" ca="1" si="18"/>
        <v>68436.910511999988</v>
      </c>
      <c r="J51" s="6">
        <f t="shared" ca="1" si="16"/>
        <v>216716.88328800001</v>
      </c>
    </row>
    <row r="52" spans="1:10" x14ac:dyDescent="0.2">
      <c r="A52" s="6">
        <v>8</v>
      </c>
      <c r="B52" s="6">
        <f t="shared" ca="1" si="19"/>
        <v>44</v>
      </c>
      <c r="C52" s="6">
        <f t="shared" ca="1" si="12"/>
        <v>6919</v>
      </c>
      <c r="D52" s="6">
        <f t="shared" ca="1" si="13"/>
        <v>304436</v>
      </c>
      <c r="E52" s="6">
        <f t="shared" ca="1" si="17"/>
        <v>150939.3688</v>
      </c>
      <c r="F52" s="6">
        <f>Sheet1!$G$18</f>
        <v>7459.9254000000001</v>
      </c>
      <c r="G52" s="6">
        <f t="shared" si="14"/>
        <v>7359</v>
      </c>
      <c r="H52" s="6">
        <f t="shared" ca="1" si="15"/>
        <v>138677.7058</v>
      </c>
      <c r="I52" s="6">
        <f t="shared" ca="1" si="18"/>
        <v>33282.649391999999</v>
      </c>
      <c r="J52" s="6">
        <f t="shared" ca="1" si="16"/>
        <v>105395.056408</v>
      </c>
    </row>
    <row r="53" spans="1:10" x14ac:dyDescent="0.2">
      <c r="C53" s="6">
        <f t="shared" ca="1" si="12"/>
        <v>155144</v>
      </c>
    </row>
    <row r="55" spans="1:10" x14ac:dyDescent="0.2">
      <c r="A55" s="5" t="s">
        <v>80</v>
      </c>
    </row>
    <row r="56" spans="1:10" x14ac:dyDescent="0.2">
      <c r="A56" s="10" t="s">
        <v>66</v>
      </c>
      <c r="B56" s="8" t="s">
        <v>75</v>
      </c>
      <c r="C56" s="8" t="s">
        <v>81</v>
      </c>
      <c r="D56" s="8" t="s">
        <v>82</v>
      </c>
      <c r="E56" s="8"/>
      <c r="F56" s="8"/>
      <c r="G56" s="8"/>
      <c r="H56" s="8"/>
      <c r="I56" s="8"/>
      <c r="J56" s="8"/>
    </row>
    <row r="57" spans="1:10" x14ac:dyDescent="0.2">
      <c r="A57" s="6">
        <v>0</v>
      </c>
      <c r="B57" s="6">
        <v>0</v>
      </c>
      <c r="C57" s="6">
        <f ca="1">B31</f>
        <v>155145</v>
      </c>
      <c r="D57" s="6">
        <f ca="1">C57*-1</f>
        <v>-155145</v>
      </c>
    </row>
    <row r="58" spans="1:10" x14ac:dyDescent="0.2">
      <c r="A58" s="6">
        <v>1</v>
      </c>
      <c r="B58" s="6">
        <f t="shared" ref="B58:B65" ca="1" si="20">D45</f>
        <v>22170</v>
      </c>
      <c r="C58" s="6">
        <f t="shared" ref="C58:C65" ca="1" si="21">B58*18.5%</f>
        <v>4101.45</v>
      </c>
      <c r="D58" s="6">
        <f ca="1">C58*-1-D57</f>
        <v>151043.54999999999</v>
      </c>
    </row>
    <row r="59" spans="1:10" x14ac:dyDescent="0.2">
      <c r="A59" s="6">
        <v>2</v>
      </c>
      <c r="B59" s="6">
        <f t="shared" ca="1" si="20"/>
        <v>1671780</v>
      </c>
      <c r="C59" s="6">
        <f t="shared" ca="1" si="21"/>
        <v>309279.3</v>
      </c>
      <c r="D59" s="6">
        <f t="shared" ref="D59:D65" ca="1" si="22">C58-C59</f>
        <v>-305177.84999999998</v>
      </c>
    </row>
    <row r="60" spans="1:10" x14ac:dyDescent="0.2">
      <c r="A60" s="6">
        <v>3</v>
      </c>
      <c r="B60" s="6">
        <f t="shared" ca="1" si="20"/>
        <v>1193940</v>
      </c>
      <c r="C60" s="6">
        <f t="shared" ca="1" si="21"/>
        <v>220878.9</v>
      </c>
      <c r="D60" s="6">
        <f t="shared" ca="1" si="22"/>
        <v>88400.4</v>
      </c>
    </row>
    <row r="61" spans="1:10" x14ac:dyDescent="0.2">
      <c r="A61" s="6">
        <v>4</v>
      </c>
      <c r="B61" s="6">
        <f t="shared" ca="1" si="20"/>
        <v>852632</v>
      </c>
      <c r="C61" s="6">
        <f t="shared" ca="1" si="21"/>
        <v>157736.91999999998</v>
      </c>
      <c r="D61" s="6">
        <f t="shared" ca="1" si="22"/>
        <v>63141.98000000001</v>
      </c>
    </row>
    <row r="62" spans="1:10" x14ac:dyDescent="0.2">
      <c r="A62" s="6">
        <v>5</v>
      </c>
      <c r="B62" s="6">
        <f t="shared" ca="1" si="20"/>
        <v>609576</v>
      </c>
      <c r="C62" s="6">
        <f t="shared" ca="1" si="21"/>
        <v>112771.56</v>
      </c>
      <c r="D62" s="6">
        <f t="shared" ca="1" si="22"/>
        <v>44965.359999999986</v>
      </c>
    </row>
    <row r="63" spans="1:10" x14ac:dyDescent="0.2">
      <c r="A63" s="6">
        <v>6</v>
      </c>
      <c r="B63" s="6">
        <f t="shared" ca="1" si="20"/>
        <v>608916</v>
      </c>
      <c r="C63" s="6">
        <f t="shared" ca="1" si="21"/>
        <v>112649.45999999999</v>
      </c>
      <c r="D63" s="6">
        <f t="shared" ca="1" si="22"/>
        <v>122.10000000000582</v>
      </c>
    </row>
    <row r="64" spans="1:10" x14ac:dyDescent="0.2">
      <c r="A64" s="6">
        <v>7</v>
      </c>
      <c r="B64" s="6">
        <f t="shared" ca="1" si="20"/>
        <v>609576</v>
      </c>
      <c r="C64" s="6">
        <f t="shared" ca="1" si="21"/>
        <v>112771.56</v>
      </c>
      <c r="D64" s="6">
        <f t="shared" ca="1" si="22"/>
        <v>-122.10000000000582</v>
      </c>
    </row>
    <row r="65" spans="1:10" x14ac:dyDescent="0.2">
      <c r="A65" s="6">
        <v>8</v>
      </c>
      <c r="B65" s="6">
        <f t="shared" ca="1" si="20"/>
        <v>304436</v>
      </c>
      <c r="C65" s="6">
        <f t="shared" ca="1" si="21"/>
        <v>56320.659999999996</v>
      </c>
      <c r="D65" s="6">
        <f t="shared" ca="1" si="22"/>
        <v>56450.9</v>
      </c>
    </row>
    <row r="67" spans="1:10" x14ac:dyDescent="0.2">
      <c r="A67" s="18" t="s">
        <v>83</v>
      </c>
      <c r="B67" s="19"/>
      <c r="C67" s="19"/>
      <c r="D67" s="9"/>
      <c r="E67" s="9"/>
    </row>
    <row r="68" spans="1:10" x14ac:dyDescent="0.2">
      <c r="A68" s="15" t="s">
        <v>84</v>
      </c>
      <c r="B68" s="9"/>
      <c r="C68" s="9"/>
      <c r="D68" s="9"/>
      <c r="E68" s="9"/>
    </row>
    <row r="69" spans="1:10" x14ac:dyDescent="0.2">
      <c r="A69" s="10" t="s">
        <v>66</v>
      </c>
      <c r="B69" s="10" t="s">
        <v>64</v>
      </c>
      <c r="C69" s="10" t="s">
        <v>85</v>
      </c>
      <c r="D69" s="10" t="s">
        <v>78</v>
      </c>
      <c r="E69" s="10" t="s">
        <v>84</v>
      </c>
      <c r="F69" s="8"/>
      <c r="G69" s="8"/>
      <c r="H69" s="8"/>
      <c r="I69" s="8"/>
      <c r="J69" s="8"/>
    </row>
    <row r="70" spans="1:10" x14ac:dyDescent="0.2">
      <c r="A70" s="6">
        <f t="shared" ref="A70:A78" si="23">A45</f>
        <v>1</v>
      </c>
      <c r="B70" s="6">
        <f t="shared" ref="B70:B77" ca="1" si="24">H45</f>
        <v>-19860.311399999999</v>
      </c>
      <c r="C70" s="6">
        <f t="shared" ref="C70:C77" si="25">G45</f>
        <v>23578.5</v>
      </c>
      <c r="D70" s="6">
        <f t="shared" ref="D70:D77" ca="1" si="26">I45</f>
        <v>-4766.4747359999992</v>
      </c>
      <c r="E70" s="6">
        <f t="shared" ref="E70:E77" ca="1" si="27">B70+C70-D70</f>
        <v>8484.6633360000014</v>
      </c>
    </row>
    <row r="71" spans="1:10" x14ac:dyDescent="0.2">
      <c r="A71" s="6">
        <f t="shared" si="23"/>
        <v>2</v>
      </c>
      <c r="B71" s="6">
        <f t="shared" ca="1" si="24"/>
        <v>795043.05060000008</v>
      </c>
      <c r="C71" s="6">
        <f t="shared" si="25"/>
        <v>40408.5</v>
      </c>
      <c r="D71" s="6">
        <f t="shared" ca="1" si="26"/>
        <v>190810.33214400001</v>
      </c>
      <c r="E71" s="6">
        <f t="shared" ca="1" si="27"/>
        <v>644641.21845600009</v>
      </c>
    </row>
    <row r="72" spans="1:10" x14ac:dyDescent="0.2">
      <c r="A72" s="6">
        <f t="shared" si="23"/>
        <v>3</v>
      </c>
      <c r="B72" s="6">
        <f t="shared" ca="1" si="24"/>
        <v>565666.1226</v>
      </c>
      <c r="C72" s="6">
        <f t="shared" si="25"/>
        <v>28858.5</v>
      </c>
      <c r="D72" s="6">
        <f t="shared" ca="1" si="26"/>
        <v>135759.869424</v>
      </c>
      <c r="E72" s="6">
        <f t="shared" ca="1" si="27"/>
        <v>458764.75317599997</v>
      </c>
    </row>
    <row r="73" spans="1:10" x14ac:dyDescent="0.2">
      <c r="A73" s="6">
        <f t="shared" si="23"/>
        <v>4</v>
      </c>
      <c r="B73" s="6">
        <f t="shared" ca="1" si="24"/>
        <v>401828.62899999996</v>
      </c>
      <c r="C73" s="6">
        <f t="shared" si="25"/>
        <v>20608.5</v>
      </c>
      <c r="D73" s="6">
        <f t="shared" ca="1" si="26"/>
        <v>96438.870959999986</v>
      </c>
      <c r="E73" s="6">
        <f t="shared" ca="1" si="27"/>
        <v>325998.25803999999</v>
      </c>
    </row>
    <row r="74" spans="1:10" x14ac:dyDescent="0.2">
      <c r="A74" s="6">
        <f t="shared" si="23"/>
        <v>5</v>
      </c>
      <c r="B74" s="6">
        <f t="shared" ca="1" si="24"/>
        <v>285153.79379999998</v>
      </c>
      <c r="C74" s="6">
        <f t="shared" si="25"/>
        <v>14734.5</v>
      </c>
      <c r="D74" s="6">
        <f t="shared" ca="1" si="26"/>
        <v>68436.910511999988</v>
      </c>
      <c r="E74" s="6">
        <f t="shared" ca="1" si="27"/>
        <v>231451.38328800001</v>
      </c>
    </row>
    <row r="75" spans="1:10" x14ac:dyDescent="0.2">
      <c r="A75" s="6">
        <f t="shared" si="23"/>
        <v>6</v>
      </c>
      <c r="B75" s="6">
        <f t="shared" ca="1" si="24"/>
        <v>284837.52179999999</v>
      </c>
      <c r="C75" s="6">
        <f t="shared" si="25"/>
        <v>14718</v>
      </c>
      <c r="D75" s="6">
        <f t="shared" ca="1" si="26"/>
        <v>68361.005231999996</v>
      </c>
      <c r="E75" s="6">
        <f t="shared" ca="1" si="27"/>
        <v>231194.51656799999</v>
      </c>
    </row>
    <row r="76" spans="1:10" x14ac:dyDescent="0.2">
      <c r="A76" s="6">
        <f t="shared" si="23"/>
        <v>7</v>
      </c>
      <c r="B76" s="6">
        <f t="shared" ca="1" si="24"/>
        <v>285153.79379999998</v>
      </c>
      <c r="C76" s="6">
        <f t="shared" si="25"/>
        <v>14734.5</v>
      </c>
      <c r="D76" s="6">
        <f t="shared" ca="1" si="26"/>
        <v>68436.910511999988</v>
      </c>
      <c r="E76" s="6">
        <f t="shared" ca="1" si="27"/>
        <v>231451.38328800001</v>
      </c>
    </row>
    <row r="77" spans="1:10" x14ac:dyDescent="0.2">
      <c r="A77" s="6">
        <f t="shared" si="23"/>
        <v>8</v>
      </c>
      <c r="B77" s="6">
        <f t="shared" ca="1" si="24"/>
        <v>138677.7058</v>
      </c>
      <c r="C77" s="6">
        <f t="shared" si="25"/>
        <v>7359</v>
      </c>
      <c r="D77" s="6">
        <f t="shared" ca="1" si="26"/>
        <v>33282.649391999999</v>
      </c>
      <c r="E77" s="6">
        <f t="shared" ca="1" si="27"/>
        <v>112754.056408</v>
      </c>
    </row>
    <row r="78" spans="1:10" x14ac:dyDescent="0.2">
      <c r="A78" s="6">
        <f t="shared" si="23"/>
        <v>0</v>
      </c>
    </row>
    <row r="79" spans="1:10" x14ac:dyDescent="0.2">
      <c r="A79" s="5" t="s">
        <v>86</v>
      </c>
      <c r="B79" s="10"/>
      <c r="C79" s="10"/>
      <c r="D79" s="10"/>
    </row>
    <row r="80" spans="1:10" x14ac:dyDescent="0.2">
      <c r="A80" s="10" t="s">
        <v>66</v>
      </c>
      <c r="B80" s="10" t="s">
        <v>87</v>
      </c>
      <c r="C80" s="10" t="s">
        <v>88</v>
      </c>
      <c r="D80" s="10" t="s">
        <v>89</v>
      </c>
    </row>
    <row r="81" spans="1:10" x14ac:dyDescent="0.2">
      <c r="A81" s="6">
        <v>0</v>
      </c>
      <c r="B81" s="6">
        <f ca="1">D57</f>
        <v>-155145</v>
      </c>
      <c r="C81" s="6">
        <v>0</v>
      </c>
      <c r="D81" s="6">
        <f ca="1">-F31+B81</f>
        <v>-320145</v>
      </c>
    </row>
    <row r="82" spans="1:10" x14ac:dyDescent="0.2">
      <c r="A82" s="6">
        <v>1</v>
      </c>
      <c r="C82" s="6">
        <f t="shared" ref="C82:C89" ca="1" si="28">D58</f>
        <v>151043.54999999999</v>
      </c>
      <c r="D82" s="6">
        <f t="shared" ref="D82:D89" ca="1" si="29">C82</f>
        <v>151043.54999999999</v>
      </c>
    </row>
    <row r="83" spans="1:10" x14ac:dyDescent="0.2">
      <c r="A83" s="6">
        <v>2</v>
      </c>
      <c r="C83" s="6">
        <f t="shared" ca="1" si="28"/>
        <v>-305177.84999999998</v>
      </c>
      <c r="D83" s="6">
        <f t="shared" ca="1" si="29"/>
        <v>-305177.84999999998</v>
      </c>
    </row>
    <row r="84" spans="1:10" x14ac:dyDescent="0.2">
      <c r="A84" s="6">
        <v>3</v>
      </c>
      <c r="C84" s="6">
        <f t="shared" ca="1" si="28"/>
        <v>88400.4</v>
      </c>
      <c r="D84" s="6">
        <f t="shared" ca="1" si="29"/>
        <v>88400.4</v>
      </c>
    </row>
    <row r="85" spans="1:10" x14ac:dyDescent="0.2">
      <c r="A85" s="6">
        <v>4</v>
      </c>
      <c r="C85" s="6">
        <f t="shared" ca="1" si="28"/>
        <v>63141.98000000001</v>
      </c>
      <c r="D85" s="6">
        <f t="shared" ca="1" si="29"/>
        <v>63141.98000000001</v>
      </c>
    </row>
    <row r="86" spans="1:10" x14ac:dyDescent="0.2">
      <c r="A86" s="6">
        <v>5</v>
      </c>
      <c r="C86" s="6">
        <f t="shared" ca="1" si="28"/>
        <v>44965.359999999986</v>
      </c>
      <c r="D86" s="6">
        <f t="shared" ca="1" si="29"/>
        <v>44965.359999999986</v>
      </c>
    </row>
    <row r="87" spans="1:10" x14ac:dyDescent="0.2">
      <c r="A87" s="6">
        <v>6</v>
      </c>
      <c r="C87" s="6">
        <f t="shared" ca="1" si="28"/>
        <v>122.10000000000582</v>
      </c>
      <c r="D87" s="6">
        <f t="shared" ca="1" si="29"/>
        <v>122.10000000000582</v>
      </c>
    </row>
    <row r="88" spans="1:10" x14ac:dyDescent="0.2">
      <c r="A88" s="6">
        <v>7</v>
      </c>
      <c r="C88" s="6">
        <f t="shared" ca="1" si="28"/>
        <v>-122.10000000000582</v>
      </c>
      <c r="D88" s="6">
        <f t="shared" ca="1" si="29"/>
        <v>-122.10000000000582</v>
      </c>
    </row>
    <row r="89" spans="1:10" x14ac:dyDescent="0.2">
      <c r="A89" s="6">
        <v>8</v>
      </c>
      <c r="C89" s="6">
        <f t="shared" ca="1" si="28"/>
        <v>56450.9</v>
      </c>
      <c r="D89" s="6">
        <f t="shared" ca="1" si="29"/>
        <v>56450.9</v>
      </c>
    </row>
    <row r="90" spans="1:10" x14ac:dyDescent="0.2">
      <c r="C90" s="6">
        <f ca="1">C65+F31*25%</f>
        <v>97570.66</v>
      </c>
      <c r="D90" s="6">
        <f ca="1">C90</f>
        <v>97570.66</v>
      </c>
    </row>
    <row r="92" spans="1:10" x14ac:dyDescent="0.2">
      <c r="A92" s="9"/>
      <c r="B92" s="18" t="s">
        <v>90</v>
      </c>
      <c r="C92" s="19"/>
      <c r="D92" s="9" t="s">
        <v>91</v>
      </c>
      <c r="E92" s="13">
        <v>0.13</v>
      </c>
    </row>
    <row r="93" spans="1:10" x14ac:dyDescent="0.2">
      <c r="A93" s="10" t="s">
        <v>66</v>
      </c>
      <c r="B93" s="10" t="s">
        <v>84</v>
      </c>
      <c r="C93" s="10" t="s">
        <v>92</v>
      </c>
      <c r="D93" s="10" t="s">
        <v>93</v>
      </c>
      <c r="E93" s="10" t="s">
        <v>94</v>
      </c>
      <c r="F93" s="8"/>
      <c r="G93" s="8"/>
      <c r="H93" s="8"/>
      <c r="I93" s="8"/>
      <c r="J93" s="8"/>
    </row>
    <row r="94" spans="1:10" x14ac:dyDescent="0.2">
      <c r="A94" s="6">
        <v>0</v>
      </c>
      <c r="B94" s="6">
        <v>0</v>
      </c>
      <c r="C94" s="6">
        <f t="shared" ref="C94:C102" ca="1" si="30">D81</f>
        <v>-320145</v>
      </c>
      <c r="D94" s="6">
        <f t="shared" ref="D94:D102" ca="1" si="31">B94+C94</f>
        <v>-320145</v>
      </c>
      <c r="E94" s="6">
        <f ca="1">D94</f>
        <v>-320145</v>
      </c>
      <c r="G94" s="6">
        <f t="shared" ref="G94:G102" ca="1" si="32">ABS(E94)</f>
        <v>320145</v>
      </c>
    </row>
    <row r="95" spans="1:10" x14ac:dyDescent="0.2">
      <c r="A95" s="6">
        <v>1</v>
      </c>
      <c r="B95" s="6">
        <f t="shared" ref="B95:B102" ca="1" si="33">E70</f>
        <v>8484.6633360000014</v>
      </c>
      <c r="C95" s="6">
        <f t="shared" ca="1" si="30"/>
        <v>151043.54999999999</v>
      </c>
      <c r="D95" s="6">
        <f t="shared" ca="1" si="31"/>
        <v>159528.21333599999</v>
      </c>
      <c r="E95" s="6">
        <f t="shared" ref="E95:E102" ca="1" si="34">D95*(1+E$62)^(-A95)</f>
        <v>159528.21333599999</v>
      </c>
      <c r="G95" s="6">
        <f t="shared" ca="1" si="32"/>
        <v>159528.21333599999</v>
      </c>
    </row>
    <row r="96" spans="1:10" x14ac:dyDescent="0.2">
      <c r="A96" s="6">
        <v>2</v>
      </c>
      <c r="B96" s="6">
        <f t="shared" ca="1" si="33"/>
        <v>644641.21845600009</v>
      </c>
      <c r="C96" s="6">
        <f t="shared" ca="1" si="30"/>
        <v>-305177.84999999998</v>
      </c>
      <c r="D96" s="6">
        <f t="shared" ca="1" si="31"/>
        <v>339463.36845600011</v>
      </c>
      <c r="E96" s="6">
        <f t="shared" ca="1" si="34"/>
        <v>339463.36845600011</v>
      </c>
      <c r="G96" s="6">
        <f t="shared" ca="1" si="32"/>
        <v>339463.36845600011</v>
      </c>
    </row>
    <row r="97" spans="1:7" x14ac:dyDescent="0.2">
      <c r="A97" s="6">
        <v>3</v>
      </c>
      <c r="B97" s="6">
        <f t="shared" ca="1" si="33"/>
        <v>458764.75317599997</v>
      </c>
      <c r="C97" s="6">
        <f t="shared" ca="1" si="30"/>
        <v>88400.4</v>
      </c>
      <c r="D97" s="6">
        <f t="shared" ca="1" si="31"/>
        <v>547165.15317599999</v>
      </c>
      <c r="E97" s="6">
        <f t="shared" ca="1" si="34"/>
        <v>547165.15317599999</v>
      </c>
      <c r="F97" s="6">
        <f ca="1">A97+(C97/G103)</f>
        <v>3.29868256216663</v>
      </c>
      <c r="G97" s="6">
        <f t="shared" ca="1" si="32"/>
        <v>547165.15317599999</v>
      </c>
    </row>
    <row r="98" spans="1:7" x14ac:dyDescent="0.2">
      <c r="A98" s="6">
        <v>4</v>
      </c>
      <c r="B98" s="6">
        <f t="shared" ca="1" si="33"/>
        <v>325998.25803999999</v>
      </c>
      <c r="C98" s="6">
        <f t="shared" ca="1" si="30"/>
        <v>63141.98000000001</v>
      </c>
      <c r="D98" s="6">
        <f t="shared" ca="1" si="31"/>
        <v>389140.23803999997</v>
      </c>
      <c r="E98" s="6">
        <f t="shared" ca="1" si="34"/>
        <v>389140.23803999997</v>
      </c>
      <c r="G98" s="6">
        <f t="shared" ca="1" si="32"/>
        <v>389140.23803999997</v>
      </c>
    </row>
    <row r="99" spans="1:7" x14ac:dyDescent="0.2">
      <c r="A99" s="6">
        <v>5</v>
      </c>
      <c r="B99" s="6">
        <f t="shared" ca="1" si="33"/>
        <v>231451.38328800001</v>
      </c>
      <c r="C99" s="6">
        <f t="shared" ca="1" si="30"/>
        <v>44965.359999999986</v>
      </c>
      <c r="D99" s="6">
        <f t="shared" ca="1" si="31"/>
        <v>276416.743288</v>
      </c>
      <c r="E99" s="6">
        <f t="shared" ca="1" si="34"/>
        <v>276416.743288</v>
      </c>
      <c r="G99" s="6">
        <f t="shared" ca="1" si="32"/>
        <v>276416.743288</v>
      </c>
    </row>
    <row r="100" spans="1:7" x14ac:dyDescent="0.2">
      <c r="A100" s="6">
        <v>6</v>
      </c>
      <c r="B100" s="6">
        <f t="shared" ca="1" si="33"/>
        <v>231194.51656799999</v>
      </c>
      <c r="C100" s="6">
        <f t="shared" ca="1" si="30"/>
        <v>122.10000000000582</v>
      </c>
      <c r="D100" s="6">
        <f t="shared" ca="1" si="31"/>
        <v>231316.616568</v>
      </c>
      <c r="E100" s="6">
        <f t="shared" ca="1" si="34"/>
        <v>231316.616568</v>
      </c>
      <c r="G100" s="6">
        <f t="shared" ca="1" si="32"/>
        <v>231316.616568</v>
      </c>
    </row>
    <row r="101" spans="1:7" x14ac:dyDescent="0.2">
      <c r="A101" s="6">
        <v>7</v>
      </c>
      <c r="B101" s="6">
        <f t="shared" ca="1" si="33"/>
        <v>231451.38328800001</v>
      </c>
      <c r="C101" s="6">
        <f t="shared" ca="1" si="30"/>
        <v>-122.10000000000582</v>
      </c>
      <c r="D101" s="6">
        <f t="shared" ca="1" si="31"/>
        <v>231329.28328800001</v>
      </c>
      <c r="E101" s="6">
        <f t="shared" ca="1" si="34"/>
        <v>231329.28328800001</v>
      </c>
      <c r="G101" s="6">
        <f t="shared" ca="1" si="32"/>
        <v>231329.28328800001</v>
      </c>
    </row>
    <row r="102" spans="1:7" x14ac:dyDescent="0.2">
      <c r="A102" s="6">
        <v>8</v>
      </c>
      <c r="B102" s="6">
        <f t="shared" ca="1" si="33"/>
        <v>112754.056408</v>
      </c>
      <c r="C102" s="6">
        <f t="shared" ca="1" si="30"/>
        <v>56450.9</v>
      </c>
      <c r="D102" s="6">
        <f t="shared" ca="1" si="31"/>
        <v>169204.956408</v>
      </c>
      <c r="E102" s="6">
        <f t="shared" ca="1" si="34"/>
        <v>169204.956408</v>
      </c>
      <c r="G102" s="6">
        <f t="shared" ca="1" si="32"/>
        <v>169204.956408</v>
      </c>
    </row>
    <row r="103" spans="1:7" x14ac:dyDescent="0.2">
      <c r="B103" s="6">
        <f ca="1">AVERAGE(B95:B102)</f>
        <v>280592.52907000005</v>
      </c>
      <c r="D103" s="6">
        <f ca="1">SUM(D94:D102)</f>
        <v>2023419.57256</v>
      </c>
      <c r="G103" s="6">
        <f ca="1">AVERAGE(G94:G102)</f>
        <v>295967.73028444446</v>
      </c>
    </row>
    <row r="104" spans="1:7" x14ac:dyDescent="0.2">
      <c r="D104" s="6">
        <f ca="1">(-1*D94+D103)/(-1*D94)</f>
        <v>7.3203222682222124</v>
      </c>
    </row>
  </sheetData>
  <mergeCells count="2">
    <mergeCell ref="A67:C67"/>
    <mergeCell ref="B92:C9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Sharon</vt:lpstr>
      <vt:lpstr>IDGM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Microsoft Office User</cp:lastModifiedBy>
  <dcterms:created xsi:type="dcterms:W3CDTF">2023-06-01T06:59:41Z</dcterms:created>
  <dcterms:modified xsi:type="dcterms:W3CDTF">2023-06-25T09:41:33Z</dcterms:modified>
</cp:coreProperties>
</file>